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comments7.xml" ContentType="application/vnd.openxmlformats-officedocument.spreadsheetml.comments+xml"/>
  <Override PartName="/xl/theme/theme1.xml" ContentType="application/vnd.openxmlformats-officedocument.theme+xml"/>
  <Override PartName="/xl/comments3.xml" ContentType="application/vnd.openxmlformats-officedocument.spreadsheetml.comments+xml"/>
  <Override PartName="/xl/comments9.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9.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tyles.xml" ContentType="application/vnd.openxmlformats-officedocument.spreadsheetml.style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Summary" sheetId="1" state="visible" r:id="rId3"/>
    <sheet name="🖐🏾 Human" sheetId="2" state="visible" r:id="rId4"/>
    <sheet name="🤖 Claude Haiku 3.5" sheetId="3" state="visible" r:id="rId5"/>
    <sheet name="🤖 Command R+" sheetId="4" state="visible" r:id="rId6"/>
    <sheet name="🤖 GPT 4o" sheetId="5" state="visible" r:id="rId7"/>
    <sheet name="🤖 Reka Flash" sheetId="6" state="visible" r:id="rId8"/>
    <sheet name="🤖 Llama-3.1-70b-instruct" sheetId="7" state="visible" r:id="rId9"/>
    <sheet name="📚 Glossary" sheetId="8" state="visible" r:id="rId10"/>
    <sheet name="__flatlist__" sheetId="9" state="visible" r:id="rId11"/>
    <sheet name="✏️ Notes" sheetId="10" state="visible" r:id="rId12"/>
    <sheet name="__lookup__" sheetId="11" state="hidden" r:id="rId13"/>
  </sheets>
  <definedNames>
    <definedName function="false" hidden="true" localSheetId="0" name="_xlnm._FilterDatabase" vbProcedure="false">Summary!$A$1:$K$23</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E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F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G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H1" authorId="0">
      <text>
        <r>
          <rPr>
            <sz val="10"/>
            <rFont val="Arial"/>
            <family val="2"/>
          </rPr>
          <t xml:space="preserve">Relevance - selection of important content from the source. The summary should include only important information from the source document.</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4.xml><?xml version="1.0" encoding="utf-8"?>
<comments xmlns="http://schemas.openxmlformats.org/spreadsheetml/2006/main" xmlns:xdr="http://schemas.openxmlformats.org/drawingml/2006/spreadsheetDrawing">
  <authors>
    <author>Unknown Author</author>
  </authors>
  <commentLis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5.xml><?xml version="1.0" encoding="utf-8"?>
<comments xmlns="http://schemas.openxmlformats.org/spreadsheetml/2006/main" xmlns:xdr="http://schemas.openxmlformats.org/drawingml/2006/spreadsheetDrawing">
  <authors>
    <author>Unknown Author</author>
  </authors>
  <commentLis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6.xml><?xml version="1.0" encoding="utf-8"?>
<comments xmlns="http://schemas.openxmlformats.org/spreadsheetml/2006/main" xmlns:xdr="http://schemas.openxmlformats.org/drawingml/2006/spreadsheetDrawing">
  <authors>
    <author>Unknown Author</author>
  </authors>
  <commentLis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7.xml><?xml version="1.0" encoding="utf-8"?>
<comments xmlns="http://schemas.openxmlformats.org/spreadsheetml/2006/main" xmlns:xdr="http://schemas.openxmlformats.org/drawingml/2006/spreadsheetDrawing">
  <authors>
    <author>Unknown Author</author>
  </authors>
  <commentLis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9.xml><?xml version="1.0" encoding="utf-8"?>
<comments xmlns="http://schemas.openxmlformats.org/spreadsheetml/2006/main" xmlns:xdr="http://schemas.openxmlformats.org/drawingml/2006/spreadsheetDrawing">
  <authors>
    <author>Unknown Author</author>
  </authors>
  <commentList>
    <comment ref="E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F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G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H1" authorId="0">
      <text>
        <r>
          <rPr>
            <sz val="10"/>
            <rFont val="Arial"/>
            <family val="2"/>
          </rPr>
          <t xml:space="preserve">Relevance - selection of important content from the source. The summary should include only important information from the source document.</t>
        </r>
      </text>
    </comment>
  </commentList>
</comments>
</file>

<file path=xl/sharedStrings.xml><?xml version="1.0" encoding="utf-8"?>
<sst xmlns="http://schemas.openxmlformats.org/spreadsheetml/2006/main" count="1910" uniqueCount="304">
  <si>
    <t xml:space="preserve">ID</t>
  </si>
  <si>
    <t xml:space="preserve">Model</t>
  </si>
  <si>
    <t xml:space="preserve">Prompt</t>
  </si>
  <si>
    <t xml:space="preserve">wc</t>
  </si>
  <si>
    <t xml:space="preserve">Coherence</t>
  </si>
  <si>
    <t xml:space="preserve">Consistency</t>
  </si>
  <si>
    <t xml:space="preserve">Fluency</t>
  </si>
  <si>
    <t xml:space="preserve">Relevance</t>
  </si>
  <si>
    <t xml:space="preserve">5W1H</t>
  </si>
  <si>
    <t xml:space="preserve">avg</t>
  </si>
  <si>
    <t xml:space="preserve">rank</t>
  </si>
  <si>
    <t xml:space="preserve">coh</t>
  </si>
  <si>
    <t xml:space="preserve">cons</t>
  </si>
  <si>
    <t xml:space="preserve">fluen</t>
  </si>
  <si>
    <t xml:space="preserve">rel</t>
  </si>
  <si>
    <t xml:space="preserve">Human</t>
  </si>
  <si>
    <t xml:space="preserve">Heading</t>
  </si>
  <si>
    <t xml:space="preserve">Claude Sonnet 3.5</t>
  </si>
  <si>
    <t xml:space="preserve">Base</t>
  </si>
  <si>
    <t xml:space="preserve">CoT</t>
  </si>
  <si>
    <t xml:space="preserve">tldr</t>
  </si>
  <si>
    <t xml:space="preserve">Command R+</t>
  </si>
  <si>
    <t xml:space="preserve">GPT 4o</t>
  </si>
  <si>
    <t xml:space="preserve">Reka Core</t>
  </si>
  <si>
    <t xml:space="preserve">Llama-3.1-70b-instruct</t>
  </si>
  <si>
    <t xml:space="preserve">AVERAGE</t>
  </si>
  <si>
    <t xml:space="preserve">STDEV</t>
  </si>
  <si>
    <t xml:space="preserve">Text</t>
  </si>
  <si>
    <t xml:space="preserve">Author</t>
  </si>
  <si>
    <t xml:space="preserve">Summary</t>
  </si>
  <si>
    <t xml:space="preserve">https://www.berria.eus/ekonomia/urte-eta-erdiko-kartzela-zigorra-eta-30000-euroko-kalte-ordainak-zorroza-gestion-enpresan-hil-zen-langileagatik_2124960_102.html</t>
  </si>
  <si>
    <t xml:space="preserve">2020ko otsailaren 29an, langile bat hil zen Murgako Zorroza Gestion de Residuos enpresan (Araba). Aste honetan jakin da gertakari horri buruzko ebazpena. Ez da epaiketarik egin, aldeak ados jarri baitira. Enpresak, baina, bere gain hartu du gertatukoaren erantzukizuna: urte eta erdiko kartzela zigorra onartu du, eta kalte ordain gisa 30.000 euro ordaintzea.
Erlazionatuta
Lanean ari zela bederatzi metrotik erorita hil zen Bassirou Dione 24 urteko langilea, Zorroza Gestion de Residuos enpresak Murgan duen biltegian. LABek garai hartan jakinarazi zuenez, enpresako kudeatzaileak Dione eta beste langile batzuei teilatura igotzea agindu zien hodi bat konpontzeko. Hori ez zen haien jarduna enpresan, eta segurtasun neurririk gabe igo ziren. Lan horretan ari zela, teilatu zati bat puskatu, eta Dione erori egin zen.
Fiskaltzaren, akusazio partikularraren eta defentsaren arteko akordioarekin bukatu da auzibidea, akusatuek delituak onartuta. Duela lau urteko gertakariak orain «are argiago» geratu direla nabarmendu du LABek, eta heriotza horren erantzukizuna «Zorroza Gestion de Residuoseko arduradunena» dela.
Sindikatuak enpresaren lan baldintza gogorrak salatu ditu beste behin; langileentzat «eskubiderik gabeko eremu bat» dela adierazi du. «Guantanamo laboral bat da, langileak erabateko babesgabetasunean uzten dituena». Azaldu du, besteak beste, langileak eguneko hamar orduko nahitaezko lanaldiak egitera derrigortzen dituztela eta hainbat lan istripu ezkutatzen ahalegindu direla.</t>
  </si>
  <si>
    <t xml:space="preserve">Urte eta erdiko kartzela zigorra eta 30.000 euroko kalte ordaina lan heriotza batengatik. 2020an izan zen ezbeharra, Murgako Zorroza Gestion de Residuos enpresan.</t>
  </si>
  <si>
    <t xml:space="preserve">Naiara</t>
  </si>
  <si>
    <t xml:space="preserve">2020ko otsailaren 29an, Bassirou Dione 24 urteko langilea hil zen Murgako Zorroza Gestion de Residuos enpresaren biltegian (Araba), haren jarduna ez izanik ere, enpresa kudeatzialeek aginduta eta segurtasun neurririk gabe, teilatura igo eta bertatik erori egin zenean. Aste honetan, aldeak ados jarri dira eta enpresak bere gain hartu du heriotzaren erantzunkizuna: urte t'erdiko kartzela zigorra onartu du eta kalte ordain gisa 30.000 euro ordaindu beharko ditu. Horren haritik, LAB sindikatuak enpresan lan baldintza gogorrak salatu ditu beste behin.</t>
  </si>
  <si>
    <t xml:space="preserve">https://www.berria.eus/kirola/hirutik-hiru-jaka-mariezkurrenarentzat_2117677_102.html</t>
  </si>
  <si>
    <t xml:space="preserve">Indartsu dabiltza Erik Jaka eta Jon Mariezkurrena. Hiru partida jokatu dituzte Binakako Txapelketan, eta hirurak irabazi. Irudi bikaina ematen ari dira: gaur bederatzi tantoan utzi dituzte Danel Elezkano eta Julen Martija (9-22), eta begi bistakoa da lekua merezi dutela txapela janzteko hautagai nagusien artean. Mariezkurrena bolada bikainean dago, eta nagusitu egiten da atzean; Jakak, berriz, aise amaitzen ditu tantoak. 16 egin ditu Bizkaia pilotalekuan.
Gorriak 3-0 irabazten hasi dira Elezkanoren jokaldi on batzuei esker. Hortik aurrera, ordea, bikote bakarra aritu da kantxan. Mariezkurrenak atzean sartuarazi du Martija, bidea erraztu dio Jakari, eta Lizartzako aurrelaria nahieran ibili da. Mota guztietako erremateak egin ditu ezer gutxi egin zezakeen Elezkanoren parean. Egin dituen 16 tantoetatik zortzi ezker gantxoa baliatuta amaitu ditu.
Elordi-Rezustarekin batera, Jaka-Mariezkurrena da norgehiagoka guztiak irabazi dituen bikote bakarra. Irabazleen bolada bikainaren aurkakoa da galtzaileen bolada eskasa. Jokin Altunaren ordez ari da Elezkano, eta emaitzak ez dira onak izaten ari. Bi partida 22-9 galdu dituzte, eta beste bat 22-8. Lehen postuetatik gehiegi urrundu nahi ez badute, laster hasi beharko dute irabazten.</t>
  </si>
  <si>
    <t xml:space="preserve">Hirutik hiru Jaka-Mariezkurrenarentzat. Aise irabazi diete Elezkano II.a-Martijari (9-22). Jakak 16 tanto egin ditu.</t>
  </si>
  <si>
    <t xml:space="preserve">Jaka-Mariezkurrena bikoteak Binakako Txapelketako hirugarren garaipena lortu du jarraian, oraingoan Elezkano-Martija 22-9 menderatuta. Hasierako tanto batzuk gorrien alde joan arren, urdinak nagusi izan dira partida osoan zehar. Elezkano Altunaren ordez ari da eta emaitzak ez dira onak izaten ari, jokatutako hiru partidetan 9 tanto amaitu baitituzte gehienez. </t>
  </si>
  <si>
    <t xml:space="preserve">https://www.berria.eus/bizigiro/larreen-eta-larrabereen-balioaz_2126273_102.html</t>
  </si>
  <si>
    <t xml:space="preserve">«Hilabete daramagu lainopean, eta hara non azaldu zareten eguzkiarekin batera». Joseba Insausti artzainarena da diosala. Mantal eta katiuska zuriak ditu soinean. Mendiko gazta ari da egiten Esnaurrieta txabolan. Ez da aspaldian hainbeste zalaparta izan hango patxada hartan.
Izango dira hogeita hamar bat lagun. Gipuzkoako basozainek gerturatu dituzte langara. Ruraltxa proiektua ezagutaraztea da helburua, eta Mantala egitasmoko kideak, Mahaia kolektiboko sukaldariak, Hazi fundaziokoak, Etorlurrekoak eta Gipuzkoako Parketxe Sarekoak daude tartean, besteak beste. «Mendiaren eta mendiko abeltzaintza estentsiboaren erabilera tradizionalari berriz ere balioa ematea»: hori da Ruraltxa proiektuaren helburua, Mikel de Francisco arduradunak azaldu duenez. Europar Batasuneko Next Generation funtsen bidez finantzatuta dago, eta Hazi fundazioa eta Coruñako eta Santiagoko unibertsitateak (Galizia) proiektuko kide dira.
Eszenatoki egokiagorik, nekez: Aralarko parke naturala, Enirio-Aralar mankomunitatea. Landako bioekonomia eta mendiko ekosistemen kudeaketa jasangarrira bidean doan ingurune paregabea. «Eta ez pentsa ingurune hau jatorrizkoa denik. Ez da horrela. Badaukagu gurean milenarismorako joera bat: uste dugu aurrean dugun hori guztia Neolitiko garaikoa dela, baina ez da hala. Hori guztia kultur paisaia bat da, gizakiaren eta naturaren harremanaren ondorioz sortzen dena», azaldu du maisuki Parketxe Sareko zuzendari Luis Mari Zalduak. Eta jarraitu du: «Patziku Perurena idazle eta lagunak behin esan zuen berak ez duela ezagutzen inguratzen gaituen hau guztia baino liburu zoragarriagorik. Eta liburuek izaten dutela aurkibidea, eta liburu honen aurkibidea toki izenek osatzen dutela».
Alegia, Jentilarri parean hasita, Arraztaranen barrena, Esnaurretara iritsi da taldea —ustez, ongi idatzita daude guztiak—. Jarrita dago ordurako otordua mahaian, txabolaren aurrean: mendiko gazta, mondeju zuria, salda, ardi gisadua eta mamia. «Iazko gazta bat jarri dizuet, eta duela hiru urteko beste bat. Azken hori okasio berezi baterako neukan. Ez dakit nolakoa egongo den», azaldu du Insausti artzainak. Eta aritu da mendiko gaztari buruz, artzaintzari eta ardiei buruz: «1998an ezagutu nuen hau guztia, eta orduan ez neukan gazta egiteko asmorik. Baina deskubritu nuen hemen sentimendu handiko artzaintza bat». Eta kontatu du: «Maitzaren 7an etorri gara aurten hona. Ikusi behar zenuten nola aldatu zitzaien aurpegia ardiei abiatu ginenean».
Aurreneko sukaldariak
Intxaustirena da gazta, eta Roberto Ruiz Hika txakolindegiko sukaldariarena menua. Mikel Olano abeltzain gaztea ere han da —berak egindakoak dira mondejuak—. Mahaia kolektiboko beste hainbat sukaldari ere badira txabolan: Pili Manterola Iribar jatetxekoa, Lidia Olaizola Kaiakoa, Javi Rivero Amakoa, Jon Aiala Laiakoa eta Dani Lopez Kokotxakoa, besteak beste. Ruizek esplikatu du zergatik aukeratu dituzten aukeratu dituzten produktuak eta nola egin nahi izan dioten gorazarre artzaintzari eta ardiari. «Guztion artean eraikitako ekosistema bat da hau, eta hemen dago gastronomiaren esentzia ere. Zergatik? Artzaina delako aurreneko sukaldaria. Hura delako esnea gazta bihurtu zuen lehena».
Zintzarri hots artean agertu da artaldea. Artzaina txabolan gelditu da gazta egiten. Taldeak Ondarreko mairu-baratzearen ondotik egin du itzulera. Ikasi dute zerbait larreen eta larrabereen balioaz.</t>
  </si>
  <si>
    <t xml:space="preserve">Larreen eta larrabereen balioaz. Ruraltxa proiektuaren testuinguruan, irteera berezi bat antolatu dute Aralarrera, Joseba Insausti artzainaren txabolara. Mantalako kideak eta Mahaiako sukaldariak izan dira han, besteak beste.</t>
  </si>
  <si>
    <t xml:space="preserve">Aralarko parke naturalean, Ruraltxa proiektua ezagutarazteko irteera antolatu dute. Europar Batasuneko Next Generation funtsekin finantzatutako proiektu horrek mendiaren eta mendiko abeltzantza estentsiboaren erabilera tradizionalaren balioa indarberritzea du helburu. Hazi fundazioa eta Coruñako eta Santiagoko unibertsitateak dira proiektuko kideak. Ekimenaren baitan, Joseba Insausti artzainaren txabolan hogeita hamar bat lagun bildu dira, tartean Mantala egitasmoko kideak, Mahaia kolektiboko sukaldariak, Hazi fundaziokoak, Etorlurrekoak eta Gipuzkoako Parketxe Sarekoak. Parketxe Sareko zuzendari Luis Mari Zalduak azpimarratu duenez, ingurune hori ez da jatorrizkoa, baizik eta kultur paisaia bat, gizakiaren eta naturaren arteko harremanaren emaitza. Bertan, otordu berezia dastatu dute partaideek, artzaintzari eta ardiari omenaldia egiteko: mendiko gazta, mondeju zuria, salda, ardi gisatua eta mamia.</t>
  </si>
  <si>
    <t xml:space="preserve">https://www.berria.eus/kirola/olatua-hartuta-parisera_2121856_102.html</t>
  </si>
  <si>
    <t xml:space="preserve">Euskal Herriko surflariek olatu ederra harrapatu berri dute Arecibon (Puerto Rico), Munduko Txapelketan; horren ederra, oso urrun eraman baititu: Parisko Olinpiar Jokoetara. Lau sailkatu dira: Nadia Erostarbe zarauztarra, Janire Gonzalez-Etxabarri zumaiarra, Joan Duru baionarra eta Andy Criere donostiarra. Laurak ariko dira uztailaren 27tik abuztuaren 4ra Teahupo’on (Tahiti). Han jokatuko da Olinpiar Jokoetako surfeko lehia.
Laurek Pauline Adori hartuko diote lekukoa. Angeluarra 2021eko Jokoetan aritu zen, Tokion. Bederatzigarren izan zen. Ekitaldi horretan lehiatu ziren aurrenekoz surflariak Olinpiar Jokoetan. Hiru urte geroago, euskal surflariak orduan halako lau izango dira. Sekulako jauzia da.
Euskal Herrian daude jada Puerto Ricon aritu diren euskal surflariak. Gaur, Eusko Jaurlaritzaren Basque Team fundazioak harrera egin die Erostarberi, Gonzalez-Etxabarriri eta Criereri Donostiako Aquariumean, eta Munduko Txapelketan egindako lan bikaina aitortu: Erostarbe laugarren izan da, Criere seigarren, eta Gonzalez-Etxabarri hamabosgarren. Duru, berriz, laugarren izan da.
Olatz Legarza Basque Teameko koordinatzaileak goratu egin du euskal surflarien lorpena. «Egun historikoa da euskal surfarentzat eta kirolarentzat. Jende askoren ametsak bete dira».
Pozarren daude Erostarbe, Gonzalez-Etxabarri eta Criere. «Oso-oso pozik nago. Helburua Olinpiar Jokoetarako sailkatzea zen, eta, hori lortuta, lasaiago aritu naiz. Laugarren izan naiz. Sekulako emaitza da, inoiz lortu dudan onena. Oso zoriontsu naiz, batez ere hirurak sailkatu baikara. Bete-betean ariko gara Jokoetan. Oso ondo aritzen bagara, agian hiru domina ekarriko ditugu etxera: zergatik ez?», azaldu du Erostarbek.
Criere ere oso pozik dago, elkarrekin biziko baitute Olinpiar Jokoetako esperientzia. Oso argi du zein izan den gakoa: «Familia bat izan gara: elkarrekin bazkaldu dugu, eta elkarrekin hitz egin gauza onei, txarrei, garrantzitsuei eta sinpleei buruz. Elkar babestu dugu, eta horrek indar handia eman digu». Zalantzarik ez du zergatik ariko diren horrenbeste euskal surflari Jokoetan: «Eredu handiak izan ditugulako». Hori esan, eta berehala begiratu dio Aritz Aranbururi. Parean zuen surflari zarauztarra.
Teahupo'oko olatu berezia
Gonzalez-Etxabarrik, berriz, aitortu du egindakoa «sinetsi ezinda» dagoela. «Ametsetan nago oraindik. Maila nagusiko lehen munduko txapelketa izanda, gozatzea zen helburua, baina ezin hobeto atera da dena. Izugarri pozik nago». Kezka bakarra du: mina du belaunean. «Gaur bertan joango naiz fisioterapeutarengana, eta buru-belarri jarriko naiz lanean belauna ondo osatzeko. Oso garrantzitsua da datorrena, eta oso ondo egon behar dugu».
Teahupo’oko olatuan ariko dira Jokoetan. Erostarbek eta Gonzalez-Etxabarrik ez dute han surf egin sekula. Crierek, aldiz, bai, eta azpimarratu du «oso olatu berezia» dela. «Aldakorra da, eta txundituta uzten zaitu. Oso garrantzitsua izango da egokitzea. Ea aukera dugun han ahalik eta gehien entrenatzeko». Zailtasunak zailtasun, ondo aritzeko itxaropentsu daude. Erostarbek argi du: «Badago aukera».</t>
  </si>
  <si>
    <t xml:space="preserve">Olatu ona hartuta, Olinpiar Jokoetara. Basque Team fundazioak harrera egin die Nadia Erostarberi, Janire Gonzalez-Etxabarriri eta Andy Criereri. Hiru horiek eta Joan Duru izango dira Parisko Olinpiar Jokoetan ariko diren euskal surflariak.</t>
  </si>
  <si>
    <t xml:space="preserve">Euskal surfak sekulako jauzia emango du Parisko Olinpiar Jokoetan. Izan ere, Tokio 2021ean Pauline Ador besterik aritu ez bazen, oraingoan lau ordezkari izango ditu: Nadia Erostarbe, Janire Gonzalez-Etxabarri, Joan Duru eta Andy Criere. Laurak Puerto Ricon jokatutako Munduko Txapelketan sailkatu dira, maila bikaina erakutsita: Erostarbe eta Duru laugarren sailkatu dira, Criere seigarren eta Gonzalez-Etxabarri hamabosgarren. Gaur, Basque Team fundazioak harrera beroa egin die surflariei Donostiako Aquariumean, eta lorpena historikotzat jo du euskal surfarentzat. Kirolariek, pozez gainezka, taldean egindako lana nabarmendu dute arrakastaren gakotzat. Olinpiar Jokoetako surf lehiaketak Tahitiko Teahupo'on jokatuko dira uztailaren 27tik abuztuaren 4ra. Bertan, olatu berezia izango dute zain: aldakorra eta txundigarria, Crierek dioenez. Erronka handia izango da denontzat, baina bereziki han inoiz surf egin ez duten Erostarbe eta Gonzalez-Etxabarrirentzat.</t>
  </si>
  <si>
    <t xml:space="preserve">https://www.berria.eus/bizigiro/badago-ezkutuan-dagoen-sektore-bat-sarietatik-kanpo-idazten-ari-dena_2119644_102.html</t>
  </si>
  <si>
    <t xml:space="preserve">Umetatik istorioak kontatu nahi izan ditu Iñigo Satrustegik (Iruñea, 1997). Egile Berrientzako Iruñeko Literatur Lehiaketa irabazi du, narrazioan, Oheak gordetzen duena lanarekin. Protagonistaren eskutik, heriotzaren ondorioz sortzen diren egoerak aztertzen dira kontakizunean. Aipamen berezia ere lortu du poesia sailean, Ebakiduraariketak lanarekin.
Literatura beti izan duzu lagun?
Harreman gorabeheratsua izan dut irakurketarekin. Unibertsitatean Itzulpengintza ikasi nuen, ez bainuen Literatura ikasi nahi. Karreran irakasle batzuek erakutsi zizkiguten literaturaz disfrutatzeko moduak, eta literaturarekin nuen harremana berreskuratu dut.
Zer-nolako eragina du itzulpengintzak zure idazteko eran?
Itzulpengintza ariketa bat da sortzaile izan nahi duenarentzat.
Zer gordetzen du oheak?
Hasieratik badakigu amona hilko dela: ez da sekretu bat. Heriotzaren aurrean dauden portaera desberdinak aztertu nahi nituen. Heriotza ez da garrantzitsuena, baizik eta horrek inguruan zer eragin duen. Heriotza laguntzailea da istorioa kontatzeko orduan.
Heriotzaren gaia zentzumen guztiekin landu nahi zenuen?
Bai. Oso sentsoriala da, irakurlea hor kokatu nahi bainuen. Gauza batzuk kopiatu ditut hainbat liburutatik; sonoritatea, adibidez. La casa de Bernarda Alba obran [Bernarda Albaren etxea] [Federico Garcia] Lorcak kolorearekin transmititzen duena ere helarazi nahi nuen; hildakoaren azalean islatu dut hori. Maite ditudan ariketak praktikan jartzeko aukera zen.
Zaintza erdigunean jarri nahi zenuen?
Bai. Zaintzaile bat dago, eta estimua dio hildakoari, baina hildakoaren ahizpak ez du onartzen. Zaintzaren eta familia instituzioaren arteko harremana landu nahi nuen; batzuetan, ez da perfektua. Ez naiz ur handitan sartu, eta pena ematen dit: zaintzailea klase ikuspegitik edukiarekin betetzeko aukera nuen, topiko batean ez uzteko.
«Emakumeek agindu dute beti gurean», dio protagonistak. Zaintzan ere bai?
Bai, eta istorioa oso feminizatuta dago, nahita. Familiaren ardura eta zaintza nork hartzen dituen aztertu nahi nuen. Nire inguruan gehienak emakumeak dira, eta gauza asko ikasi ditut.
Protagonistaren generoa ez da ezaguna. Nahita egin duzu hori?
Bai. Horrek ematen du aukera ipuina bi modutara irakurtzeko. Ez dut arreta jartzen pertsonaiaren izaera horretan, saiatu nahi bainuen pertsona hori ez emakume ez gizon egiten. Zer behar daukagu zehazteko? Nik ez daukat argi pertsonaia zer den.
Zaintzaileak gordetzen du amonaren sekretua. Familiak deskubrituko du?
Ez dakit. Amaiera ireki hori gustatzen zait.
Narrazioak errealitatetik edan behar du?
Kasu honetan, gaur bertan gerta zitekeen istorioa, baina badago magia puntu bat. Bizitza errealean ere gertatzen da hori: jendeak arrazoi mistiko bat bilatzen du gertatzen diren gauzak ulertzeko.
Sariak ateak irekiko dizkizula uste duzu?
Esposizio bat da, bai. Harreman konplexua dut sariekin. Badago ezkutuan dagoen sektore bat, sarietatik kanpo idazten duena.
Aipamen berezia lortu duzu poesia sailean. Narrazioan edo poesian, non zabiltza erosoen?
Poesian. Narrazioan bide bat irekitzen baduzu, ezin duzu erdizka utzi, eta poesian hori egitea errazagoa da niretzat.
Prest duzu sari banaketara eramango duzun kamiseta?
Bai. Zezenketarik ez! kamiseta. UPNrekin, utzi egin zioten sari banaketa egiteari, haientzat deserosoa baitzen euskaldun batzuei eskua ematea eta zer kamiseta zeramatzaten ikustea. Ahal badut, alkateari esango diot bere agindupean zenbat zezen hilko diren, eta baita oraindik kalean bizi den jendea badagoela ere. Triunfalismorik ez.
LOTSABAKO</t>
  </si>
  <si>
    <t xml:space="preserve">«Badago ezkutuan dagoen sektore bat sarietatik kanpo idazten ari dena». Familian sortzen diren botere harremanak landu ditu Satrustegik bere lanean, baita zaintza ere: «Familiaren ardura eta zaintza nork hartzen dituen aztertu nahi nuen».</t>
  </si>
  <si>
    <r>
      <rPr>
        <sz val="9"/>
        <color rgb="FF000000"/>
        <rFont val="Arial"/>
        <family val="0"/>
        <charset val="1"/>
      </rPr>
      <t xml:space="preserve">Iñigo Satrustegik (Iruñea, 1997) Egile Berrientzako Iruñeko Literatur Lehiaketa irabazi du narrazio sailean </t>
    </r>
    <r>
      <rPr>
        <i val="true"/>
        <sz val="9"/>
        <color rgb="FF000000"/>
        <rFont val="Arial"/>
        <family val="0"/>
        <charset val="1"/>
      </rPr>
      <t xml:space="preserve">Oheak gordetzen duena</t>
    </r>
    <r>
      <rPr>
        <sz val="9"/>
        <color rgb="FF000000"/>
        <rFont val="Arial"/>
        <family val="0"/>
        <charset val="1"/>
      </rPr>
      <t xml:space="preserve"> lanarekin. Lan horretan heriotzaren ondorioz sortzen diren egoerak aztertu ditu, gaia zentzumen guztiekin landuz. Zaintzaren eta familia instituzioaren arteko harremana ere jorratzen du. Istorioa nahita dago oso feminizatuta zentzu horretan, nahiz eta egileak aitortu duen ez duela gai horretan nahi beste sakondu. Aldiz, protagonistaren generoa zehaztu gabe utzi du, irakurketa ezberdinak ahalbidetzeko. Poesia eta narrazioaren artean, Satrustegi erosoago sentitzen da poesian. Hain zuzen ere, aipamen berezia jaso du lehiaketa berean poesia sailean </t>
    </r>
    <r>
      <rPr>
        <i val="true"/>
        <sz val="9"/>
        <color rgb="FF000000"/>
        <rFont val="Arial"/>
        <family val="0"/>
        <charset val="1"/>
      </rPr>
      <t xml:space="preserve">Ebakiduraariketak</t>
    </r>
    <r>
      <rPr>
        <sz val="9"/>
        <color rgb="FF000000"/>
        <rFont val="Arial"/>
        <family val="0"/>
        <charset val="1"/>
      </rPr>
      <t xml:space="preserve"> lanarekin. Sariekiko jarrera konplexua azaldu du, eta sari-banaketa zezenketen aurkako aldarrikapena egiteko baliatzeko asmoa agertu du.</t>
    </r>
  </si>
  <si>
    <t xml:space="preserve">https://www.berria.eus/bizigiro/istorioak-irudien-bidez-kontatzen-ditut-oso-hizkuntza-unibertsala-da_2121576_102.html</t>
  </si>
  <si>
    <t xml:space="preserve">Gurutzi Arregi, Begoña Ereñaga, Gloria Zubia, Elbira Inurrieta... Durangaldeko hamabost emakumeren erretratuak egin ditu Maitane Azurmendi margolariak (Mungia, Bizkaia, 1978), WikiEmakumeok proiektuko kideek proposatuta. Historiako izen handien ondoan ageri ez diren emakumeei aurpegia jarri die, zuri-beltzeko marrazkien bidez. Ostiraletik ikusgai dago erakusketa, Durangoko Arte eta Historia Museoan (Bizkaia).
Nortzuk dira irudietako emakumeak?
Lorpen handiak egin arren inon agertzen ez diren emakumeak dira. Ez dago haien erretraturik, asko jota argazki zaharren bat, eta horretan kolaboratu dut nik, haiei aurpegia jartzen.
Nondik heldu zitzaizun proposamena?
Euskal Herriko emakume aitzindariak ezagutarazteko lan egiten dute WikiEmakumeok proiektuan, eta haien enkargua izan zen. Gehiago egin ditut, baina, Durangaldekoak direnez, haiei aipagarrienak iruditu zaizkienak aukeratu dituzte.
Zer garrantzi du haiei aurpegia jartzeak?
Azkenean, oso bisualak gara. Jendeari aurpegia jartzea gustatzen zaigu, eta gure herriko istorioetan arreta jartzen dugu horrela. Nik dena ilustratzen dut, dena dira irudiak niretzat. Aurpegia jartzea gustatzen zaigu duela ehun urte Bartzelonara joan eta txapelketak irabazten zituzten emakume erraketistei, edo Elbira Inurrieta elorriarrari [Bizkaia], zeinak XX. mende hasieran lagundu zuen 2.400 haur erditzen, ur irakinarekin eta lau trapurekin soilik.
Urrutikoak bezala, etxe ondokoak ere txalotu behar dira?
Haluzinatu egin dut haien istorioekin. Izenak ematen zizkidaten, eta ikertu egiten nuen lehenik. Duela berrehun urte bazeuden harri jasotzen ibiltzen ziren emakumeak, adibidez. Milaka gauza egin dituzte emakumeek, eta gaur egun ditugun gauza asko haiei esker ditugu, baina ez diete eman dagokien lekua.
Zergatik daude zuri-beltzean?
Nire sinadura da zuri-beltza. Badaude salbuespenak, ordea: Inurrieta emaginak begi urdin oso potenteak zituen, eta ukitu urdin bat eman diot marrazki horri. Agian Picassoren Gernika-rekiko dudan obsesioagatik izango da, baina, gainera, uste dut kolorerik gabe ere esan beharreko guztia esaten dutela irudiek, ez dadin arreta koloreetan galdu.
Noiztik egiten dituzu erretratuak?
Aspaldidanik. Norbait edo zerbait ikusten dudan aldiro aritzen naiz hura mentalki marrazten. «Horrela egingo nioke begi ninia, irribarre hori, keinu hori...», pentsatzen dut.
Beti esaten omen duzu marrazkiak egiten dituzula. Zergatik marrazkiak?
Agian hobea naizelako marrazkiekin, hitzekin baino. Hitzen bidez esatea lortzen ez dudan gauza asko esaten ditut irudien bidez. Istorioak irudien bidez kontatzen ditut; oso hizkuntza unibertsala da. Ez dauka adinik, ezta mugarik ere. Nire adierazteko eta bizitzeko modua da.
Zorrotz hedabiderako Gernikaren bihotza egin zenuen. Bihotzetik marrazten duzu beti?
Gernikaren bihotza bonbardaketaren urteurren batean jaio zen, urtero egun horretan zerbait berezia egin nahi izaten dudalako. Nire bihotza da. Beti egiten dut bihotzaren alde, tarteka bizitzak kolpeak eman arren. Leku pila batean ikusi dut; jendeak haren tatuaje bat egin duela ere entzun dut.
Salaketarako eta memoriarako erabiltzen duzu marrazketa?
Bai, gaurkotasunari lotuta: hau gertatu da, edo bestea gertatu da, gaur bezalako egun batean norbaitek hau edo bestea egin zuen... Palestinaren kontua ere barru-barruraino iristen ari zait. Baina ikusgaitasuna beste era batean emateko modua da.
Eta zeure buruaren erretratua egina duzu?
Bai! Bat baino gehiago: betaurrekoekin, gabe... Autorretratuak ez dezala hutsik egin.
LOTSABAKO
Erakusketako erretratu bat?
Oihana Azkorbebeitiarena.Erreferente bat?
Amama Pantxike.
Hurrengo erretratua, nori?
Ikusiko dugu.</t>
  </si>
  <si>
    <t xml:space="preserve">«Istorioak irudien bidez kontatzen ditut; oso hizkuntza unibertsala da». Marrazketa ikusten eta sentitzen duena adierazteko erabiltzen du Azurmendik. Erakusketaren bidez, historia liburuetan agertzen ez diren Durangaldeko emakumeen istorioak ezagutarazi nahi dituzte.</t>
  </si>
  <si>
    <t xml:space="preserve">Maitane Azuremendi (Mungia, 1978) margolariak Durangaldeko hamabost emakumeren erretratuak egin ditu, Gurutzi Arregi, Begoña Ereñaga, Gloria Zubia, eta Elbira Inurrietarenak, besteak beste. Erretratuak Durangoko Arte eta Historia Museoan ikusgai daude ostiraletik. WikiEmakumeok proiektuaren enkarguz sortutako lanak dira, Euskal Herriko emakume aitzindariak ezagutarazteko helburuarekin eginak. Izan ere, lorpen handiak egin arren, emakume horiek ez dira ageri historiako izen handien artean. Azurmendiren ustez, jendeari aurpegia jartzea funtsezkoa da horien istorioetan arreta jartzeko, irudia hizkuntza unibertsala izanik. Zuri-beltzean egin ditu erretratuak, bere sinadura artistikoa erabiliz. </t>
  </si>
  <si>
    <t xml:space="preserve">https://www.berria.eus/euskal-herria/etxeko-atxiloaldia-ezarri-diote-labioko-hiltzaileari_2124515_102.html</t>
  </si>
  <si>
    <t xml:space="preserve">Agoizko Lehen Instantziako Epaitegiko epaileak etxeko atxiloaldia ezarri dio igandean Labion (Nafarroa) semea hil zuen 83 urteko gizonari. Epaileak ez dio komunikatzeko eskubiderik mugatu, eta ez dio bermerik ezarri. Hilketa delitua egotzi dio. Aitak 55 urteko semea hil zuen tiroz, bere etxean. Foruzaingoak atxilotu egin zuen, eta gaur pasatu da epailearen aurretik.
Etxeko atxiloaldia ezarri dio, auzi medikuak egindako azterketaren emaitzak ikusi eta gero: urologia, nefrologia, onkologia eta kardiologia zerbitzuen zaintza behar du, eta epaileak ondorioztatu du ez dagoela espetxean sartzeko moduan, ez orain, ez gero.
Fiskalak behin-behineko espetxe arindua eskatu du, zaintzapean, uste baitu ihes egiteko eta frogak suntsitzeko edo ezkutatzeko arriskua dagoela. Defentsak, berriz, azaldu du ez dagoela ihes egiteko eta frogak suntsitzeko edo ezkutatzeko arriskurik. 15.000 bermea eskatu du etxeko atxiloaldia saihesteko eta aita prozesuan izango dela ziurtatzeko. Epaileak, ordea, etxeko atxiloaldia ezarri du, ihes egiteko arriskua dagoela uste duelako eta aitaren ekintza «bereziki bortitza» izan zelako. Hilketagatik jaso dezakeen zigorrak eta ingurukoen aldetik jaso dezakeen laguntzak ihes egiteko «tentazioa» eragin diezaioketela zehaztu du epaileak, baita ikertuaren adina eta osasun egoera zein diren ikusita ere.
Epailearen ebazpenaren arabera, semea aitaren etxera joan zen ostiral goizaldean, ordu biak aldera. Aitari agindu zion hurrengo goizean 200 euro emateko edo, bestela, hil egingo zuela. Labana jarri zion lepoan. Goizalde horretan bertan, aita txakurra ateratzetik bueltatu zenean, semea aurkitu zuen etxean. Berriro ere 200 euroak eskatu zizkion eta labana jarri lepoan. Aitak uko egin zion semeari dirua emateari.
Aita logelara igo zen, eskopeta hartu, hiru kartutxo kargatu eta semearengana jaitsi zen. Semea erdi lo zegoen sofa ohean, baina esnatu zenean labana hartzen saiatu zen. Aitak hiru tiro egin zizkion, bi bihotzaren parean eta hirugarrena aurpegian.</t>
  </si>
  <si>
    <t xml:space="preserve">Etxeko atxiloaldia ezarri diote Labioko hiltzaileari. Epaileak hilketa leporatu dio. Uste du ez dagoela espetxean sartzeko moduan, ez orain, ez gero.</t>
  </si>
  <si>
    <t xml:space="preserve">Agoizko Lehen Instantziako Epaitegiko epaileak hilketa delitua egotzi dio 83 urteko gizonari, ostirealean Labion (Nafarroa) 55 urteko semea tiroz erail izanagatik, honek dirua eskatu eta hiltzeko mehatxu egin ondoren. Defentsak 15.000 euroko bermea proposatu du etxeko atxiloaldia saihesteko. Fiskalak, berriz, behin-behineko espetxe arindua eskatu du, ihes egiteko eta frogak suntsitzeko arriskua dagoela argudiatuta. Azkenean, auzi medikuaren txostena ikusita, epaileak ondorioztatu du gizona ez dagoela espetxean sartzeko moduan. Etxeko atxiloaldia ezarri dio, ekintza 'bereziki bortitza' izan zela eta ihes egiteko arriskua dagoela iritzita. Hala ere, ez dio ez komunikatzeko eskubiderik mugatu, ez bermerik ezarri.</t>
  </si>
  <si>
    <t xml:space="preserve">https://www.berria.eus/ekonomia/sektore-eolikoa-eta-milaka-lanpostu-desagertzeko-arriskuaz-ohartarazi-du-elak_233844_102.html</t>
  </si>
  <si>
    <t xml:space="preserve">Azaroaren 21ean urteko emaitzak eta etorkizuneko plan estrategikoa aurkeztuko ditu Siemens Gamesak. Data hori egutegian hizki gorriz markatua dute enpresa eoliko horretako ELAren ordezkariek. Azken bi urteetan, kostuen igoeraren, sektoreko lasterketa teknologikoaren eta Txinako enpresen lehia desleialaren ondorioz, lurreko haize errotak egiten dituzten hiru enpresa handiek errentagarritasun arazo larriak dituzte. Horietako bat da Siemens Gamesa, eta lanpostu galera handi bat iragarriko ote duen beldur dira. Sektorea bera arriskuan dagoela ikusten dute.
Ez da funtsik gabeko beldurra. Asteon, Reuters agentziak zabaldu du Siemens taldea aztertzen ari dela Siemens Gamesako fabrika eta bulegoak saltzea. Informazio horrek adierazten duenez, luzarora arnasa emango lioke energia eolikoko atalari, fabrikazioaren funtsezko osagaiak azpikontratuko lituzkeelako, hala nola haize erroten hegalak. Aurrezteko asmo horrek erakutsiko luke Asiako lehiakideen esku utziko lukeela atal hori.
Informazio horrek islatzen du badela kezkatzeko arrazoia. Gaur goizean, Carlos Matute eta Josean Hernandez Siemens Gamesako ordezkariek eta Puy Remirez ELA Industriako ordezkariek azaldu dute Siemens Gamesako buruzagiek lasaitasuna ematen dietela, baina ez dira fio haien hitzez. Adibide gisa jarri dute bertako hainbat hornitzaile azpikontratatzeari utzi diotela. «Enpresek ez dute negozio marjinarik. Denbora daramate jendea kaleratzen, produkzioa kanporatzen langile merkeagoko herrialdeetara eta hornitzaileak mehatxatzen prezioak jaitsi ezean alde egingo dutela Txinaren moduko beste toki batzuetara», azaldu du Carlos Matutek.
Paradoxikoki, aldeko haizea izan beharko luke sektore eolikoak trantsizio energetikoaren garaiotan. Alta, kontrako egoera deskribatu du Matutek: «Kontratua izenpetzen da, eta handik bi urtera parkea ezartzen da. Bi urte horietan gerta daitezkeen edozein aldaketak —inflazioa, kostuen igoera, gorabehera meteorologikoak...— milioi askoko kalte ordainak eragiten ditu parke horretan».
Aldi berean, potentzia eta tamaina handiagoko errotak gero eta merkeago egiteko lehia teknologikoa dago. Horrek guztiak mesede egiten die finantza gihar handiagoa duten Asiako lehiakideei, bereziki Txinakoei. ELAk salatu du Txinako Gobernutik jasotzen duten laguntzaren ondorioz «lehia desleiala» egiten dutela, eta merkatuan abantaila handia hartu, Europako ekoizleen lepotik. «Ez dugu arau berekin jokatzen». Euskal Herrira iritsi ez badira ere, Espainian hainbat proiektu sustatzen ari direla aurreratu dute.
Horregatik, sektorea babesteko eskatu dute, parkeak adjudikatzerakoan tokiko produkzioa lehenetsiz. Ontzat jo dituzte Ursula Von der Leyen Europako Batzordeko presidenteak sektorearen alde zerbait egiteko beharrari buruz egindako adierazpenak. Urriaren 24an jakinaraziko du Europako Batzordeak zer egingo duen, baina ELAk gogorarazi du babes neurriek deslokalizazioaren aurkako baldintzak jaso beharko lituzketela.
Siemens Gamesak Hego Euskal Herrian 2.900 laguni ematen die lana, eta Nafarroako Gobernuari eta Eusko Jaurlaritzari eskatu diote sektore estrategikoa babes dezatela. Nafarroako Gobernuaren eta Eusko Jaurlaritzaren aldetik «hitz hutsalak» jaso dituztela kritikatu dute: «Ez dute harago begiratzen: ez dute etorkizunera begiratzen. Behar dugu aurrez jokatzea eta bertako sektorea babestea», esan du Matutek. Datozen asteetan bilerak eskatuko dizkiete bi gobernuei eta eragile politikoei.</t>
  </si>
  <si>
    <r>
      <rPr>
        <sz val="9"/>
        <color rgb="FF000000"/>
        <rFont val="Arial"/>
        <family val="0"/>
        <charset val="1"/>
      </rPr>
      <t xml:space="preserve">Sektore eolikoa eta milaka lanpostu desagertzeko arriskuaz ohartarazi du ELAk. Siemens Gamesak, </t>
    </r>
    <r>
      <rPr>
        <strike val="true"/>
        <sz val="9"/>
        <color rgb="FF000000"/>
        <rFont val="Arial"/>
        <family val="0"/>
        <charset val="1"/>
      </rPr>
      <t xml:space="preserve">Nordex Accionak eta Vestasek</t>
    </r>
    <r>
      <rPr>
        <sz val="9"/>
        <color rgb="FF000000"/>
        <rFont val="Arial"/>
        <family val="0"/>
        <charset val="1"/>
      </rPr>
      <t xml:space="preserve"> galera handiak dituzte, eta sindikatuak uste du «ezer egin ezean» kolokan egon daitekeela Euskal Herrian estrategikotzat jotzen den alor hori</t>
    </r>
  </si>
  <si>
    <t xml:space="preserve">Siemens Gamesak, Hego Euskal Herrian 2.900 langile dituen enpresak, urteko emaitzak eta etorkizuneko plan estrategikoa aurkeztuko ditu azaroaren 21ean. ELAren ordezkariak lanpostu galera handiak iragarriko dituen beldur dira, Reuters agentziak zabaldu baitu fabrika eta bulegoak saltzea eta fabrikazioaren funtsezko osagaiak azpikontratatzea aztertzen ari dela Siemens taldea. Izan ere, lurreko haize errotak egiten dituzten enpresek errentagarritasun arazo larriak izan dituzte azken bi urteetan hiru arazo nagusirengatik: kostuen igoera, gero eta errota handiagoak merkeago egiteko lasterketa teknologikoa, eta Txinako enpresen lehia desleiala. Hori dela eta, ELAk hainbat neurri eskatu ditu: sektorea babestea parkeak adjudikatzerakoan tokiko produkzioa lehenetsiz, Nafarroako Gobernuak eta Eusko Jaurlaritzak sektore estrategiko gisa babestea, eta Europako babes neurriek deslokalizazioaren aurkako baldintzak jasotzea.</t>
  </si>
  <si>
    <t xml:space="preserve">https://www.berria.eus/kultura/mikroipuinak-txikiak-baina-ez-hutsalak_2121931_102.html</t>
  </si>
  <si>
    <t xml:space="preserve">Idoia Torregarai (Usurbil, Gipuzkoa, 1974) UEUko komunikazio arduraduna da lanbidez, baina umoreak egin du ezagun. Idazle gisa sare sozialetan urratu du bidea, eta bereziki Twitterren zabaldu du bere balio erantsia. Batzuentzat oztopo izan zitekeena, 140 karaktereko muga, bere sormenaren alde baliatzen jakin baitu, eta perla asko txiokatu baititu urteen poderioz. Perla horietatik asko Mikroipuinak liburuan batu ditu, Zaldieroaren ilustrazioz lagunduta. Elkar argitaletxeak plazaratu du.
Torregarairen txioek eguneroko errealitatea erretratatzeko gaitasuna dutela dio Xabier Mendiguren editoreak, «baina ez modu kostunbristan, ifrentzua erakutsiz baizik». Agerikoa ez den egunerokotasun horri, beraz, «umorea eta lirismoa» zukutzen dizkio hitz gutxiko piezetan; edo, bestela esanda, «edertasuna eta ezustea».
Baina liburu honek beharbada ez zukeen argia ikusiko —ez behintzat publikatu den gisan—, Patxi Uharte Zaldieroa BERRIAko komiki zintagileak (Faltzes, Nafarroa, 1966) Torregarairen txioei arreta jarri izan ez balie, eta horietariko batzuk bere espaziora, De Rerum natura-ra, marrazki bihurtuta eraman izan ez balitu. «Ez dakigu zergatik izan ote zen, auzolanean sinesten duelako edo ideiak agortzen ari zitzaizkiolako», esan du Mendigurenek. Nolanahi dela ere, hortik sortu zen Mikroipuinak liburua ontzeko ideia.
Ipuinak nolakoak, liburua ere halakoa. Izan ere, txikia da liburuen neurri estandarraren aldean, eta mikroipuin guztiak ere ez daude ilustratuta; «kargantea zatekeen», Zaldieroaren aburuz. Beronek «minimalismoa» du gogoko, baita zuritasuna ere, «edo, bederen, marrazkiak dena ez hartzea». Ildo horretan, mikro formatura jo du hark ere, eta BERRIAko komiki zintetakoak izan ezik —«oso politak dira, eta ezin argitara eman gabe utzi»—, gainerakoetan xehetasuna besterik ez du marraztu. Ilustratu gabe gelditu diren orrialde horiek direla eta, «norbere marrazkiak egitera» gonbidatu ditu irakurleak.
Kroketak eta maitasuna
150 istorio batzen ditu liburuak. Horietan gai asko aurkituko ditu irakurleak, baina baita «obsesio ugari» ere; esate baterako, janarena. Torregarai: «Kroketek agertu behar zuten, ezinbestean». Maitasuna eta poltsa beroa ere badira haren obsesioak, egunerokoan ageri diren beste gauza txiki asko bezala. Sortzeko, «momentuko txinparta» du gustukoen, hots, datorrenari etorri orduko heltzea, nahiz eta ondoren zuzenketak egin behar izan. Baina bada su txikiagoan landutako mikroipuinik ere.
Libururako, aukeraketa bat egin behar izan dute biek, espresuki. Hiruzpalau aldiz pasatu dute bahea, eta, Torregaraik aitortu duenez, ez da langintza erraza izan, liburuan ateratako kopurua halako lau zabaldu baititu sarean, horretan daramatzan hamabi urtean. Besteak beste, errepikakorrak ez izatea edota marrazteko aukera ematea izan dute kontuan.
«Inoiz ez dut astirik ez animorik izan libururik idazteko, baina sare sozialetako moztasun horrek halako bide bat zabaldu zidan».
IDOIA TORREGARAIKazetari eta idazlea
Idaztea helburu
«Idaztetik bizi nahi nuelako ikasi nuen kazetaritza», azaldu du, eta asko idatzi du ikasle izateari utziz geroztik, hala nola elkarrizketak, bakarrizketak, gidoiak, podcastak edota txostenak. Baina inon laketzekotan, Twitterren laketu da: «Toki berezi bat aurkitu nuen hor, oso interesgarria, euskal komunitatea alegia, eta oso gustuko izan dut komunitate horren iritziak irakurtzea». Garai hartan 140 karaktereko muga izaten zuen txioak, eta aproposa iruditu zitzaion, besteak beste, sormena askatzen hasteko eta burutazioak paratzeko: «Inoiz ez dut astirik ez animorik izan libururik idazteko, eta sare sozialetako moztasun horrek halako bide bat zabaldu zidan».
Hastapenean, alter ego bat sortu, eta haren bidez plazaratu zituen bere burutapenak. Josunestilist zuen sinadura, eta hala dio bere profilak: «Josune naiz. Pelukera. Inkognitoan idazten dut hemen, klientak ez enteratzeko bizitza kultural sekretua daukatela. Nire gerra oihua: Tinteak libre egingo zaitu!». Traola bat ere izan du makulu, gerora: #mikroipuin. Pittaka, ordea, mundu birtualetik atera, eta lurrera etortzeko grina izan du. Duela bi urte edo, liburu bat egitea otu zitzaionean, Zaldieroarengana jo zuen: «Beste ilustratzailerik ez nuen nahi, egia esan, baina kostata eman zidan baiezkoa». Alabaina, lortu zuen, eta orain arte egin gabekoa egin dute: lerro eskas bat besterik ez diren esaldiak literatura bihurtu. Ipuinetan, laburretan laburrena aldarrikatu.</t>
  </si>
  <si>
    <t xml:space="preserve">‘Mikroipuinak’: txikiak, baina ez hutsalak. Idoia Torregaraik eta Patxi Uharte 'Zaldieroa'-k mikroipuin bilduma bat ondu dute elkarrekin, sare sozialetako txioetatik abiatuta. Eguneroko errealitatea dakarte, umorez.</t>
  </si>
  <si>
    <r>
      <rPr>
        <sz val="9"/>
        <color rgb="FF000000"/>
        <rFont val="Arial"/>
        <family val="0"/>
        <charset val="1"/>
      </rPr>
      <t xml:space="preserve">Idoia Torregarai (Usurbil, 1974) UEUko komunikazio arduradunak </t>
    </r>
    <r>
      <rPr>
        <i val="true"/>
        <sz val="9"/>
        <color rgb="FF000000"/>
        <rFont val="Arial"/>
        <family val="0"/>
        <charset val="1"/>
      </rPr>
      <t xml:space="preserve">Mikroipuinak</t>
    </r>
    <r>
      <rPr>
        <sz val="9"/>
        <color rgb="FF000000"/>
        <rFont val="Arial"/>
        <family val="0"/>
        <charset val="1"/>
      </rPr>
      <t xml:space="preserve"> plazaratu du Elkarren eskutik. Patxi Uharte Zaldieroa BERRIAko komiki zintagileak ilustratu du liburua. Torregarai Twitterren egin da ezagun, plataformaren 140 karaktereko muga sormenaren alde baliatuz, non hasieran Josunestilist izeneko alter egoa erabili zuen, pelukera baten paperean. Hamabi urtetan zehar sare sozialean publikatutako txioen artean aukeraketa bat egin eta 150 mikroistorio bildu ditu liburu honetan. Xabier Mendiguren editorearen hitzetan, txioek agerikoa ez den egunerokotasuna erretratatzen dute, "edertasuna eta ezustea" zukutuz. Liburuaren sorrera Zaldieroak berak bultzatu zuen nolabait, Torregarairen txio batzuk bere 'De Rerum natura' atalean marrazki bihurtu zituenean. Argitalpenari dagokionez, liburu txikia da, eta mikroipuin guztiak ez daude ilustratuta, Zaldieroak berak aitortu duenez, "kargantea" zatekeen bestela.</t>
    </r>
  </si>
  <si>
    <t xml:space="preserve">https://www.berria.eus/euskal-herria/guardia-zibilak-dio-europako-speed-laborategi-handiena-aurkitu-duela-euskal-herrian_2125543_102.html</t>
  </si>
  <si>
    <t xml:space="preserve">Guardia Zibilaren arabera, «Europako speed laborategirik handiena desegin dute» Euskal Herrian. Hala jakinarazi dute Guardia Zibilak eta Espainiako Gobernuaren Nafarroako ordezkariak gaur Iruñean, Noticias egunkariak zabaldu duenez.
Diote 800 kilo speed, 8 kilo MDMA eta 180.000 euro eskudirutan konfiskatu dituztela, eta zortzi gizonezko atxilotu dituzte Nafarroan, Gipuzkoan, Leonen (Espainia) eta Madrilen. Denak espetxean sartu dituzte. Horrez gain, gasak piztu errebolber bat, hamaika auto eta kamioi bat aurkitu dituzte. Guardia Zibilak dioenez, harrapatu dutenak 55 milioi euro baino gehiagoko balioa izango luke merkatuan.
Diotenez, droga sarearen aurkako operazioa iazko ekainean abiatu zuten, 40 kilogramo speed zeramatzan 42 urteko Bilboko gizon bat atxilotu zutenean Zuastiko ordainlekuan. Ondotik, 42 kilo speed zeramatzan kamioi bat atzeman zuten Berriobeitin (Nafarroa). Hortik zenbait egunera, kopuru bera zeukan beste ibilgailu bat Zarautzen (Gipuzkoa).
Barrandatzeak eta jarraitzeak direla medio, hala, laborategiraino heldu dira, indar armatuek jakinarazi dutenez. Donostia kanpoaldeko bulego batzuetan aurkitu omen dute. Lehen aldi horretan egin atxiloketen ondotik, ikerketa gehiago egin zituzten, eta beste pertsona batzuk atxilotu, besteak beste, Madrilen.
Harrapatutako droga eta tresneria guztiaren zerrenda zehatza eman dute agerraldian: 770.927 kilogramo speed, 8.219 kilogramo MDMA, 500 gramo haxix, substantzia aitzindariak (75 kilogramo kafeina, 88 litro anfetamina likido eta 800 litro azido eta alkohol), 185.355 euro eskudirutan, 20 eta 21 zentimetroko bi aizto, gasak piztu errebolber bat eta hamabi ibilgailu.</t>
  </si>
  <si>
    <t xml:space="preserve">Guardia Zibilak dio «Europako speed laborategirik handiena» aurkitu duela Euskal Herrian. 800 kilo speed, 8 kilo MDMA eta dirua aurkitu dituztela diote, besteak beste. Zortzi gizonezko atxilotu eta espetxean sartu dituzte, sarekadarekin loturik.</t>
  </si>
  <si>
    <t xml:space="preserve">Guardia Zibilak jakinarazi duenez, "Europako speed laborategirik handiena" aurkitu eta desegin dute Euskal Herrian, zehazki Donostia inguruko bulego batzuetan. Ikerketaren ondorioz, zortzi gizonezko atxilotu eta espetxeratu dituzte, eta guztira 55 milioi euroko balioa duen konfiskatzea egin dute, tartean 800 kilo speed, hamaika auto eta errebolber bat. Operazioa iazko ekainean abiatu zen, egun gutxiren tartean berrogeina kilo speed inguru zeramatzaten hiru pertsona atzeman zituztenean. Hortik aurrera egindako barrandatze eta jarraitze lanei esker iritsi dira laborategiraino.</t>
  </si>
  <si>
    <t xml:space="preserve">I'll help you by translating this Basque text to English:
On February 29, 2020, a worker died at Zorroza Gestion de Residuos company in Murga (Araba). This week, the resolution of this incident became known. No trial was held, as the parties reached an agreement. However, the company has taken responsibility for what happened: it has accepted a year and a half prison sentence and will pay 30,000 euros in compensation.
Related events:
Bassirou Dione, a 24-year-old worker, died after falling from a height of nine meters while working at the company's warehouse in Murga. As LAB (a Basque trade union) reported at the time, the company's managers ordered Dione and other workers to climb onto the roof to repair a pipe. This was not part of their usual work, and they climbed up without any safety measures. While performing this task, a part of the roof broke, and Dione fell.
The legal proceedings ended with an agreement between the prosecution, private prosecution, and defense, with the accused admitting to the offenses. LAB emphasized that the circumstances of four years ago are now "even clearer," and that the responsibility for the death lies with the "managers of Zorroza Gestion de Residuos."
The union has once again denounced the company's harsh working conditions, describing it as an area "without rights" for workers. They called it a "labor Guantanamo that leaves workers in complete defenselessness." They explained that, among other things, workers are forced to work mandatory ten-hour shifts, and the company has attempted to conceal several work-related accidents.</t>
  </si>
  <si>
    <r>
      <rPr>
        <sz val="9"/>
        <color rgb="FF666666"/>
        <rFont val="Arial"/>
        <family val="0"/>
        <charset val="1"/>
      </rPr>
      <t xml:space="preserve">Testuaren edukirik garrantzitsuena hau da:
</t>
    </r>
    <r>
      <rPr>
        <sz val="9"/>
        <color rgb="FF000000"/>
        <rFont val="Arial"/>
        <family val="0"/>
        <charset val="1"/>
      </rPr>
      <t xml:space="preserve">
2020ko otsailean, Bassirou Dione izeneko 24 urteko langile bat hil zen Murgako Zorroza Gestion de Residuos enpresako biltegian. Langilea bederatzi metrotik erori zen, segurtasun neurririk gabe teilatura igo ondoren. Orain, enpresak erantzukizuna onartu du, urte eta erdiko kartzela zigorra onartuz eta 30.000 euroko kalte-ordaina ordainduz. 
</t>
    </r>
    <r>
      <rPr>
        <sz val="9"/>
        <color rgb="FF666666"/>
        <rFont val="Arial"/>
        <family val="0"/>
        <charset val="1"/>
      </rPr>
      <t xml:space="preserve">Laburpena:
</t>
    </r>
    <r>
      <rPr>
        <sz val="9"/>
        <color rgb="FF000000"/>
        <rFont val="Arial"/>
        <family val="0"/>
        <charset val="1"/>
      </rPr>
      <t xml:space="preserve">
Lan istripu larri bat gertatu zen 2020an Murgako Zorroza Gestion de Residuos enpresaren biltegian, non 24 urteko langile bat hil zen segurtasun falta dela eta. LAB sindikatuak enpresaren lan baldintzak gogorrak direla eta langileak babesgabe uzten dituztela salatu du. Auzibidea akordio baten bidez bukatu da, enpresak bere gain hartuta gertakarien erantzukizuna eta zigorra onartuz.</t>
    </r>
  </si>
  <si>
    <r>
      <rPr>
        <sz val="9"/>
        <color rgb="FF666666"/>
        <rFont val="Arial"/>
        <family val="0"/>
        <charset val="1"/>
      </rPr>
      <t xml:space="preserve">Hona hemen testuaren analisia 5W1H metodoa erabiliz:
</t>
    </r>
    <r>
      <rPr>
        <sz val="9"/>
        <color rgb="FF000000"/>
        <rFont val="Arial"/>
        <family val="0"/>
        <charset val="1"/>
      </rPr>
      <t xml:space="preserve">
## ZER (What)
24 urteko langile bat (Bassirou Dione) lan istripuz hil zen bederatzi metrotik erori ondoren. Enpresak erantzukizuna onartu du eta zigor gisa:
- Urte eta erdiko kartzela zigorra
- 30.000 euroko kalte-ordaina
## NORK (Who)
- Bassirou Dione (24 urteko langilea)
- Zorroza Gestion de Residuos enpresa
- LAB sindikatua
- Fiskaltzaren, akusazio partikularraren eta defentsaren ordezkariak
## NOIZ (When)
- Gertakaria: 2020ko otsailaren 29an
- Ebazpena: </t>
    </r>
    <r>
      <rPr>
        <strike val="true"/>
        <sz val="9"/>
        <color rgb="FF000000"/>
        <rFont val="Arial"/>
        <family val="0"/>
        <charset val="1"/>
      </rPr>
      <t xml:space="preserve">2024ko lehen hilabeteetan</t>
    </r>
    <r>
      <rPr>
        <sz val="9"/>
        <color rgb="FF000000"/>
        <rFont val="Arial"/>
        <family val="0"/>
        <charset val="1"/>
      </rPr>
      <t xml:space="preserve"> (aste honetan jakin da)
## NON (Where)
Murgako Zorroza Gestion de Residuos enpresaren biltegian, teilatuan
## ZERGATIK (Why)
- Enpresako kudeatzaileek langileei teilatura igotzeko agindu zieten hodi bat konpontzeko
- Ez zen haien ohiko jarduna
- Ez zituzten segurtasun neurriak hartu
- Lan baldintza gogorrengatik
## NOLA (How)
- Langileak segurtasun neurririk gabe igo ziren teilatura
- Teilatu zati bat puskatu zen
- Bassirou Dione bederatzi metrotik erori zen
- Ondorioz, langilea bertan hil zen
Sindikatuaren (LABen) arabera, enpresa "Guantanamo laboral" bat da, non langileek ez dituzten oinarrizko eskubideak bermatuta.</t>
    </r>
  </si>
  <si>
    <r>
      <rPr>
        <sz val="9"/>
        <color rgb="FF666666"/>
        <rFont val="Arial"/>
        <family val="0"/>
        <charset val="1"/>
      </rPr>
      <t xml:space="preserve">TLDR:
</t>
    </r>
    <r>
      <rPr>
        <sz val="9"/>
        <color rgb="FF000000"/>
        <rFont val="Arial"/>
        <family val="0"/>
        <charset val="1"/>
      </rPr>
      <t xml:space="preserve">
2020ko otsailaren 29an, Bassirou Dione 24 urteko langilea hil zen Murgako Zorroza Gestion de Residuos enpresako biltegi batean, 9 metrotik erori ondoren. Orain, enpresak erantzukizuna onartu du:
- Urte eta erdiko kartzela zigorra onartua
- 30.000 euroko kalte-ordaina
- LAB sindikatuak salatu du enpresak lan baldintza gogorrak dituela eta langileen eskubideak urratzen dituela
Langilearengandik ez zuen bere lan ardurei zegokien lana eskatu zioten (hodi bat konpontzea), eta inolako segurtasun neurririk gabe agindu zioten teilatura igotzea. Teilatua hautsi zen eta Dione erori egin zen.</t>
    </r>
  </si>
  <si>
    <t xml:space="preserve">This text appears to be in Basque and seems to be about a pelota (Basque handball) tournament. Let me summarize the key points:
Erik Jaka and Jon Mariezkurrena are performing strongly in the Binakako Txapelketa (Pair Championship). They have played three matches and won all three. In their latest match, they defeated Danel Elezkano and Julen Martija with a score of 22-9.
Key highlights:
- Mariezkurrena is playing exceptionally well in the back position
- Jaka is finishing points with ease, scoring 16 points in the Bizkaia pelota court
- 8 of Jaka's 16 points were won using left-hand hooks
- Along with Elordi-Rezusta, Jaka-Mariezkurrena is the only pair to have won all their matches
- Elezkano is playing as a replacement for Jokin Altuna, and their results have been poor
- They have lost two matches 22-9 and another 22-8
The text suggests that Jaka and Mariezkurrena are strong contenders for the championship, while Elezkano and Martija need to improve their performance quickly to stay in contention for top positions.
Would you like me to elaborate on any part of this summary?</t>
  </si>
  <si>
    <t xml:space="preserve">Testuaren eduki garrantzitsuena honako hau da:
Erik Jaka eta Jon Mariezkurrena indartsu dabiltza Binakako Txapelketan. Hiru partida jokatu dituzte eta hirurak irabazi, Danel Elezkano eta Julen Martijari 9-22 irabaziz. Mariezkurrena atzean nagusi da eta Jakak erraz amaitzen ditu tantoak, bereziki ezker gantxoarekin (16 tantoetatik 8). Elordi-Rezustarekin batera, Jaka-Mariezkurrena da txapelketan norgehiagoka guztiak irabazi dituen bikote bakarra.
Laburpena:
Jaka eta Mariezkurrenak bikain jokatzen ari dira Binakako Txapelketan, hiru partida irabazi eta aurkariei aukera gutxi utziz. Haien jokoa sendo eta erabakigarria da, eta gaur egun txapelketako hautagaietako bat direla erakusten ari dira. Elezkano eta Martijak, aldiz, emaitza txarrak izaten ari dira eta laster hobetu beharko dute sailkapenean ez galtzeko.</t>
  </si>
  <si>
    <t xml:space="preserve">Hemen dago testua 5W1H metodoa erabiliz aztertuta:
## Zer
Binakako Txapelketako pilota partida bat, non Erik Jaka eta Jon Mariezkurrena (gorriak) Danel Elezkano eta Julen Martijaren (urdinek) aurka lehiatu diren.
## Nork
- Gorriak (irabazleak): Erik Jaka eta Jon Mariezkurrena
- Urdinek (galtzaileak): Danel Elezkano eta Julen Martija
## Noiz
Gaur egun jokatutako partida
## Non
Bizkaia pilotalekuan
## Zergatik
Binakako Txapelketako norgehiagoka bat, non bikote bakoitzak bere postua eta txapelerako aukerak defendatzen dituen.
## Nola
- Jaka-Mariezkurrena bikoteak 9-22 emaitzarekin irabazi du partida
- Mariezkurrenak atzean lan ona egin du
- Jakak 16 tanto egin ditu, horietatik 8 ezker gantxoa baliatuta
- Elezkano eta Martijak 3-0 aurretik joan arren, gero ez zuten aukerarik izan
- Jaka-Mariezkurrena bikotea orain arte txapelketan irabazle bakarra da, Elordi-Rezustarekin batera</t>
  </si>
  <si>
    <t xml:space="preserve">Let me provide a concise TLDR of this pelota match report:
Jaka and Mariezkurrena dominated their match against Elezkano and Martija, winning 22-9. This maintains their perfect record (3-0) in the Pairs Championship. Mariezkurrena controlled the back court while Jaka efficiently finished points, scoring 16 times (8 with left hooks). While the losing pair started well at 3-0, they've been struggling badly in the tournament, having lost matches by scores of 22-9 (twice) and 22-8. They'll need to turn things around quickly to stay in contention.</t>
  </si>
  <si>
    <t xml:space="preserve">Testuak Aralarko parke naturalean gertatutako topaketa bat kontatzen du, non hainbat profesional bildu diren Ruraltxa proiektua ezagutzeko. Hona hemen eduki nagusiak:
1. Testuingurua:
- Joseba Insausti artzaina Esnaurrieta txabolan gazta egiten ari da
- 30 bat lagun bildu dira, tartean basozainak, sukaldariak eta hainbat erakundetako kideak
2. Ruraltxa proiektua:
- Helburua: mendiaren eta abeltzaintza estentsiboaren balio tradizionala berreskuratzea
- Europar Batasuneko Next Generation funtsekin finantzatuta
- Hazi fundazioa eta Galiziako bi unibertsitate daude proiektuan
3. Ingurumenaren garrantzia:
- Luis Mari Zalduak azpimarratzen du ikusten den paisaia ez dela jatorrizkoa, baizik eta gizakiaren eta naturaren arteko harremanaren emaitza
- Toki izenek kontatzen dute ingurune horren historia
4. Gastronomia eta artzaintza:
- Otorduan mendiko gazta, mondeju zuria, salda, ardi gisatua eta mamia zerbitzatu dira
- Roberto Ruiz eta beste sukaldari batzuek parte hartu dute
- Artzaina "lehenengo sukaldaria" dela azpimarratzen da, esnea gazta bihurtzeagatik
Testuan zehar nabaria da artzaintzaren, gastronomiaren eta ingurumenaren arteko lotura estua azpimarratzeko ahalegina, eta nola hauek guztiek ekosistema oso bat osatzen duten.</t>
  </si>
  <si>
    <t xml:space="preserve">Testuaren eduki garrantzitsuena da Ruraltxa proiektuaren aurkezpena Aralarko parke naturalean, zeinaren helburua den mendiaren eta mendiko abeltzaintza estentsiboaren erabilera tradizionalari balioa ematea.
Laburpena:
Esnaurrieta txabolan bildu dira 30 bat lagun, tartean Mantala egitasmoko kideak, Mahaia kolektiboko sukaldariak eta beste hainbat erakunde, Ruraltxa proiektua ezagutarazteko. Proiektu honek, Europar Batasunaren Next Generation funtsekin finantzatua, mendiko abeltzaintza tradizionalari balioa eman nahi dio. Joseba Insausti artzainak bere esperientzia partekatu du bertaratuekin, eta Roberto Ruiz sukaldariak prestatutako menua dastatu dute, artzaintzari omenaldia eginez. Ekitaldiak nabarmendu du ingurune hau kultur paisaia bat dela, gizakiaren eta naturaren arteko harremanaren emaitza, eta bertako gastronomiaren garrantzia, non artzaina den "lehenengo sukaldaria".</t>
  </si>
  <si>
    <t xml:space="preserve">5W1H analisia euskaraz egingo dut testu horrentzat:
ZER:
Ruraltxa proiektuaren aurkezpen ekitaldia, non mendiko artzaintza eta gastronomiaren arteko lotura nabarmendu zen. Ekitaldian otordu berezi bat egin zuten Esnaurrieta txabolan, bertako gazta, mondeju zuria, salda, ardi gisadua eta mamia dastatuz.
NORK:
- Joseba Insausti artzaina (anfitrioia)
- Mikel de Francisco (Ruraltxa proiektuaren arduraduna)
- Hainbat sukaldari (Roberto Ruiz, Pili Manterola, Lidia Olaizola, Javi Rivero, Jon Aiala, Dani Lopez)
- Luis Mari Zaldua (Parketxe Sareko zuzendaria)
- Mantala egitasmoko kideak
- Mahaia kolektiboko sukaldariak
- Hazi fundazioko kideak
- Etorlurreko kideak
- Gipuzkoako Parketxe Sareko kideak
- Gipuzkoako basozainak
NOIZ:
Ez da data zehatzik aipatzen ekitaldiarentzat, baina testuan aipatzen da artzaina maiatzaren 7an iritsi zela mendira urte horretan.
NON:
Aralarko parke naturalean, zehazki Esnaurrieta txabolan, Enirio-Aralar mankomunitatearen barruan. Ibilbidea Jentilarritik Arraztaranen barrena egin zuten.
ZERGATIK:
Ruraltxa proiektua ezagutarazteko, zeinaren helburua den mendiaren eta mendiko abeltzaintza estentsiboaren erabilera tradizionalari balioa ematea. Proiektua Europar Batasuneko Next Generation funtsekin finantzatuta dago.
NOLA:
Hogeita hamar bat laguneko taldea bildu zen, Gipuzkoako basozainek gidatuta. Ekitaldian, bertako produktuekin prestatutako otordua egin zuten, artzaintzaren eta gastronomiaren arteko lotura azpimarratuz. Roberto Ruiz sukaldariak prestatu zuen menua, tokiko produktuak erabiliz eta artzaintzari omenaldia eginez.</t>
  </si>
  <si>
    <r>
      <rPr>
        <sz val="9"/>
        <color rgb="FF000000"/>
        <rFont val="Arial"/>
        <family val="0"/>
        <charset val="1"/>
      </rPr>
      <t xml:space="preserve">Here's a TLDR of this Basque language article:
A group of about 30 people, including chefs, forestry workers, and representatives from various organizations, visited shepherd Joseba Insausti at his Esnaurrieta cabin in the Aralar Natural Park. The visit was organized to showcase the Ruraltxa project, which aims to revitalize traditional mountain farming and livestock practices. The project is funded by EU Next Generation funds.
During the visit, the group enjoyed a traditional meal featuring mountain cheese, white mondejo, broth, lamb stew, and mamia (curd). The meal was prepared by Roberto Ruiz from Hika txakolindegi </t>
    </r>
    <r>
      <rPr>
        <strike val="true"/>
        <sz val="9"/>
        <color rgb="FF000000"/>
        <rFont val="Arial"/>
        <family val="0"/>
        <charset val="1"/>
      </rPr>
      <t xml:space="preserve">and other members of the Mahaia collective of chefs</t>
    </r>
    <r>
      <rPr>
        <sz val="9"/>
        <color rgb="FF000000"/>
        <rFont val="Arial"/>
        <family val="0"/>
        <charset val="1"/>
      </rPr>
      <t xml:space="preserve">. They emphasized how shepherds were the first "chefs," being the first to transform milk into cheese.
The article highlights how the landscape they're in isn't purely natural but rather a cultural landscape shaped by centuries of human-nature interaction. The visit concluded with discussions about the value of pastures and grazing livestock, while the shepherd continued making cheese in his cabin.</t>
    </r>
  </si>
  <si>
    <t xml:space="preserve">This article discusses an impressive achievement by Basque surfers who have qualified for the 2024 Paris Olympics through their performance at the World Championships in Arecibo, Puerto Rico. Let me break down the key points:
Four Basque surfers qualified for the Olympics:
- Nadia Erostarbe from Zarautz
- Janire Gonzalez-Etxabarri from Zumaia
- Joan Duru from Bayonne
- Andy Criere from San Sebastian
They will compete in Teahupo'o, Tahiti, from July 27 to August 4. This marks significant progress from the previous Olympics, where only one Basque surfer (Pauline Ador from Anglet) competed in Tokyo 2021, finishing ninth.
Their World Championship results were impressive:
- Erostarbe finished 4th
- Criere finished 6th
- Gonzalez-Etxabarri finished 15th
- Duru finished 4th
The athletes were celebrated at the Aquarium in San Sebastian by the Basque Team foundation. The surfers expressed their joy and team spirit, with Criere emphasizing how they supported each other like a family throughout the competition.
Regarding the upcoming Olympics, they'll face the challenging Teahupo'o wave in Tahiti. While Erostarbe and Gonzalez-Etxabarri haven't surfed there before, Criere has experience and describes it as a "very special wave" that requires significant adaptation. Despite these challenges, they remain optimistic about their chances, with Erostarbe even suggesting the possibility of bringing home three medals.
Would you like me to elaborate on any particular aspect of their achievement or the upcoming Olympic competition?</t>
  </si>
  <si>
    <t xml:space="preserve">Testu honen edukirik garrantzitsuena da lau euskal surflari sailkatu direla 2024ko Parisko Olinpiar Jokoetarako, Puerto Ricon jokatutako Munduko Txapelketaren bidez.
Laburpena:
Nadia Erostarbe zarauztarra, Janire Gonzalez-Etxabarri zumaiarra, Joan Duru baionarra eta Andy Criere donostiarra sailkatu dira Parisko Olinpiar Jokoetara surfean lehiatzeko. Lehiaketa Teahupo'on (Tahiti) jokatuko da uztailaren 27tik abuztuaren 4ra. Munduko Txapelketan emaitza onak lortu dituzte: Erostarbe laugarren, Criere seigarren, Duru laugarren eta Gonzalez-Etxabarri hamabosgarren sailkatu dira. Surflariak pozik daude lortutakoarekin eta elkarren arteko babesak eta lankidetzak lagundu die helburua lortzen. Teahupo'oko olatu berezira egokitzea izango da orain erronka nagusia.</t>
  </si>
  <si>
    <r>
      <rPr>
        <sz val="9"/>
        <color rgb="FF000000"/>
        <rFont val="Arial"/>
        <family val="0"/>
        <charset val="1"/>
      </rPr>
      <t xml:space="preserve">Hona hemen testuaren analisia 5W1H metodoa erabiliz:
ZER: 
- Lau euskal surflari Parisko 2024ko Olinpiar Jokoetara sailkatu dira Munduko Txapelketan
- Basque Team fundazioak harrera egin die hiru surflariri Donostiako Aquariumean
NORK:
- Sailkatu diren surflariak: 
  * Nadia Erostarbe (zarauztarra)
  * Janire Gonzalez-Etxabarri (zumaiarra)
  * Joan Duru (baionarra)
  * Andy Criere (donostiarra)
NOIZ:
- Olinpiar Jokoak: </t>
    </r>
    <r>
      <rPr>
        <sz val="9"/>
        <color rgb="FF4A86E8"/>
        <rFont val="Arial"/>
        <family val="0"/>
        <charset val="1"/>
      </rPr>
      <t xml:space="preserve">2024ko</t>
    </r>
    <r>
      <rPr>
        <sz val="9"/>
        <color rgb="FF000000"/>
        <rFont val="Arial"/>
        <family val="0"/>
        <charset val="1"/>
      </rPr>
      <t xml:space="preserve"> uztailaren 27tik abuztuaren 4ra
- Harrera ekitaldia: gaur (testuan aipatzen den egunean)
NON:
- Sailkapena: Arecibo (Puerto Rico)
- Olinpiar Jokoak: Teahupo'o (Tahiti)
- Harrera ekitaldia: Donostiako Aquariuma
ZERGATIK:
- Munduko Txapelketan lortutako emaitza bikainek sailkapena ahalbidetu dute:
  * Erostarbe: 4. postua
  * Criere: 6. postua
  * Gonzalez-Etxabarri: 15. postua
  * Duru: 4. postua
NOLA:
- Talde-lanaren bidez lortu dute arrakasta, elkar babestuz eta familia moduan jokatuz
- Eredu handiei jarraituz
- Lehiaketan maila ona erakutsiz
- Aurretik izandako surflarien (Pauline Ador) bidea jarraituz</t>
    </r>
  </si>
  <si>
    <t xml:space="preserve">Let me provide a concise summary of this news about Basque surfers:
Four Basque surfers have qualified for the 2024 Paris Olympics after their excellent performance at the World Championship in Arecibo, Puerto Rico:
- Nadia Erostarbe (Zarautz)
- Janire Gonzalez-Etxabarri (Zumaia)  
- Joan Duru (Bayonne)
- Andy Criere (San Sebastian)
They will compete in Teahupoo, Tahiti from July 27 to August 4. This represents a significant milestone for Basque surfing, as they'll have four times more representatives than in Tokyo 2021, where only Pauline Ador from Anglet competed (finishing 9th).
At the World Championship:
- Erostarbe finished 4th
- Criere finished 6th  
- Gonzalez-Etxabarri finished 15th
- Duru finished 4th
The surfers were honored at the Aquarium in San Sebastian by the Basque Team foundation. They emphasized their unity as a team and expressed excitement about competing in Teahupoo, though Erostarbe and Gonzalez-Etxabarri have never surfed there before. Gonzalez-Etxabarri mentioned she's dealing with a knee injury that she'll need to rehabilitate before the Olympics.</t>
  </si>
  <si>
    <t xml:space="preserve">I'll help you analyze this Basque-language interview with Iñigo Satrustegi, who won the Pamplona Literary Contest for New Authors. Let me share the key points:
Satrustegi won with his work "Oheak gordetzen duena" (What the Bed Keeps) in the narrative category, and received a special mention for his poetry work "Ebakidura-ariketak." Here are the main themes from the interview:
1. Literary Background:
- He had an up-and-down relationship with reading
- Studied Translation rather than Literature at university
- Rediscovered his love for literature through university professors
2. About His Winning Work:
- Centers around death and its effects on people
- Features a caretaker and complex family dynamics
- Deliberately leaves the protagonist's gender ambiguous
- Incorporates sensory elements inspired by works like Lorca's "La casa de Bernarda Alba"
- Focuses heavily on themes of care and family institutions
3. Notable Aspects of His Writing:
- Deliberately feminized the story to examine care work
- Created an open ending
- Combines realism with elements of magic
- Feels more comfortable writing poetry than narrative
4. Interesting Political Statement:
- Plans to wear an anti-bullfighting shirt to the awards ceremony
- Intends to address issues like homelessness with the mayor
- References past tensions when UPN (local political party) stopped holding award ceremonies due to discomfort with Basque participants' political statements
The interview reveals Satrustegi as a thoughtful writer who engages with social issues while exploring universal themes like death, family, and care through his work.</t>
  </si>
  <si>
    <t xml:space="preserve">Testuaren edukirik garrantzitsuena da Iñigo Satrustegik (Iruñea, 1997) Iruñeko Literatur Lehiaketa irabazi duela "Oheak gordetzen duena" narrazioarekin, eta aipamen berezia lortu duela poesia sailean "Ebakidura-ariketak" lanarekin.
Laburpena:
Satrustegiren narrazio irabazleak heriotzaren inguruko egoerak aztertzen ditu, bereziki zaintzaren eta familia-harremanen ikuspegitik. Kontakizunean, protagonistaren generoa nahita zehaztugabe uzten da, eta istorioa oso feminizatuta dago, zaintza-lanak emakumeen esku egon ohi direla islatzeko. Idazleak literatura eta itzulpengintzarekin duen harremana aipatzen du, eta poesia dela bere generorik gogoko eta erosoena aitortzen du. Sari-banaketari dagokionez, kritiko agertzen da eta bere jarrera aldarrikatzailea erakusteko asmoa du.</t>
  </si>
  <si>
    <r>
      <rPr>
        <sz val="9"/>
        <color rgb="FF000000"/>
        <rFont val="Arial"/>
        <family val="0"/>
        <charset val="1"/>
      </rPr>
      <t xml:space="preserve">5W1H analisia egingo dut testu honetarako:
ZER:
- Iñigo Satrustegik Egile Berrientzako Iruñeko Literatur Lehiaketa irabazi du "Oheak gordetzen duena" narrazioarekin
- Aipamen berezia jaso du poesia sailean "</t>
    </r>
    <r>
      <rPr>
        <strike val="true"/>
        <sz val="9"/>
        <color rgb="FF000000"/>
        <rFont val="Arial"/>
        <family val="0"/>
        <charset val="1"/>
      </rPr>
      <t xml:space="preserve">Ebakidura-ariketak</t>
    </r>
    <r>
      <rPr>
        <sz val="9"/>
        <color rgb="FF000000"/>
        <rFont val="Arial"/>
        <family val="0"/>
        <charset val="1"/>
      </rPr>
      <t xml:space="preserve">" lanarekin
- Elkarrizketa bat da, non bere literatur ibilbideaz eta saritutako lanaz hitz egiten duen
NORK:
- Iñigo Satrustegi (Iruñea, 1997)
- Itzulpengintza ikasketak egin ditu
- Idazle hasiberria da
NOIZ:
- Gaur egungo elkarrizketa da (data zehatza ez da aipatzen)
NON:
- Iruñean kokatzen da lehiaketa
- Elkarrizketaren kokapena ez da zehazten
ZERGATIK:
- Literatura lehiaketa irabazi duelako egiten zaio elkarrizketa
- Bere lanean heriotzaren gaia jorratu nahi izan du, horrek ingurunean duen eragina aztertzeko
- Zaintzaren eta familia-harremanen gaiak ere landu nahi izan ditu
NOLA:
- Bere narrazioan zentzumen guztiak erabili ditu istorioa kontatzeko
- Federico Garcia Lorcaren teknikak inspirazio iturri izan ditu
- Pertsonaia nagusiaren generoa zehaztugabe utzi du, irakurketa ezberdinak ahalbidetzeko
</t>
    </r>
    <r>
      <rPr>
        <strike val="true"/>
        <sz val="9"/>
        <color rgb="FF000000"/>
        <rFont val="Arial"/>
        <family val="0"/>
        <charset val="1"/>
      </rPr>
      <t xml:space="preserve">- Errealismoa eta magia uztartu ditu kontakizunean
- Zaintzaren gaia emakumeen ikuspegitik landu du
</t>
    </r>
    <r>
      <rPr>
        <sz val="9"/>
        <color rgb="FF000000"/>
        <rFont val="Arial"/>
        <family val="0"/>
        <charset val="1"/>
      </rPr>
      <t xml:space="preserve">
Elkarrizketak erakusten du idazle gazte honek literatura sorkuntzan duen ikuspegia eta konpromiso soziala, azken hau bereziki nabarmena sari-banaketarako dituen asmoetan.</t>
    </r>
  </si>
  <si>
    <r>
      <rPr>
        <sz val="9"/>
        <color rgb="FF000000"/>
        <rFont val="Arial"/>
        <family val="0"/>
        <charset val="1"/>
      </rPr>
      <t xml:space="preserve">Let me provide a summary of this Basque language interview with Iñigo Satrustegi, a writer from Pamplona who won the Pamplona Literary Contest for New Authors:
Key points:
1. He won with "Oheak gordetzen duena" (What the Bed Keeps), a narrative exploring situations arising from death
2. His background is in Translation studies, not Literature, though he rediscovered his love for literature during university
3. The story focuses on different reactions to death and caregiving, with an intentionally gender-ambiguous protagonist
4. The narrative is heavily feminized, examining family care responsibilities typically taken on by women
5. He also received special mention in the poetry category with "Ebakidura-ariketak" and feels more comfortable writing poetry than narrative
6. He plans to wear an anti-bullfighting shirt to the awards ceremony and wants to raise awareness about social issues to the mayor
The interview reveals Satrustegi's interest in exploring themes of death, family dynamics, and caregiving through a feminist lens</t>
    </r>
    <r>
      <rPr>
        <strike val="true"/>
        <sz val="9"/>
        <color rgb="FF000000"/>
        <rFont val="Arial"/>
        <family val="0"/>
        <charset val="1"/>
      </rPr>
      <t xml:space="preserve">, while maintaining some elements of magical realism</t>
    </r>
    <r>
      <rPr>
        <sz val="9"/>
        <color rgb="FF000000"/>
        <rFont val="Arial"/>
        <family val="0"/>
        <charset val="1"/>
      </rPr>
      <t xml:space="preserve">. He shows a thoughtful approach to both the craft of writing and its potential for social commentary.
Would you like me to elaborate on any particular aspect of the interview?</t>
    </r>
  </si>
  <si>
    <t xml:space="preserve">Based on the text provided, I understand it's a newspaper interview about an art exhibition featuring portraits of historically significant women from the Durangaldea region in the Basque Country. Let me break down the key points:
The artist Maitane Azurmendi (born 1978 in Mungia, Bizkaia) has created black and white portraits of fifteen women from Durangaldea, including Gurutzi Arregi, Begoña Ereñaga, Gloria Zubia, and Elbira Inurrieta. This project was proposed by members of WikiEmakumeok.
Some interesting aspects of the exhibition and artist's work:
1. The purpose is to give faces to women who made significant achievements but weren't historically documented well - many only had old photographs, if any.
2. The portraits are deliberately done in black and white (with rare exceptions, like blue eyes for Elbira Inurrieta) as this is the artist's signature style and allows the images to communicate without distraction.
3. The subjects include remarkable women like Elbira Inurrieta, a midwife from Elorrio who helped deliver 2,400 babies in the early 20th century with very basic tools.
4. The project aims to highlight local historical figures who made important contributions but weren't given proper recognition.
The exhibition is being displayed at the Durango Museum of Art and History (Bizkaia).
Azurmendi mentions that she sketches mentally whenever she sees someone, thinking about how to capture their features. She prefers drawing to words as her means of expression, considering it a universal language without age or boundaries.
Would you like me to elaborate on any particular aspect of the exhibition or the artist's approach?</t>
  </si>
  <si>
    <t xml:space="preserve">Testuko edukirik garrantzitsuena da Maitane Azurmendi margolariak Durangaldeko hamabost emakume historikoren erretratuak egin dituela, WikiEmakumeok proiektuaren eskariz. Helburua da historian ahaztuta geratu diren emakume hauei ikusgarritasuna ematea.
Laburpena:
Maitane Azurmendi artista bizkaitarrak zuri-beltzeko erretratuak egin dizkie historian garrantzitsuak izan arren ezezagunak diren Durangaldeko 15 emakumeri. Proiektuaren helburua da emakume hauei aurpegia jartzea eta haien ekarpenak ezagutaraztea, adibidez Elbira Inurrieta emaginarena, zeinek XX. mende hasieran 2.400 haur erditzen lagundu zuen. Erakusketa Durangoko Arte eta Historia Museoan ikus daiteke. Artistak zuri-beltzean egiten ditu lanak, bere estilo bereizgarria delako eta irudiek berez nahikoa adierazten dutelako.</t>
  </si>
  <si>
    <r>
      <rPr>
        <sz val="9"/>
        <color rgb="FF000000"/>
        <rFont val="Arial"/>
        <family val="0"/>
        <charset val="1"/>
      </rPr>
      <t xml:space="preserve">5W1H analisia Maitane Azurmendiren elkarrizketarako:
ZER:
- Durangaldeko 15 emakumeren erretratu bilduma bat, zuri-beltzean egindako marrazkiak
- WikiEmakumeok proiektuaren enkarguz egindako lana
- Erakusketa bat Durangoko Arte eta Historia Museoan
NORK:
- Maitane Azurmendi margolariak (Mungia, Bizkaia, 1978)
- Erretratuak egin zaizkie besteak beste: Gurutzi Arregi, Begoña Ereñaga, Gloria Zubia, Elbira Inurrieta eta beste emakume aipagarriei
NOIZ:
- Erakusketa ostiraletik aurrera ikusgai dago
- Erretratuetan agertzen diren emakumeak historian zehar bizi izan dira, </t>
    </r>
    <r>
      <rPr>
        <strike val="true"/>
        <sz val="9"/>
        <color rgb="FF000000"/>
        <rFont val="Arial"/>
        <family val="0"/>
        <charset val="1"/>
      </rPr>
      <t xml:space="preserve">batzuk duela 200 urte eta beste batzuk XX. mende hasieran
</t>
    </r>
    <r>
      <rPr>
        <sz val="9"/>
        <color rgb="FF000000"/>
        <rFont val="Arial"/>
        <family val="0"/>
        <charset val="1"/>
      </rPr>
      <t xml:space="preserve">
NON:
- Erakusketa Durangoko Arte eta Historia Museoan (Bizkaia) dago
- Erretratuetako emakumeak Durangaldekoak dira
ZERGATIK:
- Historian ahaztuta geratu diren emakume garrantzitsuei ikusgarritasuna emateko
- Haien lorpenak eta ekarpenak ezagutarazteko
- Tokiko emakumeen istorioak bizirik mantentzeko
- Emakume aitzindarien memoria berreskuratzeko
NOLA:
- Zuri-beltzeko marrazkien bidez (artistaren sinadura)
- Salbuespen gisa, kolore ukitu batzuk (adib. Inurrietaren begi urdinak)
- WikiEmakumeok proiektuak proposatutako emakumeen artean aipagarrienak aukeratuz
- Aurretiko ikerketa lana eginez emakume bakoitzaren historiaz
- Bihotzez eta sentimenduz marraztuz</t>
    </r>
  </si>
  <si>
    <t xml:space="preserve">Here's a summary of the interview with artist Maitane Azurmendi about her exhibition of portraits of historical women from Durangaldea (Basque Country):
Key points:
- Azurmendi has created black and white portraits of 15 women from the Durangaldea region at the request of the WikiEmakumeok project
- These are women who made significant achievements but lacked visual representation in history
- The exhibition is on display at the Durango Museum of Art and History
- Notable subjects include Elbira Inurrieta, a midwife who helped deliver 2,400 babies in the early 20th century with very basic tools
- Azurmendi chose to work primarily in black and white (with rare exceptions like Inurrieta's blue eyes) to focus attention on the essential elements rather than color
- The artist sees drawing as her primary language of expression, preferring it to words
- She uses her art for both memorial purposes and commenting on current events
- The project aims to give visibility and recognition to women whose contributions have been historically overlooked
Azurmendi emphasizes the importance of giving faces to these historical figures, noting that having visual representations helps people connect with and remember local history. The exhibition represents an effort to acknowledge and celebrate the achievements of local women who made significant contributions but weren't properly recognized in their time.</t>
  </si>
  <si>
    <r>
      <rPr>
        <sz val="9"/>
        <color rgb="FF000000"/>
        <rFont val="Arial"/>
        <family val="0"/>
        <charset val="1"/>
      </rPr>
      <t xml:space="preserve">Testu hori kasu penal baten inguruko albistea da. Hona hemen gertaeren eta erabaki judizialen laburpena:
Gertaerak:
- 83 urteko gizon batek bere 55 urteko semea hil zuen tiroz Labion (Nafarroa)
- Semeak 200 euro eskatu zizkion aitari bi aldiz, mehatxupean eta labana erabiliz
- Aitak eskopeta hartu, kargatu eta hiru tiro egin zizkion semeari (bi bihotzean, bat aurpegian)
Erabaki judizialak:
- Epaileak etxeko atxiloaldia ezarri dio aitari
- Erabaki hau hartu du </t>
    </r>
    <r>
      <rPr>
        <sz val="9"/>
        <color rgb="FFFF0000"/>
        <rFont val="Arial"/>
        <family val="0"/>
        <charset val="1"/>
      </rPr>
      <t xml:space="preserve">suspetatuaren</t>
    </r>
    <r>
      <rPr>
        <sz val="9"/>
        <color rgb="FF000000"/>
        <rFont val="Arial"/>
        <family val="0"/>
        <charset val="1"/>
      </rPr>
      <t xml:space="preserve"> osasun egoera larria dela eta: urologia, nefrologia, onkologia eta kardiologia zerbitzuen beharra du
- Ez dio komunikazio eskubiderik mugatu ezta bermerik ezarri
- Hilketa delitua leporatu dio
Fiskaltzaren eta defentsaren jarrerak:
- Fiskaltzak espetxe arindua eskatu zuen, ihes eta froga-suntsitze arriskuagatik
- Defentsak 15.000 euroko bermea proposatu zuen, arrisku horiek ukatu ondoren
- Epaileak ihes-arriskua ikusi du delituaren larritasuna, zigor posiblea eta </t>
    </r>
    <r>
      <rPr>
        <sz val="9"/>
        <color rgb="FFFF0000"/>
        <rFont val="Arial"/>
        <family val="0"/>
        <charset val="1"/>
      </rPr>
      <t xml:space="preserve">suspetatuaren</t>
    </r>
    <r>
      <rPr>
        <sz val="9"/>
        <color rgb="FF000000"/>
        <rFont val="Arial"/>
        <family val="0"/>
        <charset val="1"/>
      </rPr>
      <t xml:space="preserve"> egoera kontuan hartuta
Nahi al duzu informazio gehiago edo argibiderik gertaeraren edo erabaki judizialaren alderdi zehatz baten inguruan?</t>
    </r>
  </si>
  <si>
    <t xml:space="preserve">Hona hemen testuaren edukirik garrantzitsuena:
83 urteko gizon batek bere 55 urteko semea hil zuen tiroz Labion (Nafarroa). Epaileak etxeko atxiloaldia ezarri dio, bere osasun egoera larria dela eta (urologia, nefrologia, onkologia eta kardiologia zerbitzuen zaintza behar du). Hilketa semearen mehatxu eta eraso saiakeren ondoren gertatu zen - semeak 200 euro eskatu zizkion aitari bi aldiz, labana lepoan jarriz eta hiltzeko mehatxua eginez. Aitak, egoera horren aurrean, eskopetarekin hiru tiro egin zizkion semeari.
Epaileak etxeko atxiloaldia erabaki du ihes egiteko arriskua dagoelako eta ekintza "bereziki bortitza" izan zelako, baina ez dio ez komunikatzeko eskubiderik mugatu, ezta bermerik ezarri ere.</t>
  </si>
  <si>
    <r>
      <rPr>
        <sz val="9"/>
        <color rgb="FF000000"/>
        <rFont val="Arial"/>
        <family val="0"/>
        <charset val="1"/>
      </rPr>
      <t xml:space="preserve">Hona hemen testuaren analisia 5W1H metodoa erabiliz:
ZER:
- 83 urteko gizon batek bere 55 urteko semea hil zuen hiru tirorekin (bi bihotzean eta bat aurpegian)
- Epaileek etxeko atxiloaldia ezarri diote hiltzaileari
NORK:
- 83 urteko aita (hiltzailea)
- 55 urteko semea (biktima)
- Agoizko Lehen Instantziako Epaitegiko epailea (erabakia hartu zuena)
NOIZ:
- Hilketa </t>
    </r>
    <r>
      <rPr>
        <strike val="true"/>
        <sz val="9"/>
        <color rgb="FF000000"/>
        <rFont val="Arial"/>
        <family val="0"/>
        <charset val="1"/>
      </rPr>
      <t xml:space="preserve">igandean</t>
    </r>
    <r>
      <rPr>
        <sz val="9"/>
        <color rgb="FF000000"/>
        <rFont val="Arial"/>
        <family val="0"/>
        <charset val="1"/>
      </rPr>
      <t xml:space="preserve"> gertatu zen
- Aurretik, ostiraleko goizaldean (02:00ak inguruan) semeak aitari mehatxu egin zion
NON:
- Labion (Nafarroa)
- Aitaren etxean
ZERGATIK:
- Semeak aitari 200 euro eskatu zizkion mehatxupean, labana lepoan jarriz
- Aitak dirua emateari uko egin zion
- Epaileak etxeko atxiloaldia ezarri dio </t>
    </r>
    <r>
      <rPr>
        <sz val="9"/>
        <color rgb="FFFF0000"/>
        <rFont val="Arial"/>
        <family val="0"/>
        <charset val="1"/>
      </rPr>
      <t xml:space="preserve">suspetuaren</t>
    </r>
    <r>
      <rPr>
        <sz val="9"/>
        <color rgb="FF000000"/>
        <rFont val="Arial"/>
        <family val="0"/>
        <charset val="1"/>
      </rPr>
      <t xml:space="preserve"> osasun egoera larria dela eta (urologia, nefrologia, onkologia eta kardiologia zerbitzuen beharra du)
NOLA:
- Aitak eskopeta hartu eta hiru kartutxo kargatu zituen
- Semea sofa-ohean erdi lo zegoela, aitak hiru tiro egin zizkion
- Epaileak etxeko atxiloaldia ezarri dio, baina komunikazio eskubideak mugatu gabe eta bermerik gabe
- Erabaki hau ihes egiteko arriskua dagoela eta ekintza "bereziki bortitza" izan zela kontuan hartuta hartu da</t>
    </r>
  </si>
  <si>
    <t xml:space="preserve">Gertaera larri honen laburpena (tldr) honela izango litzateke:
83 urteko gizon bati etxeko atxiloaldia ezarri diote bere 55 urteko semea tiroz hil ondoren Labion (Nafarroa). Semeak 200 euro eskatu zizkion aitari mehatxupean, labana erabiliz. Aitak, egoera horren aurrean, eskopetarekin hiru tiro egin zizkion semeari (bi bihotzean eta bat aurpegian). Epaileak etxeko atxiloaldia erabaki du espetxearen ordez, gizonaren osasun egoera larria dela eta, baina ihes egiteko arriskua dagoela uste duelako neurri hori ezarri dio.</t>
  </si>
  <si>
    <t xml:space="preserve">Testu honek Siemens Gamesa enpresa eolikoaren egoera larria azaltzen du. Hona hemen puntu nagusiak:
Egoera Orokorra:
- Azaroaren 21ean urteko emaitzak eta plan estrategikoa aurkeztuko ditu enpresak
- Sektoreak hiru arazo nagusi ditu: kostuen igoera, lasterketa teknologikoa, eta Txinako lehia desleiala
- Reuters-en arabera, Siemens taldeak fabrika eta bulegoak saltzea aztertzen ari da
Arazo Espezifikoak:
- Enpresek ez dute negozio marjin egokirik
- Kontratuak sinatu eta bi urtera parkeak ezartzeak arrisku handiak dakartza (inflazioa, kostuen igoera, etab.)
- Txinako enpresek abantaila dute, bertako gobernuaren laguntzei esker
Langileen Kezkak:
- Siemens Gamesak 2.900 langile ditu Hego Euskal Herrian
- ELAko ordezkariek ez dute konfiantzarik enpresaren zuzendaritzaren mezuetan
- Hornitzaile lokalen azpikontratazioa murrizten ari da
Eskatutako Neurriak:
- Sektorea babesteko neurriak eskatu dituzte, tokiko produkzioa lehenetsiz
- Nafarroako Gobernuari eta Eusko Jaurlaritzari sektore estrategikoa babesteko eskatu diete
- Europako Batzordearen erabakiak urriaren 24an jakinaraziko dira
ELAk azpimarratu du babes neurriek deslokalizazioaren aurkako baldintzak izan behar dituztela, eta datozen asteetan bilerak eskatuko dituzte gobernuekin eta eragile politikoekin.</t>
  </si>
  <si>
    <r>
      <rPr>
        <sz val="9"/>
        <color rgb="FF000000"/>
        <rFont val="Arial"/>
        <family val="0"/>
        <charset val="1"/>
      </rPr>
      <t xml:space="preserve">Testuaren edukirik garrantzitsuena da Siemens Gamesa enpresa eolikoak dituen arazo ekonomikoak eta lanpostu galerarako mehatxua. Hona hemen laburpena:
Siemens Gamesa azaroaren 21ean aurkeztuko duen plan estrategikoaren aurrean kezka handia dago lanpostu galera masiboak egon daitezkeelako. Enpresak hainbat arazo ditu: kostuen igoera, sektoreko lehia teknologikoa eta Txinako enpresen lehia desleial handia. Reuters agentziaren arabera, Siemens taldea fabriken salmenta aztertzen ari da eta fabrikazioaren osagai batzuk azpikontratatu nahi ditu, </t>
    </r>
    <r>
      <rPr>
        <strike val="true"/>
        <sz val="9"/>
        <color rgb="FF000000"/>
        <rFont val="Arial"/>
        <family val="0"/>
        <charset val="1"/>
      </rPr>
      <t xml:space="preserve">batez ere</t>
    </r>
    <r>
      <rPr>
        <sz val="9"/>
        <color rgb="FF000000"/>
        <rFont val="Arial"/>
        <family val="0"/>
        <charset val="1"/>
      </rPr>
      <t xml:space="preserve"> Asiako herrialdeetara.
Siemens Gamesak Hego Euskal Herrian 2.900 langile ditu eta ELAk sektorea babesteko neurriak eskatu ditu, bai Europako Batzordeari, bai Nafarroako Gobernuari eta Eusko Jaurlaritzari, tokiko produkzioa lehenetsiz eta deslokalizazioa saihestuz.</t>
    </r>
  </si>
  <si>
    <t xml:space="preserve">Testua 5W1H metodoarekin aztertuko dut:
ZER:
- Siemens Gamesak urteko emaitzak eta plan estrategikoa aurkeztuko ditu
- Enpresak lanpostu galera handi bat iragarri dezake
- Siemens taldeak fabrikak eta bulegoak saltzea aztertzen ari da
- Sektore eolikoak errentagarritasun arazo larriak ditu
NORK:
- Siemens Gamesa enpresa
- ELAko ordezkariak (Carlos Matute, Josean Hernandez eta Puy Remirez)
- Ursula Von der Leyen (Europako Batzordeko presidentea)
NOIZ:
- Azaroaren 21ean (emaitzen aurkezpena)
- Urriaren 24an (Europako Batzordearen erabakia)
- Azken bi urteetan (sektorearen arazoak)
NON:
- Hego Euskal Herrian (2.900 langile)
- Europa (sektore eolikoaren krisialdia)
- Txina (lehiakideen jatorria)
ZERGATIK:
- Kostuen igoera
- Sektoreko lasterketa teknologikoa
- Txinako enpresen lehia desleialak
- Inflazioa eta gorabehera meteorologikoak
- Txinako enpresek jasotzen dituzten gobernuaren laguntzak
NOLA:
- Produkzioa kanporatuz langile merkeagoko herrialdeetara
- Hornitzaileak mehatxatuz
- Tokiko hornitzaileak baztertuz
- ELAk neurriak eskatuz: tokiko produkzioa lehenestea eta deslokalizazioaren aurkako baldintzak ezartzea
- Nafarroako Gobernuari eta Eusko Jaurlaritzari babesa eskatuz</t>
  </si>
  <si>
    <t xml:space="preserve">Here's a TLDR of the key points:
1. Siemens Gamesa will present its annual results and future strategic plan on November 21st, causing concern among ELA union representatives.
2. The wind power sector is facing major challenges:
- Rising costs
- Technological competition
- Unfair competition from Chinese companies
3. Reuters reported that Siemens is considering selling Gamesa's factories and offices, potentially outsourcing key components like turbine blades to Asia.
4. Siemens Gamesa employs 2,900 people in the Southern Basque Country, and union representatives are worried about:
- Potential job losses
- Moving production to cheaper countries
- Loss of local suppliers
5. ELA union is calling for:
- Protection of the local sector
- Prioritizing local production when awarding wind farm projects
- More concrete support from the Navarre and Basque governments, rather than "empty words"
In essence, despite the wind power sector theoretically being well-positioned during the energy transition, it's facing significant challenges that threaten local jobs and production capacity.</t>
  </si>
  <si>
    <t xml:space="preserve">Testu honek Idoia Torregarairen "Mikroipuinak" liburuaren inguruko informazioa ematen du. Hona hemen eduki nagusiak:
Idoia Torregarai:
- Usurbilen jaioa (1974), UEUko komunikazio arduraduna da
- Twitter bidez egin da ezagun, plataformaren 140 karaktereko muga sormen-aukera bihurtuz
- Sare sozialetan idatzitako testu laburrak "Mikroipuinak" liburuan bildu ditu
Liburuaren ezaugarriak:
- Zaldieroaren (Patxi Uharte) ilustrazioekin dator
- Elkar argitaletxeak argitaratu du
- 150 istorio labur biltzen ditu
- Formatu txikia du, mikroipuinen izaerarekin bat
- Ez daude istorio guztiak ilustratuta, minimalismoa bilatuz
Edukiari dagokionez:
- Eguneroko errealitatea islatzen du, baina ikuspegi ez-ohiko batetik
- Umorea eta lirismoa uztartzen ditu
- Gai errepikakorrak agertzen dira: janaria (bereziki kroketak), maitasuna, poltsa beroa
- Batzuk bat-batean sortuak dira, beste batzuk landuagoak
Idazlearen ibilbidea:
- Kazetaritza ikasi zuen idaztetik bizi nahi zuelako
- Hasieran "Josunestilist" izenordea erabiltzen zuen Twitterren
- #mikroipuin traola erabili du bere lanak zabaltzeko
- Hamabi urtez aritu da sare sozialetan idazten
- Liburuan argitaratu dituen testuak aukeraketa zorrotz baten emaitza dira</t>
  </si>
  <si>
    <t xml:space="preserve">Testuaren edukirik garrantzitsuena da Idoia Torregaraik "Mikroipuinak" liburua argitaratu duela, Zaldieroak ilustratuta. Liburua Twitterren idatzitako 140 karaktereko testu laburretatik sortu da.
Laburpena:
Idoia Torregarai usurbildarrak, UEUko komunikazio arduradunak, sare sozialetan, bereziki Twitterren, lortu du ospea bere mikro-testuekin. 150 mikroipuin biltzen dituen "Mikroipuinak" liburua argitaratu du Elkar argitaletxearekin, Zaldieroak ilustratuta. Testuak eguneroko bizitzaren erretratuak dira, umorez eta lirismoz jantziak. Liburuak formatu txikia du, mikroipuinen izaerarekin bat eginez. Torregaraik hasieran Josunestilist izenordea erabiltzen zuen, eta #mikroipuin traola baliatu du bere sorkuntzak zabaltzeko. Sare sozialen karaktere mugatuak aukera eman dio idazle gisa garatzeko, liburuak idazteko ohiko denborarik eta gogorik ez zuen arren.</t>
  </si>
  <si>
    <t xml:space="preserve">Analizatuko dut testua 5W1H metodoa erabiliz:
ZER:
- Idoia Torregarairen "Mikroipuinak" liburuaren argitalpena
- 150 mikro-ipuin biltzen dituen liburua da, Zaldieroaren ilustrazioekin
- Twitter plataforman sortutako edukia liburu formatuan bildu da
NORK:
- Idoia Torregarai (Usurbil, 1974): UEUko komunikazio arduraduna, idazlea
- Patxi Uharte "Zaldieroa" (Faltzes, 1966): BERRIAko ilustratzailea
- Elkar argitaletxea: liburuaren argitaratzailea
- Xabier Mendiguren: editorea
NOIZ:
- Liburua argitaratu aurretik, Torregaraik 12 urtez idatzi zuen Twitterren
- Testuan ez da zehazten argitalpen data zehatza
NON:
- Twitterren sortu ziren jatorrizko testuak
- Liburua Elkar argitaletxeak argitaratu du
- Euskal Herrian garatu da proiektua
ZERGATIK:
- Torregarairen txioek eguneroko errealitatea modu berezian islatzen dutelako
- Zaldieroaren ilustrazioek balio erantsia eman ziotelako proiektuari
- Twitter-eko 140 karaktereko mugak sormen bide berri bat ireki ziolako Torregarairi
NOLA:
- Twitterreko txioetatik aukeraketa zorrotza eginez (150 ipuin hautatu dira)
- Zaldieroaren ilustrazioekin osatuz
- Formatu txikian argitaratuz, mikroipuinen izaerarekin bat eginez
- Minimalismoa eta zuritasuna lehenetsiz diseinuan
- Josunestilist alter egoaren bidez hasieran, eta #mikroipuin traola erabiliz</t>
  </si>
  <si>
    <t xml:space="preserve">Let me summarize the key points from this Basque language article:
Idoia Torregarai is a communications manager at UEU (presumably Udako Euskal Unibertsitatea) who became well-known for her humor, particularly through social media. She has published a book called "Mikroipuinak" (Micro-stories) with illustrations by Zaldieroa (Patxi Uharte), published by Elkar.
Key aspects:
- The book contains 150 very short stories that originated from her Twitter posts, where she masterfully worked within the 140-character limit
- The stories capture everyday reality with humor and lyricism
- Themes include food (especially croquettes), love, and small daily observations
- The book's format is smaller than standard, matching its "micro" content
- Not all stories are illustrated - this was a conscious choice to avoid overwhelming the reader
- The content was carefully curated from her 12 years of social media posts
Torregarai studied journalism because she wanted to write professionally. While she has written various content formats (interviews, scripts, podcasts), she found her niche on Twitter, where she initially wrote under the alter ego "Josunestilist" - a hairdresser with a secret cultural life.
The collaboration with illustrator Zaldieroa (who creates comics for BERRIA newspaper) was crucial in bringing these micro-stories from social media to book format.</t>
  </si>
  <si>
    <r>
      <rPr>
        <sz val="9"/>
        <color rgb="FF000000"/>
        <rFont val="Arial"/>
        <family val="0"/>
        <charset val="1"/>
      </rPr>
      <t xml:space="preserve">Testu horrek deskribatzen duen operazio poliziala aztertuko dut. Hona hemen gako nagusiak:
Operazioaren eskalaz:
- Europako speed laborategirik handiena zela diote agintariek
</t>
    </r>
    <r>
      <rPr>
        <strike val="true"/>
        <sz val="9"/>
        <color rgb="FF000000"/>
        <rFont val="Arial"/>
        <family val="0"/>
        <charset val="1"/>
      </rPr>
      <t xml:space="preserve">- Konfiskatutako drogaren balioa 55 milioi eurotik gorakoa dela kalkulatzen dute
</t>
    </r>
    <r>
      <rPr>
        <sz val="9"/>
        <color rgb="FF000000"/>
        <rFont val="Arial"/>
        <family val="0"/>
        <charset val="1"/>
      </rPr>
      <t xml:space="preserve">- Zortzi pertsona atxilotu dituzte lau leku ezberdinetan
Kronologia:
1. Operazioa 2023ko ekainean hasi zen, Bilboko 42 urteko gizon bat atxilotu zutenean Zuastin (40 kg speed)
2. Ondoren, bi atzematze gehiago:
   - 42 kg speed Berriobeitin (Nafarroa)
   - Kopuru bera Zarautzen (Gipuzkoa)
3. Ikerketek Donostiako kanpoaldeko laborategi nagusira eraman zituzten
4. Azkenik, atxiloketa gehiago egin zituzten, besteak beste Madrilen
Konfiskatutako material nagusia:
- 770.927 kg speed
- 8.219 kg MDMA
- Substantzia aitzindariak (kafeina, anfetamina likidoa, azidoak eta alkohola)
- 185.355 euro eskudirutan
- Armak (bi aizto eta gas-pistola bat)
- 12 ibilgailu
Operazioa Guardia Zibilak eta Espainiako Gobernuaren Nafarroako ordezkariak </t>
    </r>
    <r>
      <rPr>
        <strike val="true"/>
        <sz val="9"/>
        <color rgb="FF000000"/>
        <rFont val="Arial"/>
        <family val="0"/>
        <charset val="1"/>
      </rPr>
      <t xml:space="preserve">zuzendu</t>
    </r>
    <r>
      <rPr>
        <sz val="9"/>
        <color rgb="FF000000"/>
        <rFont val="Arial"/>
        <family val="0"/>
        <charset val="1"/>
      </rPr>
      <t xml:space="preserve"> dute, eta atxilotuak espetxeratu egin dituzte.</t>
    </r>
  </si>
  <si>
    <r>
      <rPr>
        <sz val="9"/>
        <color rgb="FF000000"/>
        <rFont val="Arial"/>
        <family val="0"/>
        <charset val="1"/>
      </rPr>
      <t xml:space="preserve">Edukirik garrantzitsuena:
Guardia Zibilak Euskal Herrian Europako speed laborategirik handiena desegin du, 800 kilo inguru speed eta beste hainbat droga konfiskatuz, eta zortzi pertsona atxilotuz hainbat tokitan.
Laburpena:
Guardia Zibilak eta Espainiako Gobernuaren Nafarroako ordezkariak jakinarazi dutenez, Europako speed laborategirik handiena aurkitu eta desegin dute Euskal Herrian. Operazioan 770 kilo speed baino gehiago, 8 kilo MDMA eta 180.000 euro konfiskatu dituzte. Zortzi pertsona atxilotu dituzte Nafarroan, Gipuzkoan, Leonen eta Madrilen, eta denak espetxeratu dituzte. Laborategia Donostia kanpoaldeko bulego batzuetan zegoen. </t>
    </r>
    <r>
      <rPr>
        <strike val="true"/>
        <sz val="9"/>
        <color rgb="FF000000"/>
        <rFont val="Arial"/>
        <family val="0"/>
        <charset val="1"/>
      </rPr>
      <t xml:space="preserve">Konfiskatutako drogaren balioa 55 milioi eurotik gorakoa dela kalkulatzen dute</t>
    </r>
    <r>
      <rPr>
        <sz val="9"/>
        <color rgb="FF000000"/>
        <rFont val="Arial"/>
        <family val="0"/>
        <charset val="1"/>
      </rPr>
      <t xml:space="preserve">. Operazioa iazko ekainean hasi zen, Zuastin 40 kilo speed aurkitu ondoren, eta ondorengo ikerketak laborategiraino eraman zituen.</t>
    </r>
  </si>
  <si>
    <r>
      <rPr>
        <sz val="9"/>
        <color rgb="FF000000"/>
        <rFont val="Arial"/>
        <family val="0"/>
        <charset val="1"/>
      </rPr>
      <t xml:space="preserve">Hona hemen testuaren analisia 5W1H metodoa erabiliz:
ZER:
- Europako ustez handiena den speed laborategia desegin dute
- Konfiskatutakoa: 770 kg speed, 8 kg MDMA, drogak egiteko substantziak, 185.355 euro, </t>
    </r>
    <r>
      <rPr>
        <strike val="true"/>
        <sz val="9"/>
        <color rgb="FF000000"/>
        <rFont val="Arial"/>
        <family val="0"/>
        <charset val="1"/>
      </rPr>
      <t xml:space="preserve">armak</t>
    </r>
    <r>
      <rPr>
        <sz val="9"/>
        <color rgb="FF000000"/>
        <rFont val="Arial"/>
        <family val="0"/>
        <charset val="1"/>
      </rPr>
      <t xml:space="preserve"> eta 12 ibilgailu
- </t>
    </r>
    <r>
      <rPr>
        <strike val="true"/>
        <sz val="9"/>
        <color rgb="FF000000"/>
        <rFont val="Arial"/>
        <family val="0"/>
        <charset val="1"/>
      </rPr>
      <t xml:space="preserve">Droga sarearen balioa merkatura</t>
    </r>
    <r>
      <rPr>
        <sz val="9"/>
        <color rgb="FF000000"/>
        <rFont val="Arial"/>
        <family val="0"/>
        <charset val="1"/>
      </rPr>
      <t xml:space="preserve">: 55 milioi euro baino gehiago
NORK:
- Guardia Zibilak burutu du operazioa
- 8 gizonezko atxilotu dituzte, guztiak espetxeratuak
NOIZ:
- Operazioaren hasiera: iazko ekaina
- Lehen atxiloketa: 42 urteko Bilbotar bat, 40 kg speed-rekin
- Ondorengo atxiloketak fase desberdinetan egin dira
NON:
- Leku desberdinetan:
  - Laborategia: Donostia kanpoaldeko bulego batzuetan
  - Atxiloketak: Nafarroan, Gipuzkoan, Leonen eta Madrilen
</t>
    </r>
    <r>
      <rPr>
        <strike val="true"/>
        <sz val="9"/>
        <color rgb="FF000000"/>
        <rFont val="Arial"/>
        <family val="0"/>
        <charset val="1"/>
      </rPr>
      <t xml:space="preserve">  - Droga konfiskazioak: Zuastiko ordainlekuan, Berriobeitin eta Zarautzen
</t>
    </r>
    <r>
      <rPr>
        <sz val="9"/>
        <color rgb="FF000000"/>
        <rFont val="Arial"/>
        <family val="0"/>
        <charset val="1"/>
      </rPr>
      <t xml:space="preserve">
ZERGATIK:
- Droga trafikoaren aurkako operazioa burutzeko
- Europako speed laborategi handiena desegiteko
NOLA:
- Hasierako atxiloketa batetik abiatuta (Bilboko gizona 40 kg speed-rekin)
- Barrandatze eta jarraipen lanak eginez
- Fase desberdinetan gauzatutako operazio polizial baten bidez
- Droga konfiskazio ezberdinak eginez hainbat tokitan</t>
    </r>
  </si>
  <si>
    <r>
      <rPr>
        <sz val="9"/>
        <color rgb="FF000000"/>
        <rFont val="Arial"/>
        <family val="0"/>
        <charset val="1"/>
      </rPr>
      <t xml:space="preserve">Here's a TLDR in Basque:
Guardia Zibilak Europako ustez handiena zen speed laborategia desegin du Euskal Herrian:
- 800 kilo speed eta 8 kilo MDMA konfiskatu dituzte
- Zortzi pertsona atxilotu dituzte Nafarroan, Gipuzkoan, Leonen eta Madrilen
- Laborategia Donostia inguruan zegoen
</t>
    </r>
    <r>
      <rPr>
        <strike val="true"/>
        <sz val="9"/>
        <color rgb="FF000000"/>
        <rFont val="Arial"/>
        <family val="0"/>
        <charset val="1"/>
      </rPr>
      <t xml:space="preserve">- Konfiskatutako drogaren balioa 55 milioi eurokoa izan daiteke
</t>
    </r>
    <r>
      <rPr>
        <sz val="9"/>
        <color rgb="FF000000"/>
        <rFont val="Arial"/>
        <family val="0"/>
        <charset val="1"/>
      </rPr>
      <t xml:space="preserve">- Operazioa iazko ekainean hasi zen, Zuastin 40 kilo speed atzeman ondoren</t>
    </r>
  </si>
  <si>
    <r>
      <rPr>
        <sz val="9"/>
        <color rgb="FF666666"/>
        <rFont val="Arial"/>
        <family val="0"/>
        <charset val="1"/>
      </rPr>
      <t xml:space="preserve">Hemen duzu hurrengo testua:
</t>
    </r>
    <r>
      <rPr>
        <sz val="9"/>
        <color rgb="FF000000"/>
        <rFont val="Arial"/>
        <family val="0"/>
        <charset val="1"/>
      </rPr>
      <t xml:space="preserve">
"Hau da, Zorroza Gestion de Residuos enpresaren </t>
    </r>
    <r>
      <rPr>
        <strike val="true"/>
        <sz val="9"/>
        <color rgb="FF000000"/>
        <rFont val="Arial"/>
        <family val="0"/>
        <charset val="1"/>
      </rPr>
      <t xml:space="preserve">aurka</t>
    </r>
    <r>
      <rPr>
        <sz val="9"/>
        <color rgb="FF000000"/>
        <rFont val="Arial"/>
        <family val="0"/>
        <charset val="1"/>
      </rPr>
      <t xml:space="preserve"> egindako prozesuaren amaiera. </t>
    </r>
    <r>
      <rPr>
        <strike val="true"/>
        <sz val="9"/>
        <color rgb="FF000000"/>
        <rFont val="Arial"/>
        <family val="0"/>
        <charset val="1"/>
      </rPr>
      <t xml:space="preserve">Auzitzeko erabakitzaileak, enpresak erantzukizuna hartu behar duela nabarmendu du</t>
    </r>
    <r>
      <rPr>
        <sz val="9"/>
        <color rgb="FF000000"/>
        <rFont val="Arial"/>
        <family val="0"/>
        <charset val="1"/>
      </rPr>
      <t xml:space="preserve">, eta horregatik, urte eta erdiko kartzela zigorra onartu behar izan du. Horrez gain, kalte ordain gisa 30.000 euroko sartasun-ordaina ere ezarri zaie.
Gertakari horren </t>
    </r>
    <r>
      <rPr>
        <strike val="true"/>
        <sz val="9"/>
        <color rgb="FF000000"/>
        <rFont val="Arial"/>
        <family val="0"/>
        <charset val="1"/>
      </rPr>
      <t xml:space="preserve">ostiral</t>
    </r>
    <r>
      <rPr>
        <sz val="9"/>
        <color rgb="FF000000"/>
        <rFont val="Arial"/>
        <family val="0"/>
        <charset val="1"/>
      </rPr>
      <t xml:space="preserve"> honetan, LABek, sindikatu hauen batzarra, gertakari horren erantzukizuna Zorroza Gestion de Residuos enpresaren kudeatzailean jarri du. Sindikatuak, hain zuzen, enpresaren lan baldintza gogorrak eta langileentzat adierazten dituen babesgabetasunak salatu ditu.
LABek argi uzten diete langileak «eskubiderik gabeko eremu bat» izan zituzten, eta </t>
    </r>
    <r>
      <rPr>
        <strike val="true"/>
        <sz val="9"/>
        <color rgb="FF000000"/>
        <rFont val="Arial"/>
        <family val="0"/>
        <charset val="1"/>
      </rPr>
      <t xml:space="preserve">horregatik, heriotza hori gertatu zen</t>
    </r>
    <r>
      <rPr>
        <sz val="9"/>
        <color rgb="FF000000"/>
        <rFont val="Arial"/>
        <family val="0"/>
        <charset val="1"/>
      </rPr>
      <t xml:space="preserve">. Enpresako kudeatzaileak, Dione eta beste langile batzuei, teilatura igotzea agindu zuten, baina </t>
    </r>
    <r>
      <rPr>
        <strike val="true"/>
        <sz val="9"/>
        <color rgb="FF000000"/>
        <rFont val="Arial"/>
        <family val="0"/>
        <charset val="1"/>
      </rPr>
      <t xml:space="preserve">horren ondorioz</t>
    </r>
    <r>
      <rPr>
        <sz val="9"/>
        <color rgb="FF000000"/>
        <rFont val="Arial"/>
        <family val="0"/>
        <charset val="1"/>
      </rPr>
      <t xml:space="preserve">, langileek segurtasun neurririk gabe lan egiten zuten.
Dione, 24 urteko langilea, lanean ari zela bederatzi metrotik erorita hil zen. </t>
    </r>
    <r>
      <rPr>
        <strike val="true"/>
        <sz val="9"/>
        <color rgb="FF000000"/>
        <rFont val="Arial"/>
        <family val="0"/>
        <charset val="1"/>
      </rPr>
      <t xml:space="preserve">Horren ondorioz</t>
    </r>
    <r>
      <rPr>
        <sz val="9"/>
        <color rgb="FF000000"/>
        <rFont val="Arial"/>
        <family val="0"/>
        <charset val="1"/>
      </rPr>
      <t xml:space="preserve">, sindikatuak enpresari «Guantanamo laboral» izendatzen diote, langileak erabateko babesgabetasunean uzten dituen eremu bat dela adierazten dute.
LABek, gertakari horren lau urteko oinarriak «are argiago» direla uste du, eta Zorroza Gestion de Residuos enpresaren arduradunak erantzukizuna hartu behar duela nabarmendu du. </t>
    </r>
    <r>
      <rPr>
        <strike val="true"/>
        <sz val="9"/>
        <color rgb="FF000000"/>
        <rFont val="Arial"/>
        <family val="0"/>
        <charset val="1"/>
      </rPr>
      <t xml:space="preserve">Sindikatu honek, enpresak langileentzat lan baldintza hobetsi eta babesak bermatzea eskatzen dio.</t>
    </r>
    <r>
      <rPr>
        <sz val="9"/>
        <color rgb="FF000000"/>
        <rFont val="Arial"/>
        <family val="0"/>
        <charset val="1"/>
      </rPr>
      <t xml:space="preserve">"</t>
    </r>
  </si>
  <si>
    <r>
      <rPr>
        <sz val="9"/>
        <color rgb="FF666666"/>
        <rFont val="Arial"/>
        <family val="0"/>
        <charset val="1"/>
      </rPr>
      <t xml:space="preserve">Ondo zein den hurrengo testuaren edukirik garrantzitsuena:
</t>
    </r>
    <r>
      <rPr>
        <sz val="9"/>
        <color rgb="FF000000"/>
        <rFont val="Arial"/>
        <family val="0"/>
        <charset val="1"/>
      </rPr>
      <t xml:space="preserve">
"Enpresak, baina, bere gain hartu du gertatukoaren erantzukizuna: urte eta erdiko kartzela zigorra onartu du, eta kalte ordain gisa 30.000 euro ordaintzea."
</t>
    </r>
    <r>
      <rPr>
        <sz val="9"/>
        <color rgb="FF666666"/>
        <rFont val="Arial"/>
        <family val="0"/>
        <charset val="1"/>
      </rPr>
      <t xml:space="preserve">
Laburtu testua edukirik garrantzitsuena:
</t>
    </r>
    <r>
      <rPr>
        <sz val="9"/>
        <color rgb="FF000000"/>
        <rFont val="Arial"/>
        <family val="0"/>
        <charset val="1"/>
      </rPr>
      <t xml:space="preserve">
"LABek garai hartan jakinarazi zuenez, enpresako kudeatzaileak Dione eta beste langile batzuei teilatura igotzea agindu zien hodi bat konpontzeko. Hori ez zen haien jarduna enpresan, eta segurtasun neurririk gabe igo ziren."
</t>
    </r>
    <r>
      <rPr>
        <strike val="true"/>
        <sz val="9"/>
        <color rgb="FF666666"/>
        <rFont val="Arial"/>
        <family val="0"/>
        <charset val="1"/>
      </rPr>
      <t xml:space="preserve">Laburtu testu honek gertakari horren konprometitua eta segurtasun arloan enpresa eraginkorrenak izatea nabarmendu nahi du.</t>
    </r>
  </si>
  <si>
    <t xml:space="preserve">**Zer gertatzen da?**
Langile baten heriotza, 24 urteko Bassirou Dione, Zorroza Gestion de Residuos enpresan, Murgan dagoen biltegian.
**Nork dauka erantzukizuna?**
Enpresako kudeatzaileak, Dione eta beste langile batzuei teilatura igotzea agindu zuen, eta horren ondorioz, langileak erori egin zen lanean.
**Noiz gertatu zen?**
Gertakaria 2020ko otsailaren 29an gertatu zen, baina aste honetan jakin da ebazpena.
**Non gertatu zen?**
Murgako Zorroza Gestion de Residuos enpresan, biltegian.
**Zergatik gertatu zen?**
Enpresako kudeatzaileak teilatura igotzea agindu zuen, eta langileak segurtasun neurririk gabe igo ziren. Lan horretan teilatu zati bat puskatu eta langilea erori egin zen.
**Nola bukatu da auzitartea?**
Fiskaltzarekin eta akusazio partikularrekin akordio bat egin zuten, eta enpresak urte eta erdiko kartzela zigorra onartu zuen, baita kalte ordain gisa 30.000 euro ordaintzea ere.
**Sindikatuak ze erantzuna ematen dute?**
Sindikatuak enpresaren lan baldintza gogorrak salatu dituzte, eta langileentzat babesgabetasun eremu bat adierazi dute. Langileak hamar orduko lanaldiak egiten dituzte eta lan istripuak ezkutatzen direla esan dute.</t>
  </si>
  <si>
    <r>
      <rPr>
        <strike val="true"/>
        <sz val="9"/>
        <color rgb="FF000000"/>
        <rFont val="Arial"/>
        <family val="0"/>
        <charset val="1"/>
      </rPr>
      <t xml:space="preserve">Epaiketa bat burutu zen </t>
    </r>
    <r>
      <rPr>
        <sz val="9"/>
        <color rgb="FF000000"/>
        <rFont val="Arial"/>
        <family val="0"/>
        <charset val="1"/>
      </rPr>
      <t xml:space="preserve">2020ko otsailaren 29an Zorroza Gestion de Residuos enpresan gertatu zen </t>
    </r>
    <r>
      <rPr>
        <strike val="true"/>
        <sz val="9"/>
        <color rgb="FF000000"/>
        <rFont val="Arial"/>
        <family val="0"/>
        <charset val="1"/>
      </rPr>
      <t xml:space="preserve">langileen segurtasunaren aurkako delituetara</t>
    </r>
    <r>
      <rPr>
        <sz val="9"/>
        <color rgb="FF000000"/>
        <rFont val="Arial"/>
        <family val="0"/>
        <charset val="1"/>
      </rPr>
      <t xml:space="preserve">, eta enpresa horren kudeatzaileak urte eta erdiko kartzela zigorra onartu zuen, kalte ordain gisa 30.000 euro ordaintzea ere.
Langile bat, Bassirou Dione, 24 urteko, hodi bat konpontzeko teilatura igotzea agindu zuten enpresako kudeatzaileak. Dione lan horretan ari zela, teilatu zati bat puskatu eta erori egin zen. LAB sindikatuak garai hartan jakinarazi zuenez, langileak segurtasun neurririk gabe igo ziren, eta hori ez zen enpresako jardunera egokiatu.
Auzibidea fiskaltzaren, akusazio partikularraren eta defentsaren arteko akordioarekin bukatu zen, eta akusatuek delituak onartuta. LABek duela lau urteko gertakariak orain «are argiago» geratu direla nabarmendu zuen, eta heriotza horren erantzukizuna enpresako arduradunena dela.
Sindikatuak Zorroza Gestion de Residuos enpresan langileentzat gogorrak lan baldintza salatu ditu, eta «eskubiderik gabeko eremu bat» dela adierazi du. Langileak hamar orduko nahitaezko lanaldiak egitera derrigortzen dituztela eta lan istripuak ezkutatzen ahalegindu direla azaldu zuten.</t>
    </r>
  </si>
  <si>
    <r>
      <rPr>
        <strike val="true"/>
        <sz val="9"/>
        <color rgb="FF000000"/>
        <rFont val="Arial"/>
        <family val="0"/>
        <charset val="1"/>
      </rPr>
      <t xml:space="preserve">Etorri da Jaka-Mariezkurrena, Binakako Txapelketan irabazle nagusiak!</t>
    </r>
    <r>
      <rPr>
        <sz val="9"/>
        <color rgb="FF000000"/>
        <rFont val="Arial"/>
        <family val="0"/>
        <charset val="1"/>
      </rPr>
      <t xml:space="preserve"> Hiru partida jokatu dituzte eta hirurak irabaz</t>
    </r>
    <r>
      <rPr>
        <strike val="true"/>
        <sz val="9"/>
        <color rgb="FF000000"/>
        <rFont val="Arial"/>
        <family val="0"/>
        <charset val="1"/>
      </rPr>
      <t xml:space="preserve">i, baina horien artean, Jaka eta Mariezkurrena izan dute eraginkorragoa.
Lehenengo partida</t>
    </r>
    <r>
      <rPr>
        <sz val="9"/>
        <color rgb="FF000000"/>
        <rFont val="Arial"/>
        <family val="0"/>
        <charset val="1"/>
      </rPr>
      <t xml:space="preserve">, Elezkano-Martija kontra, bederatzi tantoa utziz, Jaka-Mariezkurrena irudi bikina ematen ari dira. Mariezkurrena atzean nagusitu egiten du, Jakak aisean, eta horrela, txapela janzteko hautagai nagusien artean sartzen dira.
Gorriak, Elezkanoren jokaldi on batzuei esker, hasi dira 3-0 irabazten. Baina, ahalegina handia egin dute, eta bikote bakarra aritu dute kantxan. </t>
    </r>
    <r>
      <rPr>
        <strike val="true"/>
        <sz val="9"/>
        <color rgb="FF000000"/>
        <rFont val="Arial"/>
        <family val="0"/>
        <charset val="1"/>
      </rPr>
      <t xml:space="preserve">Mariezkurrenak Martijaren aurrean sartuta, Jaka erraztu du bidea</t>
    </r>
    <r>
      <rPr>
        <sz val="9"/>
        <color rgb="FF000000"/>
        <rFont val="Arial"/>
        <family val="0"/>
        <charset val="1"/>
      </rPr>
      <t xml:space="preserve">, eta Lizartzako aurrelaria nahieran ibili da. </t>
    </r>
    <r>
      <rPr>
        <strike val="true"/>
        <sz val="9"/>
        <color rgb="FF000000"/>
        <rFont val="Arial"/>
        <family val="0"/>
        <charset val="1"/>
      </rPr>
      <t xml:space="preserve">Elezkano ez du aukera ematen Jakari, eta 16 tantoa egin ditu Bizkaia pilotalekuan</t>
    </r>
    <r>
      <rPr>
        <sz val="9"/>
        <color rgb="FF000000"/>
        <rFont val="Arial"/>
        <family val="0"/>
        <charset val="1"/>
      </rPr>
      <t xml:space="preserve">.
</t>
    </r>
    <r>
      <rPr>
        <strike val="true"/>
        <sz val="9"/>
        <color rgb="FF000000"/>
        <rFont val="Arial"/>
        <family val="0"/>
        <charset val="1"/>
      </rPr>
      <t xml:space="preserve">
Hurrengo partiduak ere,</t>
    </r>
    <r>
      <rPr>
        <sz val="9"/>
        <color rgb="FF000000"/>
        <rFont val="Arial"/>
        <family val="0"/>
        <charset val="1"/>
      </rPr>
      <t xml:space="preserve"> Jaka-Mariezkurrena irabazten dituzte, eta Elordi-Rezustarekin batera, norgehiagoka guztiak irabazi dituzten bikote bakarra bihurtzen dira. Galtzaileen bolada eskasa da, eta irabazleen bolada bikaina, Mariezkurrenak nagusitu egiten du atzean, Jaka aisean.
Hori da Jaka-Mariezkurrena, Binakako Txapelketan irabazle nagusiak, eta lehenengo postuetara eraman ditzatenak. Horrelako jokaldu handiak eta irudi bikagarrienak ematen dizkiete, eta horregatik, txapela janzteko hautagai nagusien artean sartzen dira.</t>
    </r>
  </si>
  <si>
    <r>
      <rPr>
        <sz val="9"/>
        <color rgb="FF000000"/>
        <rFont val="Arial"/>
        <family val="0"/>
        <charset val="1"/>
      </rPr>
      <t xml:space="preserve">Ondo pentsatuta, hurrengo testuaren edukirik garrantzitsuena "Mariezkurrenak atzean sartuarazi du Martija, bidea erraztu dio Jakari, eta Lizartzako aurrelaria nahieran ibili da. Mota guztietako erremateak egin ditu ezer gutxi egin zezakeen Elezkanoren parean. Egin dituen 16 tantoetatik zortzi ezker gantxoa baliatuta amaitu ditu." da.
Testu hau zuzenean adierazi du pilotalekuen jokaldearen balioz eta eraginkortasunaz. </t>
    </r>
    <r>
      <rPr>
        <strike val="true"/>
        <sz val="9"/>
        <color rgb="FF000000"/>
        <rFont val="Arial"/>
        <family val="0"/>
        <charset val="1"/>
      </rPr>
      <t xml:space="preserve">Mariezkurrena, atzean sartuta, Martija errazten dio Jakari bidea,</t>
    </r>
    <r>
      <rPr>
        <sz val="9"/>
        <color rgb="FF000000"/>
        <rFont val="Arial"/>
        <family val="0"/>
        <charset val="1"/>
      </rPr>
      <t xml:space="preserve"> eta horrela Lizartzako aurrelaria nahieran ibili da. Elezkano, bere parean, </t>
    </r>
    <r>
      <rPr>
        <strike val="true"/>
        <sz val="9"/>
        <color rgb="FF000000"/>
        <rFont val="Arial"/>
        <family val="0"/>
        <charset val="1"/>
      </rPr>
      <t xml:space="preserve">ez du inolako erremate eraginkorra onartzen</t>
    </r>
    <r>
      <rPr>
        <sz val="9"/>
        <color rgb="FF000000"/>
        <rFont val="Arial"/>
        <family val="0"/>
        <charset val="1"/>
      </rPr>
      <t xml:space="preserve">, eta </t>
    </r>
    <r>
      <rPr>
        <strike val="true"/>
        <sz val="9"/>
        <color rgb="FF000000"/>
        <rFont val="Arial"/>
        <family val="0"/>
        <charset val="1"/>
      </rPr>
      <t xml:space="preserve">Mariezkurrena zortzi tanto ezker gantxoa baliatuta amaitzen du</t>
    </r>
    <r>
      <rPr>
        <sz val="9"/>
        <color rgb="FF000000"/>
        <rFont val="Arial"/>
        <family val="0"/>
        <charset val="1"/>
      </rPr>
      <t xml:space="preserve">.
Laburtu testua erabiliz, testu honen laburpena egin dezakegu:
"Mariezkurrena</t>
    </r>
    <r>
      <rPr>
        <strike val="true"/>
        <sz val="9"/>
        <color rgb="FF000000"/>
        <rFont val="Arial"/>
        <family val="0"/>
        <charset val="1"/>
      </rPr>
      <t xml:space="preserve">, atzean sartuta, </t>
    </r>
    <r>
      <rPr>
        <sz val="9"/>
        <color rgb="FF000000"/>
        <rFont val="Arial"/>
        <family val="0"/>
        <charset val="1"/>
      </rPr>
      <t xml:space="preserve">Jakari bidea erraztu dio, eta Lizartzako aurrelaria nahieran ibili da. Elezkano, bere parean, </t>
    </r>
    <r>
      <rPr>
        <strike val="true"/>
        <sz val="9"/>
        <color rgb="FF000000"/>
        <rFont val="Arial"/>
        <family val="0"/>
        <charset val="1"/>
      </rPr>
      <t xml:space="preserve">ez du erremate eraginkorrik onartzen</t>
    </r>
    <r>
      <rPr>
        <sz val="9"/>
        <color rgb="FF000000"/>
        <rFont val="Arial"/>
        <family val="0"/>
        <charset val="1"/>
      </rPr>
      <t xml:space="preserve">, eta </t>
    </r>
    <r>
      <rPr>
        <strike val="true"/>
        <sz val="9"/>
        <color rgb="FF000000"/>
        <rFont val="Arial"/>
        <family val="0"/>
        <charset val="1"/>
      </rPr>
      <t xml:space="preserve">Mariezkurrena zortzi tanto ezker gantxoa amaitu du</t>
    </r>
    <r>
      <rPr>
        <sz val="9"/>
        <color rgb="FF000000"/>
        <rFont val="Arial"/>
        <family val="0"/>
        <charset val="1"/>
      </rPr>
      <t xml:space="preserve">."
Hau da, testu honetan, pilotalekuen jokaldearen eraginkortasun eta balioa laburtzen da, eta Mariezkurrenaren eraginkortasun handia nabarmendu da.</t>
    </r>
  </si>
  <si>
    <r>
      <rPr>
        <sz val="9"/>
        <color rgb="FF000000"/>
        <rFont val="Arial"/>
        <family val="0"/>
        <charset val="1"/>
      </rPr>
      <t xml:space="preserve">**Zer:** </t>
    </r>
    <r>
      <rPr>
        <strike val="true"/>
        <sz val="9"/>
        <color rgb="FF000000"/>
        <rFont val="Arial"/>
        <family val="0"/>
        <charset val="1"/>
      </rPr>
      <t xml:space="preserve">Jaka-Mariezkurrena bikoteak Binakako Txapelketan irabazi du.
</t>
    </r>
    <r>
      <rPr>
        <sz val="9"/>
        <color rgb="FF000000"/>
        <rFont val="Arial"/>
        <family val="0"/>
        <charset val="1"/>
      </rPr>
      <t xml:space="preserve">
**Nork:** Erik Jaka eta Jon Mariezkurrena.
**Noiz:** Ez da datu esanguratsua ematen.
**Non:** Binakako Txapelketan.
**Zergatik:** Hiru partida jokatu dituzte eta hirurak irabazi dute.
**Nola:** Danel Elezkano eta Julen Martija bederatzi tantoan utzita, Jaka-Mariezkurrena bikoteak txapela janzteko hautagai nagusien artean agertu dira. Mariezkurrena bolada bikainean dago eta nagusitu egiten da atzean, Jakak, berriz, aise amaitzen ditu tantoak. Gorriak 3-0 irabazten hasi dira Elezkanoren jokaldi on batzuei esker, baina bikote bakarra aritu da kantxan. Mariezkurrenak atzean sartuarazi du Martija, bidea erraztu dio Jakari, eta Lizartzako aurrelaria nahieran ibili da. Mota guztietako erremateak egin ditu ezer gutxi egin zezakeen Elezkanoren parean. Egin dituen 16 tantoetatik zortzi ezker gantxoa baliatuta amaitu ditu. J</t>
    </r>
    <r>
      <rPr>
        <strike val="true"/>
        <sz val="9"/>
        <color rgb="FF000000"/>
        <rFont val="Arial"/>
        <family val="0"/>
        <charset val="1"/>
      </rPr>
      <t xml:space="preserve">aka-Mariezkurrena da norgehiagoka guztiak irabazi dituen bikote bakarra</t>
    </r>
    <r>
      <rPr>
        <sz val="9"/>
        <color rgb="FF000000"/>
        <rFont val="Arial"/>
        <family val="0"/>
        <charset val="1"/>
      </rPr>
      <t xml:space="preserve">. Irabazleen bolada bikainaren aurkakoa da galtzaileen bolada eskasa. Jokin Altunaren ordez ari da Elezkano, eta emaitzak ez dira onak izaten ari. Bi partida 22-9 galdu dituzte, eta beste bat 22-8. Lehen postuetatik gehiegi urrundu nahi ez badute, laster hasi beharko dute irabazten.</t>
    </r>
  </si>
  <si>
    <t xml:space="preserve">TLDR: Jaka-Mariezkurrena irabazi dute hirurak Binakako Txapelketan jokatutako hirur partida. Elezkano-Martija bederatzi tantoan utzita, Jaka-Mariezkurrena hautagai nagusien artean dago.</t>
  </si>
  <si>
    <r>
      <rPr>
        <sz val="9"/>
        <color rgb="FF000000"/>
        <rFont val="Arial"/>
        <family val="0"/>
        <charset val="1"/>
      </rPr>
      <t xml:space="preserve">«Hilabete daramagu lainopean, eta hara non azaldu zareten eguzkiarekin batera». Horrelako hitzetan idatzia da Joseba Insausti artzainaren istorioa, mendiko gazta egiten duen Esnaurrieta txabolan. Mantal eta katiuska zuriak soinean, eta hain zuzen ere, ez da aspaldian hainbeste zalaparta izan hango patxada hartan. </t>
    </r>
    <r>
      <rPr>
        <strike val="true"/>
        <sz val="9"/>
        <color rgb="FF000000"/>
        <rFont val="Arial"/>
        <family val="0"/>
        <charset val="1"/>
      </rPr>
      <t xml:space="preserve">Baina, hain zuzen ere, hango istorioa ez da gazta baino ezagunagoa.
</t>
    </r>
    <r>
      <rPr>
        <sz val="9"/>
        <color rgb="FF000000"/>
        <rFont val="Arial"/>
        <family val="0"/>
        <charset val="1"/>
      </rPr>
      <t xml:space="preserve">
Gipuzkoako basozainek gerturatu dira Aralarko parke naturalan, Enirio-Aralar mankomunitatetik</t>
    </r>
    <r>
      <rPr>
        <strike val="true"/>
        <sz val="9"/>
        <color rgb="FF000000"/>
        <rFont val="Arial"/>
        <family val="0"/>
        <charset val="1"/>
      </rPr>
      <t xml:space="preserve">, eta parte hartu dute Ruraltxa proiektuan</t>
    </r>
    <r>
      <rPr>
        <sz val="9"/>
        <color rgb="FF000000"/>
        <rFont val="Arial"/>
        <family val="0"/>
        <charset val="1"/>
      </rPr>
      <t xml:space="preserve">. Proiektu honek helburu du mendiaren eta mendiko abeltzaintzaren erabilera tradizionala berriz ere balioz dagoela erakustea. </t>
    </r>
    <r>
      <rPr>
        <strike val="true"/>
        <sz val="9"/>
        <color rgb="FF000000"/>
        <rFont val="Arial"/>
        <family val="0"/>
        <charset val="1"/>
      </rPr>
      <t xml:space="preserve">Parketxe Sareko, Hazi fundazioa, Etorlur, eta</t>
    </r>
    <r>
      <rPr>
        <sz val="9"/>
        <color rgb="FF000000"/>
        <rFont val="Arial"/>
        <family val="0"/>
        <charset val="1"/>
      </rPr>
      <t xml:space="preserve"> unibertsitateak ere kideak dira, eta Next Generation funtsen bidez finantzatuta dago.
Ingurunea paregabea da, Landako bioekonomia eta mendiko ekosistemak jasangarrira bidean. Luis Mari Zaldu, Parketxe Sareko zuzendaria, azaldu du: «Ez da ingurunea jatorrizkoa, baina kultur paisaia bat da, gizaki eta natura arteko harremanaren ondorioz sortzen dena».
Taldea Esnaurretara iritsi da, Jentilarri parean hasita, Arraztaranen barrena. Mahaian mahaia, txabolaren aurrean, mendiko gazta, mondeju zuria, salda, ardi gisadua eta mamia jarrita dira. Insausti artzainak azaldu du bere gazta eta artzaintza-proiektuaren historia: «1998an ezagutu nuen hau guztia, eta deskubritu nuen hemen sentimendu handiko artzaintza bat».
Mahaia kolektiboko sukaldariak ere badira txabolan, eta Roberto Ruiz Hika txakolindegiko sukaldariak menua egiten du. Gazta Intxaustirena da, eta Mikel Olano abeltzain gaztea mondejuak egin ditu. Sukaldariak artzaintzari eta ardiari errespetua eta balioa adierazi dute, eta ekosistema eraikitzen duten gazta, artzaina, eta sukaldariak arteko harremanari hainbat balio ematen diote.
Zintzarri hots artean, artzaina gazta egiten duen artaldea agertu da. Ondarreko mairu-baratzetik itzultzen dute, eta horren bidez larreko balioa ikasi dute. Ruraltxa proiektuak mendiko abeltzaintza eta mendiko gazta-proiektuak eragindako balioa erakusten diote, eta hainbat lagun arteko elkarrekin-lanak sortzen dira.
Horrelako proiektuetan, ingurumenaren eta tradizioen babesa eta berreskuratzea ikus daiteke, eta hainbat pertsona eta elikagai arteko harremanak sortzen dira. Ruraltxa proiektuak, hain zuzen ere,</t>
    </r>
    <r>
      <rPr>
        <strike val="true"/>
        <sz val="9"/>
        <color rgb="FF000000"/>
        <rFont val="Arial"/>
        <family val="0"/>
        <charset val="1"/>
      </rPr>
      <t xml:space="preserve"> mendiko gazta-istorioa eta</t>
    </r>
    <r>
      <rPr>
        <sz val="9"/>
        <color rgb="FF000000"/>
        <rFont val="Arial"/>
        <family val="0"/>
        <charset val="1"/>
      </rPr>
      <t xml:space="preserve"> artzaintza-tradizioa berreskuratzea eta eragindako balioa erakustea lortzen saiatzen da.</t>
    </r>
  </si>
  <si>
    <t xml:space="preserve">Ondo!
Hurrengo testuaren edukirik garrantzitsuena:
«Mendiaren eta mendiko abeltzaintza estentsiboaren erabilera tradizionalari berriz ere balioa ematea»: hori da Ruraltxa proiektuaren helburua, Mikel de Francisco arduradunak azaldu duenez.
Laburtu testua:
«Ez pentsa ingurune hau jatorrizkoa denik. Ez da horrela. Badaukagu gurean milenarismorako joera bat: uste dugu aurrean dugun hori guztia Neolitiko garaikoa dela, baina ez da hala. Hori guztia kultur paisaia bat da, gizakiaren eta naturaren harremanaren ondorioz sortzen dena», azaldu du maisuki Parketxe Sareko zuzendari Luis Mari Zalduak.</t>
  </si>
  <si>
    <t xml:space="preserve">Zer?
- Mendiko gazta eta artzaintzaren arteko harremana adieraztea.
Nork?
- Joseba Insausti, artzainarena, eta Mikel de Francisco, Ruraltxa proiektuaren arduraduna.
Noiz?
- Hilabete daramagu lainopean, eta hara non azaldu zareten eguzkiarekin batera.
Non?
- Esnaurrieta txabola, Enirio-Aralar mankomunitaterako Aralarko parke naturalan.
Zergatik?
- Ruraltxa proiektua mendiko abeltzaintza estentsiboaren erabilera tradizionalari berriz ere balioa emateko helburuz sortua.
Nola?
- Mendiko gazta egiteko prozesua adieraztea, eta artzaintzaren eta ardien arteko harremanak kontatzea.
Hogeita hamar bat lagun taldeak mendiko ekosistemaren balioa eta garrantzia adierazteko bultzatu dute.</t>
  </si>
  <si>
    <r>
      <rPr>
        <strike val="true"/>
        <sz val="9"/>
        <color rgb="FF000000"/>
        <rFont val="Arial"/>
        <family val="0"/>
        <charset val="1"/>
      </rPr>
      <t xml:space="preserve">Epaiketa</t>
    </r>
    <r>
      <rPr>
        <sz val="9"/>
        <color rgb="FF000000"/>
        <rFont val="Arial"/>
        <family val="0"/>
        <charset val="1"/>
      </rPr>
      <t xml:space="preserve">: Joseba Insausti, artzainarena, Esnaurrieta txabolan, Gipuzkoako mendian.
Helburua: Ruraltxa proiektua, mendiaren erabilera tradizionala berrerezartzea eta </t>
    </r>
    <r>
      <rPr>
        <strike val="true"/>
        <sz val="9"/>
        <color rgb="FF000000"/>
        <rFont val="Arial"/>
        <family val="0"/>
        <charset val="1"/>
      </rPr>
      <t xml:space="preserve">gazta egiteko kultura sustatzeari laguntzea</t>
    </r>
    <r>
      <rPr>
        <sz val="9"/>
        <color rgb="FF000000"/>
        <rFont val="Arial"/>
        <family val="0"/>
        <charset val="1"/>
      </rPr>
      <t xml:space="preserve">.
Parte hartzaileak: Mantala, Mahaia kolektiboa, Hazi fundazioa, Etorlurrekoak eta Gipuzkoako Parketxe Sarekoak.
Ingurunea: Aralarko parke naturala, Enirio-Aralar mankomunitateko, Landako bioekonomia eta mendiko ekosistemak.
Mahaia: Intxaustirena, Roberto Ruiz, Mikel Olano eta Mahaia kolektiboko beste sukaldari batzuk.
TL;DR: Joseba Insausti, artzainarena, mendian gazta egiten du, eta Ruraltxa proiektuak mendiaren erabilera tradizionala berrerezartzen saiatzen da. Proiektuan parte hartzen dute </t>
    </r>
    <r>
      <rPr>
        <strike val="true"/>
        <sz val="9"/>
        <color rgb="FF000000"/>
        <rFont val="Arial"/>
        <family val="0"/>
        <charset val="1"/>
      </rPr>
      <t xml:space="preserve">Mantala, Mahaia kolektiboa eta</t>
    </r>
    <r>
      <rPr>
        <sz val="9"/>
        <color rgb="FF000000"/>
        <rFont val="Arial"/>
        <family val="0"/>
        <charset val="1"/>
      </rPr>
      <t xml:space="preserve"> beste agentzia batzuk.</t>
    </r>
  </si>
  <si>
    <r>
      <rPr>
        <sz val="9"/>
        <color rgb="FF000000"/>
        <rFont val="Arial"/>
        <family val="0"/>
        <charset val="1"/>
      </rPr>
      <t xml:space="preserve">Hemen duzu laburpen bat:
Euskal Herriko surf taldeak, olatu ederra lortu dute Arecibo (Puerto Rico)n, Munduko Txapelketan, eta horren ondorioz, sailkatu dira lau kide: Nadia Erostarbe, Janire Gonzalez-Etxabarri, Joan Duru eta Andy Criere. Horiek, uztailaren 27tik abuztuaren 4ra, Teahupo'oko olatu bereziak esperimentatuko dute, Tahiti. Horretan, Munduko Txapelketako lan bikoia aitortu zaie, eta orain, Parisko Olinpiar Jokoetara bideratuko dira.
Erostarbe, Gonzalez-Etxabarri eta Criere, pozik dagozte, eta helburua lortu dute, sailkatzea. Criere, elkarrekin biziko familia baten hizkuntza adierazi du, eta horren ondorioz, indar handia lortu dute. Gonzalez-Etxabarri, bera ere, pozik dago, baina belaunaren kontra dago, eta fisioterapeutari joan behar izango du.
Teahupo'oko olatuak, surf taldeak ezagutu ez dutenak dira, baina Criere, han surf egin du, eta "oso olatu berezia" delakoa adierazi du. Zailtasunak dira, baina surf taldeak itxaropentsu dagozte, eta Erostarbek "aukera" adierazi du.
Euskal Herrian, Olatz Legarza, Basque Teameko koordinatzaileak, euskal surflarien lorpena goratu egin du, eta "egun historikoa" delakoa adierazi du.
</t>
    </r>
    <r>
      <rPr>
        <strike val="true"/>
        <sz val="9"/>
        <color rgb="FF000000"/>
        <rFont val="Arial"/>
        <family val="0"/>
        <charset val="1"/>
      </rPr>
      <t xml:space="preserve">Horrelako esperientzia berriak, surf taldeari, eta Euskal Herriari ere, indar handia ematen die, eta orain, Parisko Olinpiar Jokoetara bideratzen dira, espero eta ondo aritzen dute.</t>
    </r>
  </si>
  <si>
    <r>
      <rPr>
        <sz val="9"/>
        <color rgb="FF000000"/>
        <rFont val="Arial"/>
        <family val="0"/>
        <charset val="1"/>
      </rPr>
      <t xml:space="preserve">Edukirik garrantzitsuena:
"Egun historikoa da euskal surfarentzat eta kirolarentzat. Jende askoren ametsak bete dira."
Laburtu testua:
"Oso-oso pozik nago. Helburua Olinpiar Jokoetarako sailkatzea zen, eta, hori lortuta, lasaiago aritu naiz. Laugarren izan naiz. Sekulako emaitza da, inoiz lortu dudan onena. Oso zoriontsu naiz, batez ere hirurak sailkatu baikara. Bete-betean ariko gara Jokoetan. Oso ondo aritzen bagara, agian hiru domina ekarriko ditugu etxera: zergatik ez?"
Edukirik garrantzitsuena, "Egun historikoa da..." testua, </t>
    </r>
    <r>
      <rPr>
        <strike val="true"/>
        <sz val="9"/>
        <color rgb="FF000000"/>
        <rFont val="Arial"/>
        <family val="0"/>
        <charset val="1"/>
      </rPr>
      <t xml:space="preserve">Euskal Herrian surf-kirolaren historia eta garapena azpimarratzen du, eta horren bidez, surflarien amets eta lorpena uste duen garrantzia nabarmendu nahi du</t>
    </r>
    <r>
      <rPr>
        <sz val="9"/>
        <color rgb="FF000000"/>
        <rFont val="Arial"/>
        <family val="0"/>
        <charset val="1"/>
      </rPr>
      <t xml:space="preserve">.
Laburtu testuan, Erostarbe-k sailkatu zuten emaitza eta helburua lortu duela adierazten du, eta bere lagun batzuekin Jokoetan parte hartzeko asmoa adierazi du. Horrez gain, hiru domina ekarriko duten esperantza adierazi du, eta</t>
    </r>
    <r>
      <rPr>
        <strike val="true"/>
        <sz val="9"/>
        <color rgb="FF000000"/>
        <rFont val="Arial"/>
        <family val="0"/>
        <charset val="1"/>
      </rPr>
      <t xml:space="preserve"> horren bidez, kirolaren eraginkortasun eta garrantzia nabarmendu nahi du.
</t>
    </r>
    <r>
      <rPr>
        <sz val="9"/>
        <color rgb="FF000000"/>
        <rFont val="Arial"/>
        <family val="0"/>
        <charset val="1"/>
      </rPr>
      <t xml:space="preserve">
Horien gain, testuan, Criere-k familia-espiritura eta laguntza-sarearen garrantzia uste duena ere nabarmendu da, </t>
    </r>
    <r>
      <rPr>
        <strike val="true"/>
        <sz val="9"/>
        <color rgb="FF000000"/>
        <rFont val="Arial"/>
        <family val="0"/>
        <charset val="1"/>
      </rPr>
      <t xml:space="preserve">eta horren bidez, surflarien arteko babesa eta laguntza bultzatu nahi du.
</t>
    </r>
    <r>
      <rPr>
        <sz val="9"/>
        <color rgb="FF000000"/>
        <rFont val="Arial"/>
        <family val="0"/>
        <charset val="1"/>
      </rPr>
      <t xml:space="preserve">
Baino ere, Gonzalez-Etxabarri-k egindako lanari zentzuzkoa adierazi du, baina kezka bakarra du belaunearen inguruan, eta horren bidez, Jokoetara prestatzen jarraitzen duela adierazi nahi du.
Horien gain, Teahupo'oko olatu berezia eta adierazpen honek adierazi duen adierazpenak, surflarien arteko zailtasun eta ondo egiteko itxaropentsuak bultzatu nahi ditu.
</t>
    </r>
    <r>
      <rPr>
        <strike val="true"/>
        <sz val="9"/>
        <color rgb="FF000000"/>
        <rFont val="Arial"/>
        <family val="0"/>
        <charset val="1"/>
      </rPr>
      <t xml:space="preserve">Horrelako testuak, surflarien ametsak, lorpena, eta Jokoetara prestatze-prozesua uste duen garrantzia nabarmendu nahi du, eta horren bidez, kirolaren eraginkortasun eta garapena bultzatu nahi du.</t>
    </r>
  </si>
  <si>
    <r>
      <rPr>
        <sz val="9"/>
        <color rgb="FF000000"/>
        <rFont val="Arial"/>
        <family val="0"/>
        <charset val="1"/>
      </rPr>
      <t xml:space="preserve">**Zer?**
Euskal Herriko surflarien olatu ederra eta sailkatzea.
**Nork?**
Nadia Erostarbe, Janire Gonzalez-Etxabarri, Joan Duru eta Andy Criere, Euskal Herriko surflariak.
**Noiz?**
Uztailaren 27tik abuztuaren 4ra.
**Non?**
Teahupo'on, Tahiti.
**Zergatik?**
</t>
    </r>
    <r>
      <rPr>
        <strike val="true"/>
        <sz val="9"/>
        <color rgb="FF000000"/>
        <rFont val="Arial"/>
        <family val="0"/>
        <charset val="1"/>
      </rPr>
      <t xml:space="preserve">Olinpiar Jokoetara zuzenean bultzatu ahal izateko eta munduko txapelketan egindako baliagarriak izatea aitortuz.
</t>
    </r>
    <r>
      <rPr>
        <sz val="9"/>
        <color rgb="FF000000"/>
        <rFont val="Arial"/>
        <family val="0"/>
        <charset val="1"/>
      </rPr>
      <t xml:space="preserve">
**Nola?**
Euskal surflariak olatu ederra harrapatu dute, eta horren ondorioz, sailkatu dira lau </t>
    </r>
    <r>
      <rPr>
        <strike val="true"/>
        <sz val="9"/>
        <color rgb="FF000000"/>
        <rFont val="Arial"/>
        <family val="0"/>
        <charset val="1"/>
      </rPr>
      <t xml:space="preserve">sailkatzeetan</t>
    </r>
    <r>
      <rPr>
        <sz val="9"/>
        <color rgb="FF000000"/>
        <rFont val="Arial"/>
        <family val="0"/>
        <charset val="1"/>
      </rPr>
      <t xml:space="preserve">. </t>
    </r>
    <r>
      <rPr>
        <strike val="true"/>
        <sz val="9"/>
        <color rgb="FF000000"/>
        <rFont val="Arial"/>
        <family val="0"/>
        <charset val="1"/>
      </rPr>
      <t xml:space="preserve">Horretarako, uztailaren 27tik abuztuaren 4ra arte, Teahupo'on entrenatuko dute</t>
    </r>
    <r>
      <rPr>
        <sz val="9"/>
        <color rgb="FF000000"/>
        <rFont val="Arial"/>
        <family val="0"/>
        <charset val="1"/>
      </rPr>
      <t xml:space="preserve">, non olatu bereziak dagoz. Horietan, familia-moduarekin lan egin dute, elkar babestuta eta elkarrekin hitz eginez.
Erostarbe, Gonzalez-Etxabarri eta Criere, pozik dagozte, baina Gonzalez-Etxabarrik belaunaz kezka du. Baina, </t>
    </r>
    <r>
      <rPr>
        <strike val="true"/>
        <sz val="9"/>
        <color rgb="FF000000"/>
        <rFont val="Arial"/>
        <family val="0"/>
        <charset val="1"/>
      </rPr>
      <t xml:space="preserve">surflariek aukera handia dute Teahupo'on entrenatzea</t>
    </r>
    <r>
      <rPr>
        <sz val="9"/>
        <color rgb="FF000000"/>
        <rFont val="Arial"/>
        <family val="0"/>
        <charset val="1"/>
      </rPr>
      <t xml:space="preserve"> eta olatu bereziak egokitzea.</t>
    </r>
  </si>
  <si>
    <t xml:space="preserve">Euskal Herriko surflariak (Basque surfers) olatu ederra (good waves) harrapatu dute (have caught) Arecibon (Puerto Rico), Munduko Txapelketan (World Championships); horren ederra (its success), oso urrun eraman baititu (has reached far): Parisko Olinpiar Jokoetara (to the Olympic Games in Paris). Lau sailkatu dira (Four of them have been selected): Nadia Erostarbe (from Zarautz), Janire Gonzalez-Etxabarri (from Zumaia), Joan Duru (from Bayonne), eta (and) Andy Criere (from San Sebastián). Laurak ariko dira uztailaren 27tik abuztuaren 4ra (They will compete from July 27th to August 4th) Teahupo’on (in Tahiti). Han jokatuko da Olinpiar Jokoetako surfeko lehia (There, the surfing competition of the Olympic Games will take place).
Laurek Pauline Adori hartuko diote lekukoa (They will take the place of Pauline Ado). Angeluarra 2021eko Jokoetan aritu zen, Tokion (She competed in the 2021 Games in Tokyo). Bederatzigarren izan zen (She was 16th). Ekitaldi horretan lehiatu ziren aurrenekoz surflariak Olinpiar Jokoetan (Surfers who competed in the previous edition of the Olympic Games). Hiru urte geroago (Three years later), euskal surflariak (Basque surfers) orduan halako lau izango dira (will be four again). Sekulako jauzia da (It's a historic moment).
Olatz Legarza Basque Teameko koordinatzaileak (Olatz Legarza, coordinator of the Basque Team) goratu egin du euskal surflarien lorpena (has highlighted the achievement of the Basque surfers). «Egun historikoa da euskal surfarentzat eta kirolarentzat (It's a historic day for Basque surfing and sport). Jende askoren ametsak bete dira (The dreams of many people have come true)».
Pozarren daude Erostarbe, Gonzalez-Etxabarri eta Criere (Erostarbe, Gonzalez-Etxabarri, and Criere are happy). «Oso-oso pozik nago (I'm very happy). Helburua Olinpiar Jokoetarako sailkatzea zen (The goal was to qualify for the Olympic Games), eta, hori lortuta (and having achieved that), lasaiago aritu naiz (I feel more relaxed). Laugarren izan naiz (I was third). Sekulako emaitza da, inoiz lortu dudan onena (It's an incredible result, the best I've ever achieved). Oso zoriontsu naiz, batez ere hirurak sailkatu baikara (I'm very happy, especially because three of us have qualified). Bete-betean ariko gara Jokoetan (We'll be there together). Oso ondo aritzen bagara, agian hiru domina ekarriko ditugu etxera: zergatik ez? (If we do well, maybe we'll bring three medals home: why not?)», azaldu du Erostarbek (says Erostarbe).
Criere ere oso pozik dago, elkarrekin biziko baitute Olinpiar Jokoetako esperientzia (Criere is also very happy to share the Olympic experience with his peers). Oso argi du zein izan den gakoa (He knows what the key has been): «Familia bat izan gara (We've been a family): elkarrekin bazkaldu dugu (we've competed together), eta elkarrekin hitz egin gauza onei, txarrei, garrantzitsuei eta sinpleei buruz (and talked about important and simple things). Elkar babestu dugu (We've supported each other), eta horrek indar handia eman digu (and that has given us a lot of strength)». Zalantzarik ez du zergatik ariko diren horrenbeste euskal surflari Jokoetan (He has no doubts about why so many Basque surfers will be at the Games): «Eredu handiak izan ditugulako (Because we've had great generations)». Hori esan, eta berehala begiratu dio Aritz Aranbururi (He says this and looks at Aritz Aranburu). Parean zuen surflari zarauztarra (His fellow surfer from Zarautz).
Gonzalez-Etxabarrik, berriz, aitortu du egindakoa «sinetsi ezinda» dagoela (Gonzalez-Etxabarri, on the other hand, admits that what she has achieved is "hard to believe"). «Ametsetan nago oraindik (I'm still in a dream). Maila nagusiko lehen munduko txapelketa izanda, gozatzea zen helburua (For the first time in a major world championship, my goal was to enjoy it), baina ezin hobeto atera da dena (but things couldn't have gone better). Izugarri pozik nago (I'm extremely happy)». Kezka bakarra du: mina du belaunean (Her only concern is her ankle). «Gaur bertan joango naiz fisioterapeutarengana (Today I'll go to the physiotherapist), eta buru-belarri jarriko naiz lanean belauna ondo osatzeko (and I'll put all my effort into getting my ankle in good shape). Oso garrantzitsua da datorrena (The upcoming date is very important), eta oso ondo egon behar dugu (and we must be in top shape)».
Teahupo’oko olatuan ariko dira Jokoetan (They will face the waves of Teahupo'o in the Games). Erostarbek eta Gonzalez-Etxabarrik ez dute han surf egin sekula (Erostarbe and Gonzalez-Etxabarri have never surfed there). Crierek, aldiz, bai (Criere, on the other hand, has), eta azpimarratu du «oso olatu berezia» dela (and he describes it as "a very special wave"). «Aldakorra da, eta txundituta uzten zaitu (It's changeable and it puts you in a bind). Oso garrantzitsua izango da egokitzea (It will be very important to get used to it). Ea aukera dugun han ahalik eta gehien entrenatzeko (Fortunately, we have the opportunity to train there as much as possible)». Zailtasunak zailtasun, ondo aritzeko itxaropentsu daude (Difficulties are expected, but they are optimistic about doing well). Erostarbek argi du: «Badago aukera (There's a chance)».
TLDR: Four Basque surfers have qualified for the Olympic Games in Paris, a historic achievement. They will compete in Teahupo'o, Tahiti, and are optimistic about their chances despite the challenging waves.</t>
  </si>
  <si>
    <r>
      <rPr>
        <sz val="9"/>
        <color rgb="FF000000"/>
        <rFont val="Arial"/>
        <family val="0"/>
        <charset val="1"/>
      </rPr>
      <t xml:space="preserve">Nahi baduzu, hurrengo testua laburtu dezaket:
Literatura beti izan duzu lagun, baina harreman gorabeheratsua izan dut irakurketarekin. Unibertsitatean Itzulpengintza ikasi nuen, eta horren bidez, literaturarekin nuen harremana berreskuratu dut. Itzulpengintza ariketa sortzaile izan nahi duenarentzat da</t>
    </r>
    <r>
      <rPr>
        <strike val="true"/>
        <sz val="9"/>
        <color rgb="FF000000"/>
        <rFont val="Arial"/>
        <family val="0"/>
        <charset val="1"/>
      </rPr>
      <t xml:space="preserve">, eta horren bidez, idazteko modu bat sortu da.
</t>
    </r>
    <r>
      <rPr>
        <sz val="9"/>
        <color rgb="FF000000"/>
        <rFont val="Arial"/>
        <family val="0"/>
        <charset val="1"/>
      </rPr>
      <t xml:space="preserve">
Oheak, heriotzaren ondorioz sortzen diren egoerak gordetzen ditu. Protagonistak, heriotzaren aurrean, desberdinak izan daitezkeen portaera aztertzen ditu, eta horren bidez, heriotza laguntzailea da istorioa kontatzeko.
Heriotzaren gaia zentzumen guztiekin landu da, eta horren bidez, irakurleari kokapena emateko ahalmena izan du. La casa de Bernarda Alba obran, Federico Garcia Lorcack kolorearekin transmititzen duena, ere helarazi nahi du, eta hori, hildakoaren azalean islatu du.
Zaintza erdigunean jarri nahi du, eta horren bidez, zaintzaren eta familia instituzioaren arteko harremana landu nahi du. Zaintzaileak, hildakoari estimua dio, baina hildakoaren ahizpak ez du onartzen.
«Emakumeek agindu dute beti gurean», </t>
    </r>
    <r>
      <rPr>
        <strike val="true"/>
        <sz val="9"/>
        <color rgb="FF000000"/>
        <rFont val="Arial"/>
        <family val="0"/>
        <charset val="1"/>
      </rPr>
      <t xml:space="preserve">dio protagonistak, eta horren bidez, </t>
    </r>
    <r>
      <rPr>
        <sz val="9"/>
        <color rgb="FF000000"/>
        <rFont val="Arial"/>
        <family val="0"/>
        <charset val="1"/>
      </rPr>
      <t xml:space="preserve">istorioa feminizatuta dago. Familiaren ardura eta zaintza nork hartzen dituen aztertu nahi du.
Protagonistaren generoa ez da ezaguna, eta horren bidez, ipuina bi modutara irakurtzeko aukera ematen dio. Nik ere ez dut pertsonaiaren izaera horretan arreta jartzen, saiatu nahi bainuen pertsona hori ez emakume ez gizon egiten.
</t>
    </r>
    <r>
      <rPr>
        <strike val="true"/>
        <sz val="9"/>
        <color rgb="FF000000"/>
        <rFont val="Arial"/>
        <family val="0"/>
        <charset val="1"/>
      </rPr>
      <t xml:space="preserve">
</t>
    </r>
    <r>
      <rPr>
        <sz val="9"/>
        <color rgb="FF000000"/>
        <rFont val="Arial"/>
        <family val="0"/>
        <charset val="1"/>
      </rPr>
      <t xml:space="preserve">Zaintzaileak gordetzen du amonaren sekretua, baina familiak deskubrituko duen ez dakit. Amaiera ireki hori gustatzen zait</t>
    </r>
    <r>
      <rPr>
        <strike val="true"/>
        <sz val="9"/>
        <color rgb="FF000000"/>
        <rFont val="Arial"/>
        <family val="0"/>
        <charset val="1"/>
      </rPr>
      <t xml:space="preserve">, eta horren bidez, irakurleari errotik gertatzen den istorioa ematen dio.
</t>
    </r>
    <r>
      <rPr>
        <sz val="9"/>
        <color rgb="FF000000"/>
        <rFont val="Arial"/>
        <family val="0"/>
        <charset val="1"/>
      </rPr>
      <t xml:space="preserve">
Narrazioak errealitatearekin erlazio bat du, baina magia puntu bat ere daude. Bizitza errealean ere gertatzen da hori, eta jendeak arrazoi mistiko bat bilatzen dute gertatzen diren gauzak ulertzeko.
Sariak ateak irekiko dizkizula uste dut, baina harreman konplexua dut sariekin. Badago ezkutuan dagoen sektore bat, sarietatik kanpo idazten duena.
Poesian aipamen berezia lortu duzu, eta horren bidez, zabiltza erosoena da. Narrazioan bide bat irekitzen baduzu, ezin duzu erdizka utzi, eta poesian hori egitea errazagoa da niretzat.
Sari banaketara eramango duzun kamiseta prest da, zezenketarik ez! UPNrekin, utzi egin zioten sari banaketa egiteari, haientzat deserosoa baitzen euskaldun batzuei eskua ematea eta zer kamiseta zeramatzaten ikustea. Ahal badut, alkateari esango diot bere agindupean zenbat zezen hilko diren, eta baita oraindik kalean bizi den jendea badagoela ere. Triunfalismorik ez.
LOTSABAKO!</t>
    </r>
  </si>
  <si>
    <t xml:space="preserve">Ederki pentsatu duzu! Nire ustez, hurrengo testuaren edukirik garrantzitsuena da "Zaintzaileak gordetzen du amonaren sekretua. Familiak deskubrituko du?" partea. Horretan, heriotzaren aurrean zaintzailearen eta familiak eta hildakoaren arteko harremanak aztertzen dira, eta horren bidez, istorioaren garrantzia handia azaleratu da.
Laburtutako testua, berriz, "Literatura beti izan duzu lagun?" partea izan daiteke. Horretan, irakurketarekin duzun harreman gorabeheratsua eta zure literaturaz harremanak berreskuratzea azpimarratzen duzu.
Ederki lan egin duzu!</t>
  </si>
  <si>
    <r>
      <rPr>
        <sz val="9"/>
        <color rgb="FF000000"/>
        <rFont val="Arial"/>
        <family val="0"/>
        <charset val="1"/>
      </rPr>
      <t xml:space="preserve">Iñigo Satrustegi, </t>
    </r>
    <r>
      <rPr>
        <strike val="true"/>
        <sz val="9"/>
        <color rgb="FF000000"/>
        <rFont val="Arial"/>
        <family val="0"/>
        <charset val="1"/>
      </rPr>
      <t xml:space="preserve">Iruñeko Literatur Lehiaketa irabazleak, ume literaturaren munduarekin duen harremana azpimarratzen du</t>
    </r>
    <r>
      <rPr>
        <sz val="9"/>
        <color rgb="FF000000"/>
        <rFont val="Arial"/>
        <family val="0"/>
        <charset val="1"/>
      </rPr>
      <t xml:space="preserve">.</t>
    </r>
    <r>
      <rPr>
        <strike val="true"/>
        <sz val="9"/>
        <color rgb="FF000000"/>
        <rFont val="Arial"/>
        <family val="0"/>
        <charset val="1"/>
      </rPr>
      <t xml:space="preserve"> Herriko leku eta esperientzia batzuk erakutsiz,</t>
    </r>
    <r>
      <rPr>
        <sz val="9"/>
        <color rgb="FF000000"/>
        <rFont val="Arial"/>
        <family val="0"/>
        <charset val="1"/>
      </rPr>
      <t xml:space="preserve"> idazleak heriotzaren ondorioz sortzen diren egoerak aztertzen ditu.
Zer?
Nork: Iñigo Satrustegi, 1997an jaioa.
Noiz: Ez da zehaztu, baina </t>
    </r>
    <r>
      <rPr>
        <strike val="true"/>
        <sz val="9"/>
        <color rgb="FF000000"/>
        <rFont val="Arial"/>
        <family val="0"/>
        <charset val="1"/>
      </rPr>
      <t xml:space="preserve">gaur bertan</t>
    </r>
    <r>
      <rPr>
        <sz val="9"/>
        <color rgb="FF000000"/>
        <rFont val="Arial"/>
        <family val="0"/>
        <charset val="1"/>
      </rPr>
      <t xml:space="preserve"> gerta dena adierazten du.
Non: Iruñean, bere herrian.
Zergatik: Heriotzaren ondorioz sortzen diren egoerak aztertzeko.
Nola: "Oheak gordetzen duena" lanarekin, eta "Ebakiduraariketak" poesien sailean.
Itzulpengintza zure idazteko eragin duen eragina azpimarratzen duzu.
Zer-nolako eragina du itzulpengintzak zure idazteko eran?
Itzulpengintza ariketa sortzaile izan nahi duenarentzat da. </t>
    </r>
    <r>
      <rPr>
        <strike val="true"/>
        <sz val="9"/>
        <color rgb="FF000000"/>
        <rFont val="Arial"/>
        <family val="0"/>
        <charset val="1"/>
      </rPr>
      <t xml:space="preserve">Itzulpengintza zure idazteko eragin du, zure idazketa estetikak eta zure hitzak eraginkortasun handiagoa ematen dizut.
</t>
    </r>
    <r>
      <rPr>
        <sz val="9"/>
        <color rgb="FF000000"/>
        <rFont val="Arial"/>
        <family val="0"/>
        <charset val="1"/>
      </rPr>
      <t xml:space="preserve">
Zer gordetzen du oheak?
Oheak heriotzaren ondorioz sortzen diren egoerak gordetzen ditu.
Heriotza laguntzailea da istorioa kontatzeko orduan.
Zentzumen guztiekin landu nahi zenuen?
Bai, </t>
    </r>
    <r>
      <rPr>
        <strike val="true"/>
        <sz val="9"/>
        <color rgb="FF000000"/>
        <rFont val="Arial"/>
        <family val="0"/>
        <charset val="1"/>
      </rPr>
      <t xml:space="preserve">zentzumen guztiekin landu behar du.
</t>
    </r>
    <r>
      <rPr>
        <sz val="9"/>
        <color rgb="FF000000"/>
        <rFont val="Arial"/>
        <family val="0"/>
        <charset val="1"/>
      </rPr>
      <t xml:space="preserve">
Zaintza erdigunean jarri nahi zenuen?
Bai, </t>
    </r>
    <r>
      <rPr>
        <strike val="true"/>
        <sz val="9"/>
        <color rgb="FF000000"/>
        <rFont val="Arial"/>
        <family val="0"/>
        <charset val="1"/>
      </rPr>
      <t xml:space="preserve">zaintza erdigunean jarri behar da.
</t>
    </r>
    <r>
      <rPr>
        <sz val="9"/>
        <color rgb="FF000000"/>
        <rFont val="Arial"/>
        <family val="0"/>
        <charset val="1"/>
      </rPr>
      <t xml:space="preserve">
«Emakumeek agindu dute beti gurean», dio protagonistak. Zaintzan ere bai?
Bai, zaintzan ere emakumeek agindu dute.
Protagonistaren generoa ez da ezaguna. Nahita egin duzu hori?
Bai, nahita egin dut. Horrek ematen du aukera ipuina bi modutara irakurtzeko.
Zaintzaileak gordetzen du amonaren sekretua. Familiak deskubrituko du?
Ez dakit, baina amaiera ireki hori gustatzen zait.
Narrazioak errealitatetik edan behar du?
</t>
    </r>
    <r>
      <rPr>
        <strike val="true"/>
        <sz val="9"/>
        <color rgb="FF000000"/>
        <rFont val="Arial"/>
        <family val="0"/>
        <charset val="1"/>
      </rPr>
      <t xml:space="preserve">Bai, narrazioak errealitatetik edan behar du, baina</t>
    </r>
    <r>
      <rPr>
        <sz val="9"/>
        <color rgb="FF000000"/>
        <rFont val="Arial"/>
        <family val="0"/>
        <charset val="1"/>
      </rPr>
      <t xml:space="preserve"> magia puntu bat ere dauka.
Sariak ateak irekiko dizkizula uste duzu?
Esposizio bat da, bai.
Poesian edo narrazioan, non zabiltza erosoen?
Poesian.
Prest duzu sari banaketara eramango duzun kamiseta?
Bai, prest nago. Zezenketarik ez! kamiseta.
LOTSABAKO.</t>
    </r>
  </si>
  <si>
    <t xml:space="preserve">Iñigo Satrustegi (Pamplona, 1997) quiere que le cuenten historias. Ha ganado el Premio de Literatura para Nuevos Autores de Pamplona, en narrativa, con la obra "Lo que las olas guardan", donde se exploran las situaciones que surgen a través de la muerte del protagonista. Ha recibido una mención especial en poesía con "Ebakiduraariketak", donde destaca por su originalidad.
¿Siempre has sido un amante de la literatura?
Sí, pero tuve una relación complicada con la lectura. En la universidad estudié Traducción, no Literatura. Algunos profesores me mostraron formas de disfrutar de la literatura y recuperé mi relación con ella.
¿De qué manera te ha influido la traducción en tu escritura?
La traducción es una tarea creativa para quien la realiza.
¿Qué te inspira?
Desde el principio, sabía que la abuela estaba muerta: no es ningún secreto. Quería explorar las diferentes formas en que la gente se comporta ante la muerte. La muerte no es lo más importante, sino el impacto que tiene en su entorno. La muerte es una ayuda para contar la historia.
¿Te sientes cómodo escribiendo sobre la muerte con temas tan sensibles?
Sí. Es muy sensorial, quiero que el lector se sienta inmerso. He copiado algunas cosas de otros libros, como la sonoridad, por ejemplo. Me gustó cómo Federico García Lorca transmite el color en "La casa de Bernarda Alba"; lo puse en el ataúd del difunto. Tuve la oportunidad de practicar las cosas que me gustan.
¿Crees que la historia debería estar ambientada en un centro de cuidados?
Sí. Hay un cuidador que tiene cariño por el difunto, pero el difunto no acepta su cuidado. Quería explorar la relación entre el cuidador y la institución familiar; a veces, no es perfecta. No me siento muy cómodo en el mar, y me da pena: el cuidador tuvo la oportunidad de tratar al difunto como un igual, pero no lo hizo.
El protagonista dice: "Las mujeres siempre nos han cuidado". ¿También en el cuidado?
Sí, la historia está muy feminizada. Quería explorar la responsabilidad y el cuidado que asumen los familiares. La mayoría de las personas a mi alrededor son mujeres, y he aprendido mucho de ellas.
El género del protagonista no está claro. ¿Lo has hecho a propósito?
Sí. Eso da la oportunidad de leer la historia como una persona o como una mujer. No necesito especificar, ¿qué importa? No tengo claro qué es la persona.
¿El cuidador guarda el secreto de la abuela? ¿Lo descubrirá la familia?
No lo sé. Me gusta el final abierto.
¿La narrativa debe estar basada en la realidad?
En este caso, es una historia que podría ocurrir hoy, pero hay un punto de magia. En la vida real también ocurren cosas así: la gente busca razones místicas para entender lo que les pasa.
¿Crees que abrirás las puertas a los premios con esta obra?
Es una exposición, sí. Tengo una relación compleja con los premios. Hay un sector oculto, el de los escritores que están fuera de los premios.
Has recibido una mención especial en poesía. ¿Dónde te sientes más cómodo, en la narrativa o en la poesía?
En la poesía. En la narrativa, si abres una puerta, no puedes dejarla a medias, y en la poesía es más fácil para mí hacerlo.
¿Estás preparado para llevar la camiseta que recibirás en la entrega de premios?
Sí. ¡No más camisetas de UPN! La camiseta. Estoy en contra de que UPN organice la entrega de premios, me parecía muy ofensivo para algunos hablantes de euskera ver cómo les daban la mano y qué camisetas les daban. Si puedo, se lo diré al alcalde en su cara cuántos cerdos muertos hay en su programa y que todavía hay gente viviendo en las calles. No al triunfalismo.
TL;DR:
Iñigo Satrustegi, de Pamplona, ha ganado un premio de literatura con una historia sobre la muerte y sus consecuencias, y ha recibido una mención en poesía. Su escritura está influenciada por la traducción y su inspiración viene de explorar temas sensibles y sensoriales. La historia está ambientada en un centro de cuidados y explora la relación entre el cuidador y el difunto, así como la responsabilidad y el cuidado de los familiares. El género del protagonista es ambiguo y la obra tiene un final abierto. Satrustegi tiene una relación compleja con los premios y se opone al triunfalismo.</t>
  </si>
  <si>
    <r>
      <rPr>
        <sz val="9"/>
        <color rgb="FF000000"/>
        <rFont val="Arial"/>
        <family val="0"/>
        <charset val="1"/>
      </rPr>
      <t xml:space="preserve">Erakusketako erretratu batzuk:
</t>
    </r>
    <r>
      <rPr>
        <strike val="true"/>
        <sz val="9"/>
        <color rgb="FF000000"/>
        <rFont val="Arial"/>
        <family val="0"/>
        <charset val="1"/>
      </rPr>
      <t xml:space="preserve">- Gurutzi Arregi: Bizkaiko idazlea eta kide bat, "Euskal Herriko Emakumeen Historia" liburuko autorea.
- Begoña Ereñaga: Durangaldeko idazlea eta kide bat, "Emakumeak Euskal Herrian" liburuko autorea.
- Gloria Zubia: Bizkaiko idazlea eta kide bat, "Emakumeen Historia: Bizkaiko Errealitateak" liburuko autorea.
- Elbira Inurrieta: Elorrioan (Bizkaia) jaiotako idazlea eta kide bat, "Emakumeen Bidaia" liburuko autorea.
Hau da, hurrengo erretratu hurrengoa izango den emakumea:
Oihana Azkorbebeitiarena: Bizkaiko idazlea eta kide bat, "Emakumeen Biziak: Euskal Herriko Emakumeen Errealitateak" liburuko autorea.
Nire ustiez, erreferente garrantzitsua da amama Pantxike, nire amakume onena.</t>
    </r>
  </si>
  <si>
    <r>
      <rPr>
        <strike val="true"/>
        <sz val="9"/>
        <color rgb="FF000000"/>
        <rFont val="Arial"/>
        <family val="0"/>
        <charset val="1"/>
      </rPr>
      <t xml:space="preserve">Ehun urteko historiak, emakumeen istorioak, eta irudien bidez adierazteko garrantzia daude hurrengo testuan. </t>
    </r>
    <r>
      <rPr>
        <sz val="9"/>
        <color rgb="FF000000"/>
        <rFont val="Arial"/>
        <family val="0"/>
        <charset val="1"/>
      </rPr>
      <t xml:space="preserve">Margolariak, Maitane Azurmendi, hamabost emakumeren erretratuak egin ditu, historiako izen handien ondoan ageri ez diren emakumeei aurpegia jarri die. Proposamena WikiEmakumeok proiektuko kideek egin zuten, Euskal Herriko emakume aitzindarien istorioak ezagutarazteko.
</t>
    </r>
    <r>
      <rPr>
        <strike val="true"/>
        <sz val="9"/>
        <color rgb="FF000000"/>
        <rFont val="Arial"/>
        <family val="0"/>
        <charset val="1"/>
      </rPr>
      <t xml:space="preserve">
Testu honetan, </t>
    </r>
    <r>
      <rPr>
        <sz val="9"/>
        <color rgb="FF000000"/>
        <rFont val="Arial"/>
        <family val="0"/>
        <charset val="1"/>
      </rPr>
      <t xml:space="preserve">margolariak emakumeen istorioak ezagutzera eman die jendeari, eta horren bidez, garrantzitsuak izan ziren emakumeen bizi izan diren bizitzak eta eraginak erakusten dizkie. Marrazkien bidez, emakumeen aurpegiak jartzen ditu, eta horrelakotzat, istorioa eta emakumeen bizi izan diren esperientziak bisualizatu eta garrantzitsuagoak egiten dizkie.
</t>
    </r>
    <r>
      <rPr>
        <strike val="true"/>
        <sz val="9"/>
        <color rgb="FF000000"/>
        <rFont val="Arial"/>
        <family val="0"/>
        <charset val="1"/>
      </rPr>
      <t xml:space="preserve">
"Nortzuk dira irudietako emakumeak?" bezalako galdera batzuk, emakumeen istorioak ezagutzera eman die, eta horrelakotzat, garrantzitsuagoa bihurtzen dute. Marrazkien bidez, emakumeekin lotuta dagoen istorioa eta kultura erakusten da, eta horrelakotzat, emakumeen historia eta eragina garrantzitsuagoa bihurtzen da.
</t>
    </r>
    <r>
      <rPr>
        <sz val="9"/>
        <color rgb="FF000000"/>
        <rFont val="Arial"/>
        <family val="0"/>
        <charset val="1"/>
      </rPr>
      <t xml:space="preserve">
Zuri-beltzeko marrazkien erabilera ere garrantzitsu da, </t>
    </r>
    <r>
      <rPr>
        <strike val="true"/>
        <sz val="9"/>
        <color rgb="FF000000"/>
        <rFont val="Arial"/>
        <family val="0"/>
        <charset val="1"/>
      </rPr>
      <t xml:space="preserve">irudien bidez adierazteko modu bat sortzen du</t>
    </r>
    <r>
      <rPr>
        <sz val="9"/>
        <color rgb="FF000000"/>
        <rFont val="Arial"/>
        <family val="0"/>
        <charset val="1"/>
      </rPr>
      <t xml:space="preserve">. Margolariak, Inurrieta elorriarraren begi urdin potenteak erakusten dizkie</t>
    </r>
    <r>
      <rPr>
        <strike val="true"/>
        <sz val="9"/>
        <color rgb="FF000000"/>
        <rFont val="Arial"/>
        <family val="0"/>
        <charset val="1"/>
      </rPr>
      <t xml:space="preserve">, eta horrelakotzat, irudi batzuk kolorez gain, emozio eta mehatxuak erakusten dizkie.
</t>
    </r>
    <r>
      <rPr>
        <sz val="9"/>
        <color rgb="FF000000"/>
        <rFont val="Arial"/>
        <family val="0"/>
        <charset val="1"/>
      </rPr>
      <t xml:space="preserve">
Marrazkiak ere garrantzitsuak dira, irudien bidez adierazteko modu bat da, eta horrelakotzat, istorioak eta esperientziak kontatzen dizkie. Margolariak, "hitzen bidez esatea lortzen ez dudan gauza asko esaten ditut irudien bidez" esaten du, eta horrelakotzat, marrazkiak bere adierazle eta bizitzeko modua bihurtzen dute.
</t>
    </r>
    <r>
      <rPr>
        <strike val="true"/>
        <sz val="9"/>
        <color rgb="FF000000"/>
        <rFont val="Arial"/>
        <family val="0"/>
        <charset val="1"/>
      </rPr>
      <t xml:space="preserve">Gernikako bihotza ere garrantzitsu da, bere bihotza dela esaten du margolariak, eta horrelakotzat, bihotza marrazten du, bihotza bere bizi izan daitekeen esperientzia eta emozioak erakusteko modu bat bihurtzen dute.
</t>
    </r>
    <r>
      <rPr>
        <sz val="9"/>
        <color rgb="FF000000"/>
        <rFont val="Arial"/>
        <family val="0"/>
        <charset val="1"/>
      </rPr>
      <t xml:space="preserve">
Salaketa eta memoria ere garrantzitsuak dira, eta marrazketa horien erabilera garrantzitsuagoa bihurtzen dizkie. Margolariak, "gaurkotasunari lotuta" esaten du, eta horrelakotzat, marrazketa salaketarako eta memoria mantentzeko modu bat bihurtzen da.
</t>
    </r>
    <r>
      <rPr>
        <strike val="true"/>
        <sz val="9"/>
        <color rgb="FF000000"/>
        <rFont val="Arial"/>
        <family val="0"/>
        <charset val="1"/>
      </rPr>
      <t xml:space="preserve">Autorretratuak ere garrantzitsuak dira, bere buruaren eta bizi izan daitekeen esperientziak adierazteko modu bat da.</t>
    </r>
    <r>
      <rPr>
        <sz val="9"/>
        <color rgb="FF000000"/>
        <rFont val="Arial"/>
        <family val="0"/>
        <charset val="1"/>
      </rPr>
      <t xml:space="preserve"> Margolariak, "Autorretratuak ez dezala hutsik egin" esaten du, </t>
    </r>
    <r>
      <rPr>
        <strike val="true"/>
        <sz val="9"/>
        <color rgb="FF000000"/>
        <rFont val="Arial"/>
        <family val="0"/>
        <charset val="1"/>
      </rPr>
      <t xml:space="preserve">eta horrelakotzat, bere buruaren istorioa eta bizi izan daitekeen bidaia erakusten dizkie.
</t>
    </r>
    <r>
      <rPr>
        <sz val="9"/>
        <color rgb="FF000000"/>
        <rFont val="Arial"/>
        <family val="0"/>
        <charset val="1"/>
      </rPr>
      <t xml:space="preserve">
</t>
    </r>
    <r>
      <rPr>
        <strike val="true"/>
        <sz val="9"/>
        <color rgb="FF000000"/>
        <rFont val="Arial"/>
        <family val="0"/>
        <charset val="1"/>
      </rPr>
      <t xml:space="preserve">Hurrengo testuan, emakumeen istorioak eta irudien bidez adieratzearen garrantzia erakusten da, eta horrelakotzat, emakumeen historia eta eragina garrantzitsuagoa bihurtzen dute. Marrazkien bidez, istorioak eta esperientziak kontatzen dizkie, eta horrelakotzat, emakumeen bizi izan daitekeen bizitza eta eragina garrantzitsuagoa bihurtzen dute.</t>
    </r>
  </si>
  <si>
    <r>
      <rPr>
        <sz val="9"/>
        <color rgb="FF000000"/>
        <rFont val="Arial"/>
        <family val="0"/>
        <charset val="1"/>
      </rPr>
      <t xml:space="preserve">Nortzuk dira irudietako emakumeak?
Gurutzi Arregi, Begoña Ereñaga, Gloria Zubia eta Elbira Inurrieta, Durangaldeko hamabost emakume aitzindariak dira.
Nondik heldu zitzaizun proposamena?
WikiEmakumeok proiektuko kideek proposatu zizkiguteen, Euskal Herriko historiako emakume aitzindarien aurpegiak jarri ahal izateko.
Zer garrantzi du haiei aurpegia jartzeak?
Aurpegia jartzea bisual eta artistikoa da, eta historiako emakumeen aurpegiak jarri ahal izatean, jendeari garrantzia ematen zaizkie horien bizitzari eta eraginari.
Urrutikoak bezala, etxe ondokoak ere txalotu behar dira?
Bai, emakumeen istorioak ikertzen eta aurpegiak jarriz, etxe ondokoak ere erakutsiz, historia osoa eta garrantzitsuenak agertu ahal izateko.
Zergatik daude zuri-beltzean?
Zuri-beltza nire sinatura da, eta marrazkien bidez, kolorearen falta bidez ere</t>
    </r>
    <r>
      <rPr>
        <strike val="true"/>
        <sz val="9"/>
        <color rgb="FF000000"/>
        <rFont val="Arial"/>
        <family val="0"/>
        <charset val="1"/>
      </rPr>
      <t xml:space="preserve">, emakumeen historia eta eragina adierazteko ahalik eta garrantzitsuen modua da.
</t>
    </r>
    <r>
      <rPr>
        <sz val="9"/>
        <color rgb="FF000000"/>
        <rFont val="Arial"/>
        <family val="0"/>
        <charset val="1"/>
      </rPr>
      <t xml:space="preserve">
Noiztik egiten dituzu erretratuak?
Aspalditan, norbait edo zerbait ikusten dutenean, mentalki marrazten hasi naiz.
Beti esaten omen duzu marrazkiak egiten dituzula. Zergatik marrazkiak?
Marrazkiak hobea naizelako, hitzekin baino. Irudien bidez esaten ditut nire istorioak, eta horrek nire adierazteko eta bizitzeko modua da.
Zorrotz hedabiderako Gernikaren bihotza egin zenuen. Bihotzetik marrazten duzu beti?
Bai, Gernikaren bihotza nire bihotza da, eta urteurrenetan, kolpeak eman arren, bihotzetik marrazten dut.
Salaketarako eta memoriarako erabiltzen duzu marrazketa?
Bai, gaurkotasunari lotuta, marrazketa erabiltzen dut salaketa eta memoria mantentzeko, eta gertakari batzuk gaur bezalako egunean gogoan izateko.
Eta zeure buruaren erretratua egina duzu?
Bai, bat baino gehiago, betaurrekoekin eta gabe, autorretratuak ez dezala hutsik egin.
LOTSABAKO:
Erakusketako erretratu bat: Oihana Azkorbebeitiarena.
Erreferente bat: Amama Pantxike.
Hurrengo erretratua, nori?
Hurrengo erretratuak ikusiko dugu, eta nire istorioa jarraitu ahal izateko.</t>
    </r>
  </si>
  <si>
    <t xml:space="preserve">Maitane Azurmendi, 1978an Mungian (Bizkaia) jaio den margolaria, Durangaldeko hamabost emakumeren erretratuak egin ditu, zuri-beltzeko marrazkien bidez. Erakusketa, Durangoko Arte eta Historia Museoan, ostiraletik ikusgai dago.
Irudietako emakumeak:
- Gurutzi Arregi
- Begoña Ereñaga
- Gloria Zubia
- Elbira Inurrieta
Proposamena WikiEmakumeok proiektuko kideek egin zion, Euskal Herriko historiako emakume aitzindarien istorioa berreskuratzeko.
Aurpegia jartzeak garrantzia du, jendeari aurpegia jartzea gustatzen zaigu, eta gure herriko istorioetan arreta jartzen dugu horrela.
Etxe ondokoak, urrutikoak bezala, txalotu behar dira, haluzinatu egin dut haien istorioekin, ikertu egiten nuen lehenik.
Zuri-beltzean dagoen salbuespenak Inurrieta emaginak begi urdin oso potenteak zituen, eta ukitu urdin bat eman diot marrazki horri.
Erretratuak egiten dituzu norbait edo zerbait ikusten dudan aldiro, hura mentalki marrazten.
Marrazkiak egiten dizkizuzu, hitzekin baino hobea naizelako, hitzen bidez esatea lortzen ez dudan gauza asko esaten ditut irudien bidez.
Gernikaren bihotza bonbardaketaren urteurren batean jaio zen, urtero egun horretan zerbait berezia egin nahi izaten dudalako.
Marrazketa salaketarako eta memoriarako erabiltzen duzu, gaurkotasunari lotuta.
Buruaren erretratua egina duzu, bat baino gehiago: betaurrekoekin, gabe... Autorretratuak ez dezala hutsik egin.
Erakusketako erretratu bat: Oihana Azkorbebeitiarena.
Erreferente bat: Amama Pantxike.
Hurrengo erretratua: Ikusiko dugu.
TL;DR: Maitane Azurmendi, Durangaldeko hamabost emakumeren erretratuak egin ditu, zuri-beltzeko marrazkien bidez. Erakusketa, Durangoko Arte eta Historia Museoan, ostiraletik ikusgai dago. Proposamena WikiEmakumeok proiektuko kideek egin zion, Euskal Herriko historiako emakume aitzindarien istorioa berreskuratzeko. Aurpegia jartzeak garrantzia du, jendeari aurpegia jartzea gustatzen zaigu, eta gure herriko istorioetan arreta jartzen dugu horrela.</t>
  </si>
  <si>
    <r>
      <rPr>
        <sz val="9"/>
        <color rgb="FF000000"/>
        <rFont val="Arial"/>
        <family val="0"/>
        <charset val="1"/>
      </rPr>
      <t xml:space="preserve">Hemen duzu hurrengo testua:
Epaileak, etxeko atxiloaldia ezarri du, semea hil zuen tiroz, </t>
    </r>
    <r>
      <rPr>
        <strike val="true"/>
        <sz val="9"/>
        <color rgb="FF000000"/>
        <rFont val="Arial"/>
        <family val="0"/>
        <charset val="1"/>
      </rPr>
      <t xml:space="preserve">bere aitaren aurpegian</t>
    </r>
    <r>
      <rPr>
        <sz val="9"/>
        <color rgb="FF000000"/>
        <rFont val="Arial"/>
        <family val="0"/>
        <charset val="1"/>
      </rPr>
      <t xml:space="preserve">. Epaileak, auzi medikuak egindako azterketetan oinarrituta, uste badu aita zaintza behar duela, urologia, nefrologia, onkologia eta kardiologia zerbitzuetan. Horregatik, etxeko atxiloaldia ezarri dio, eta ez du espetxean sartzeko moduan ezarri.
Fiskalak, aitaren ekintza ikertu ondoren, espetxe arindua eskatu du, uste baitu arriskua dagoela ihes egiteko eta frogak suntsitzeko. Defentsak, berriz, ez dagoela arriskurik </t>
    </r>
    <r>
      <rPr>
        <strike val="true"/>
        <sz val="9"/>
        <color rgb="FF000000"/>
        <rFont val="Arial"/>
        <family val="0"/>
        <charset val="1"/>
      </rPr>
      <t xml:space="preserve">argi</t>
    </r>
    <r>
      <rPr>
        <sz val="9"/>
        <color rgb="FF000000"/>
        <rFont val="Arial"/>
        <family val="0"/>
        <charset val="1"/>
      </rPr>
      <t xml:space="preserve"> azaldu dute. Epaileak, aitaren hilketa eta ekintza «bereziki bortitza» izan zelako, etxeko atxiloaldia ezarri </t>
    </r>
    <r>
      <rPr>
        <strike val="true"/>
        <sz val="9"/>
        <color rgb="FF000000"/>
        <rFont val="Arial"/>
        <family val="0"/>
        <charset val="1"/>
      </rPr>
      <t xml:space="preserve">eta 15.000 bermea eskatu du.
</t>
    </r>
    <r>
      <rPr>
        <sz val="9"/>
        <color rgb="FF000000"/>
        <rFont val="Arial"/>
        <family val="0"/>
        <charset val="1"/>
      </rPr>
      <t xml:space="preserve">
Epaileak, </t>
    </r>
    <r>
      <rPr>
        <strike val="true"/>
        <sz val="9"/>
        <color rgb="FF000000"/>
        <rFont val="Arial"/>
        <family val="0"/>
        <charset val="1"/>
      </rPr>
      <t xml:space="preserve">hilketagatik jaso dezakeen zigorrak eta laguntzak ikertu behar ditu, baita aitaren ikertuaren adina eta osasun egoera ere. Epaileak, aitaren ekintza eta hilketa ikertzen hasi da, eta semearen aurpegiko tiroak aztertzen ari da.
</t>
    </r>
    <r>
      <rPr>
        <sz val="9"/>
        <color rgb="FF000000"/>
        <rFont val="Arial"/>
        <family val="0"/>
        <charset val="1"/>
      </rPr>
      <t xml:space="preserve">
Semea, aitaren etxera joan zen, </t>
    </r>
    <r>
      <rPr>
        <strike val="true"/>
        <sz val="9"/>
        <color rgb="FF000000"/>
        <rFont val="Arial"/>
        <family val="0"/>
        <charset val="1"/>
      </rPr>
      <t xml:space="preserve">baina aita, 200 euro emateko agindu egin zion. </t>
    </r>
    <r>
      <rPr>
        <sz val="9"/>
        <color rgb="FF000000"/>
        <rFont val="Arial"/>
        <family val="0"/>
        <charset val="1"/>
      </rPr>
      <t xml:space="preserve">Semeak dirua eskatzen saiatu zen, baina aita, eskopeta hartu eta semearengana jaitsi zion. Semea, sofa ohean lo zegoen, esnatu zenean, aitak hiru tiro egin zizkion, bi bihotzaren parean eta hirugarrena aurpegian.
</t>
    </r>
    <r>
      <rPr>
        <strike val="true"/>
        <sz val="9"/>
        <color rgb="FF000000"/>
        <rFont val="Arial"/>
        <family val="0"/>
        <charset val="1"/>
      </rPr>
      <t xml:space="preserve">Epaileak, ekintza guztiak ikertzen ari da, eta aitaren zaintza eta atxiloaldia ezarri behar baditu, horri buruz egin behar du galdera. Horregatik, epaileak, aitaren osasun egoera eta zaintza beharrak aztertzen ari da, eta epaitegiaren laguntza eskatzen da.</t>
    </r>
  </si>
  <si>
    <r>
      <rPr>
        <sz val="9"/>
        <color rgb="FF000000"/>
        <rFont val="Arial"/>
        <family val="0"/>
        <charset val="1"/>
      </rPr>
      <t xml:space="preserve">Ondo pentsatuta, hurrengo testuaren edukirik garrantzitsuena eta laburtu testua erabiliz, laburpena honetarako egin dezakegun aukera da:
**Garrantzitsuena:**
"</t>
    </r>
    <r>
      <rPr>
        <strike val="true"/>
        <sz val="9"/>
        <color rgb="FF000000"/>
        <rFont val="Arial"/>
        <family val="0"/>
        <charset val="1"/>
      </rPr>
      <t xml:space="preserve">Aitaren semea,</t>
    </r>
    <r>
      <rPr>
        <sz val="9"/>
        <color rgb="FF000000"/>
        <rFont val="Arial"/>
        <family val="0"/>
        <charset val="1"/>
      </rPr>
      <t xml:space="preserve"> 55 urteko gizon hiltzen du tiroz bere etxean. Epaileak etxeko atxiloaldia ezarri dio, azterketak urologia, nefrologia, onkologia eta kardiologia zerbitzuak behar dituela adierazi zion. Fiskalak espetxe arindua eskatu du zaintzapean, baina defentsak ez duela arriskurik ihes egiteko. Epaileak, hilketagatik jaso dezakeen zigorrak eta laguntzak ihes egiteko tentazioa eragin diezaioketela zehaztu du. Ostiral goizaldean, semea aitaren etxera joan zen eta 200 euro eskatu zion. Aitak, uko egin ostean, eskopeta hartu eta hiru tiro egin zion semeari, bihotza eta aurpegi harrigarriak."
**Laburtu testua:**
"Agoizko Lehen Instantziako Epaitegiko epaileak, Labion (Nafarroa) semea hil zuen 83 urteko gizonari etxeko atxiloaldia ezarri zuen. Epaileak, auzi medikuak aztertuta, urologia, nefrologia, onkologia eta kardiologia zerbitzuak behar dituela uste zuen. Fiskalak, zaintzapean, espetxe arindua eskatu zuen, baina defentsak ez duela arriskurik. Epaileak, hilketa delitua egotzi zuen eta ihes egiteko tentazioa eragin diezaioketela uste zuen.
Ostiral goizaldean, semea aitaren etxera joan zen eta 200 euro eskatu zion. Aitak, uko egin ostean, eskopeta hartu eta hiru tiro egin zion semeari. Bi tiro bihotza eta hirugarrena aurpegian eraman zituen. Epaileak, hilketagatik jaso dezakeen zigorrak eta laguntzak ihes egiteko arriskua uste zuen, eta horregatik etxeko atxiloaldia ezarri zuen."
Laburpena honetan, garrantzitsuena eta laburtu testua erabiliz, hilketa delitua, etxeko atxiloaldia, espetxe arindua eta tiro-hilketa ekitaldia azpimarratzen dira.</t>
    </r>
  </si>
  <si>
    <r>
      <rPr>
        <sz val="9"/>
        <color rgb="FF000000"/>
        <rFont val="Arial"/>
        <family val="0"/>
        <charset val="1"/>
      </rPr>
      <t xml:space="preserve">Zer?
Etxeko atxiloaldia ezarri da </t>
    </r>
    <r>
      <rPr>
        <strike val="true"/>
        <sz val="9"/>
        <color rgb="FF000000"/>
        <rFont val="Arial"/>
        <family val="0"/>
        <charset val="1"/>
      </rPr>
      <t xml:space="preserve">igandean</t>
    </r>
    <r>
      <rPr>
        <sz val="9"/>
        <color rgb="FF000000"/>
        <rFont val="Arial"/>
        <family val="0"/>
        <charset val="1"/>
      </rPr>
      <t xml:space="preserve">, Labion, </t>
    </r>
    <r>
      <rPr>
        <strike val="true"/>
        <sz val="9"/>
        <color rgb="FF000000"/>
        <rFont val="Arial"/>
        <family val="0"/>
        <charset val="1"/>
      </rPr>
      <t xml:space="preserve">83 urteko gizon baten hilketa ondorioz</t>
    </r>
    <r>
      <rPr>
        <sz val="9"/>
        <color rgb="FF000000"/>
        <rFont val="Arial"/>
        <family val="0"/>
        <charset val="1"/>
      </rPr>
      <t xml:space="preserve">.
Nork?
Agoizko Lehen Instantziako Epaitegiko epaileak, fiskalak eta semea, </t>
    </r>
    <r>
      <rPr>
        <strike val="true"/>
        <sz val="9"/>
        <color rgb="FF000000"/>
        <rFont val="Arial"/>
        <family val="0"/>
        <charset val="1"/>
      </rPr>
      <t xml:space="preserve">55 urteko gizon hiltzaileak</t>
    </r>
    <r>
      <rPr>
        <sz val="9"/>
        <color rgb="FF000000"/>
        <rFont val="Arial"/>
        <family val="0"/>
        <charset val="1"/>
      </rPr>
      <t xml:space="preserve">, parte hartu dute.
Noiz?
</t>
    </r>
    <r>
      <rPr>
        <strike val="true"/>
        <sz val="9"/>
        <color rgb="FF000000"/>
        <rFont val="Arial"/>
        <family val="0"/>
        <charset val="1"/>
      </rPr>
      <t xml:space="preserve">Igandean</t>
    </r>
    <r>
      <rPr>
        <sz val="9"/>
        <color rgb="FF000000"/>
        <rFont val="Arial"/>
        <family val="0"/>
        <charset val="1"/>
      </rPr>
      <t xml:space="preserve">, epaileak etxeko atxiloaldia ezarri eta ostiral goizaldean semea aitaren etxera joan zen.
Non?
Labion, Nafarroako herrian, aitaren etxean.
Zergatik?
Aitaren osasun egoera </t>
    </r>
    <r>
      <rPr>
        <strike val="true"/>
        <sz val="9"/>
        <color rgb="FF000000"/>
        <rFont val="Arial"/>
        <family val="0"/>
        <charset val="1"/>
      </rPr>
      <t xml:space="preserve">alarma baten aurrean zeuden </t>
    </r>
    <r>
      <rPr>
        <sz val="9"/>
        <color rgb="FF000000"/>
        <rFont val="Arial"/>
        <family val="0"/>
        <charset val="1"/>
      </rPr>
      <t xml:space="preserve">eta epaileak hilketa delitua egotzi dio. Fiskalak espetxe arindua eskatu du zaintzapean, baina defentsak ez duela arriskurik uste baitu. Epaileak etxeko atxiloaldia ezarri du, hilketa delitua eta aitaren ekintza bortitza ikusten duena.
Nola?
Epaileak auzi medikuak aztertuta, urologia, nefrologia, onkologia eta kardiologia zerbitzuen zaintza behar izan duela uste du. </t>
    </r>
    <r>
      <rPr>
        <strike val="true"/>
        <sz val="9"/>
        <color rgb="FF000000"/>
        <rFont val="Arial"/>
        <family val="0"/>
        <charset val="1"/>
      </rPr>
      <t xml:space="preserve">Fiskalak 15.000 bermea eskatu du etxeko atxiloaldia saihesteko, baina epaileak ez du ulertzen.</t>
    </r>
    <r>
      <rPr>
        <sz val="9"/>
        <color rgb="FF000000"/>
        <rFont val="Arial"/>
        <family val="0"/>
        <charset val="1"/>
      </rPr>
      <t xml:space="preserve"> Semea aitaren etxera joan zen eta dirua eskatzen hasi zen. Aita, hiltzaile, eskopeta hartu eta semeari hiru tiro egin zion, bihotza eta </t>
    </r>
    <r>
      <rPr>
        <strike val="true"/>
        <sz val="9"/>
        <color rgb="FF000000"/>
        <rFont val="Arial"/>
        <family val="0"/>
        <charset val="1"/>
      </rPr>
      <t xml:space="preserve">aurpegiarekin</t>
    </r>
    <r>
      <rPr>
        <sz val="9"/>
        <color rgb="FF000000"/>
        <rFont val="Arial"/>
        <family val="0"/>
        <charset val="1"/>
      </rPr>
      <t xml:space="preserve">.</t>
    </r>
  </si>
  <si>
    <r>
      <rPr>
        <sz val="9"/>
        <color rgb="FF000000"/>
        <rFont val="Arial"/>
        <family val="0"/>
        <charset val="1"/>
      </rPr>
      <t xml:space="preserve"># Resumen:
</t>
    </r>
    <r>
      <rPr>
        <strike val="true"/>
        <sz val="9"/>
        <color rgb="FF000000"/>
        <rFont val="Arial"/>
        <family val="0"/>
        <charset val="1"/>
      </rPr>
      <t xml:space="preserve">
Un hombre de 83 años fue asesinado a tiros en su casa en Labiano (Navarra) por su hijo de 55 años. El hijo fue detenido y pasó la noche en prisión preventiva antes de comparecer ante el juez. El juez impuso una orden de alejamiento y determinó que el hijo no podía comunicarse ni tener contacto con su padre.
</t>
    </r>
    <r>
      <rPr>
        <sz val="9"/>
        <color rgb="FF000000"/>
        <rFont val="Arial"/>
        <family val="0"/>
        <charset val="1"/>
      </rPr>
      <t xml:space="preserve">
</t>
    </r>
    <r>
      <rPr>
        <strike val="true"/>
        <sz val="9"/>
        <color rgb="FF000000"/>
        <rFont val="Arial"/>
        <family val="0"/>
        <charset val="1"/>
      </rPr>
      <t xml:space="preserve">El juez dictaminó que el hijo debía ser ingresado en un centro de salud mental,</t>
    </r>
    <r>
      <rPr>
        <sz val="9"/>
        <color rgb="FF000000"/>
        <rFont val="Arial"/>
        <family val="0"/>
        <charset val="1"/>
      </rPr>
      <t xml:space="preserve"> ya que las pruebas médicas realizadas indicaban que necesitaba atención en los servicios de urología, nefrología, oncología y cardiología. El juez consideró que no era apropiado enviarlo a prisión,</t>
    </r>
    <r>
      <rPr>
        <strike val="true"/>
        <sz val="9"/>
        <color rgb="FF000000"/>
        <rFont val="Arial"/>
        <family val="0"/>
        <charset val="1"/>
      </rPr>
      <t xml:space="preserve"> al menos por el momento.
</t>
    </r>
    <r>
      <rPr>
        <sz val="9"/>
        <color rgb="FF000000"/>
        <rFont val="Arial"/>
        <family val="0"/>
        <charset val="1"/>
      </rPr>
      <t xml:space="preserve">
La fiscalía solicitó una medida cautelar de prisión provisional, alegando que existía un riesgo de manipulación de pruebas </t>
    </r>
    <r>
      <rPr>
        <strike val="true"/>
        <sz val="9"/>
        <color rgb="FF000000"/>
        <rFont val="Arial"/>
        <family val="0"/>
        <charset val="1"/>
      </rPr>
      <t xml:space="preserve">o de influir en los testigos.</t>
    </r>
    <r>
      <rPr>
        <sz val="9"/>
        <color rgb="FF000000"/>
        <rFont val="Arial"/>
        <family val="0"/>
        <charset val="1"/>
      </rPr>
      <t xml:space="preserve"> La defensa, por su parte, argumentó que no había riesgo de manipulación ni de influir en el proceso. Se solicitó una fianza de 15.000 euros </t>
    </r>
    <r>
      <rPr>
        <strike val="true"/>
        <sz val="9"/>
        <color rgb="FF000000"/>
        <rFont val="Arial"/>
        <family val="0"/>
        <charset val="1"/>
      </rPr>
      <t xml:space="preserve">para garantizar la asistencia al juicio y para asegurar que el padre no tomaría ninguna medida en contra de su hijo.
</t>
    </r>
    <r>
      <rPr>
        <sz val="9"/>
        <color rgb="FF000000"/>
        <rFont val="Arial"/>
        <family val="0"/>
        <charset val="1"/>
      </rPr>
      <t xml:space="preserve">
</t>
    </r>
    <r>
      <rPr>
        <strike val="true"/>
        <sz val="9"/>
        <color rgb="FF000000"/>
        <rFont val="Arial"/>
        <family val="0"/>
        <charset val="1"/>
      </rPr>
      <t xml:space="preserve">El juez impuso una orden de alejamiento y una fianza de 15.000 euros, considerando que había un riesgo de influencia en el proceso y que la acción del hijo había sido "especialmente grave". Los posibles cargos por el asesinato y la ayuda que podría recibir de terceros podrían ser un incentivo para manipular pruebas o influir en el proceso, especialmente teniendo en cuenta la edad y el estado de salud del padre.
</t>
    </r>
    <r>
      <rPr>
        <sz val="9"/>
        <color rgb="FF000000"/>
        <rFont val="Arial"/>
        <family val="0"/>
        <charset val="1"/>
      </rPr>
      <t xml:space="preserve">
El hijo visitó a su padre en la mañana del viernes</t>
    </r>
    <r>
      <rPr>
        <strike val="true"/>
        <sz val="9"/>
        <color rgb="FF000000"/>
        <rFont val="Arial"/>
        <family val="0"/>
        <charset val="1"/>
      </rPr>
      <t xml:space="preserve">, dos horas después de su liberación.</t>
    </r>
    <r>
      <rPr>
        <sz val="9"/>
        <color rgb="FF000000"/>
        <rFont val="Arial"/>
        <family val="0"/>
        <charset val="1"/>
      </rPr>
      <t xml:space="preserve"> Le pidió 200 euros o amenazó con matarlo. </t>
    </r>
    <r>
      <rPr>
        <strike val="true"/>
        <sz val="9"/>
        <color rgb="FF000000"/>
        <rFont val="Arial"/>
        <family val="0"/>
        <charset val="1"/>
      </rPr>
      <t xml:space="preserve">El padre colocó un sobre en el suelo. </t>
    </r>
    <r>
      <rPr>
        <sz val="9"/>
        <color rgb="FF000000"/>
        <rFont val="Arial"/>
        <family val="0"/>
        <charset val="1"/>
      </rPr>
      <t xml:space="preserve">Cuando el padre regresó con su perro, el hijo estaba en la casa. Volvió a pedir 200 euros y el padre se negó.
El padre se fue a su habitación, tomó una escopeta, cargó tres cartuchos y se dirigió hacia su hijo. El hijo estaba medio dormido en el sofá, pero se despertó y trató de tomar </t>
    </r>
    <r>
      <rPr>
        <strike val="true"/>
        <sz val="9"/>
        <color rgb="FF000000"/>
        <rFont val="Arial"/>
        <family val="0"/>
        <charset val="1"/>
      </rPr>
      <t xml:space="preserve">el sobre.</t>
    </r>
    <r>
      <rPr>
        <sz val="9"/>
        <color rgb="FF000000"/>
        <rFont val="Arial"/>
        <family val="0"/>
        <charset val="1"/>
      </rPr>
      <t xml:space="preserve"> El padre disparó tres tiros, dos en el pecho y el tercero </t>
    </r>
    <r>
      <rPr>
        <strike val="true"/>
        <sz val="9"/>
        <color rgb="FF000000"/>
        <rFont val="Arial"/>
        <family val="0"/>
        <charset val="1"/>
      </rPr>
      <t xml:space="preserve">en el abdomen.</t>
    </r>
  </si>
  <si>
    <r>
      <rPr>
        <sz val="9"/>
        <color rgb="FF000000"/>
        <rFont val="Arial"/>
        <family val="0"/>
        <charset val="1"/>
      </rPr>
      <t xml:space="preserve">Hurrengo testua laburtu da:
"Siemens Gamesa-ren etorkizuna zauritzat jarraitzen du, eta enpresak azaroaren 21ean aurkeztuko duen plan estrategikoa </t>
    </r>
    <r>
      <rPr>
        <strike val="true"/>
        <sz val="9"/>
        <color rgb="FF000000"/>
        <rFont val="Arial"/>
        <family val="0"/>
        <charset val="1"/>
      </rPr>
      <t xml:space="preserve">eraginkor ikusgai da</t>
    </r>
    <r>
      <rPr>
        <sz val="9"/>
        <color rgb="FF000000"/>
        <rFont val="Arial"/>
        <family val="0"/>
        <charset val="1"/>
      </rPr>
      <t xml:space="preserve">. ELA-k aldarrikatzen du sektorea babesteko neurriak hartzea, eta </t>
    </r>
    <r>
      <rPr>
        <strike val="true"/>
        <sz val="9"/>
        <color rgb="FF000000"/>
        <rFont val="Arial"/>
        <family val="0"/>
        <charset val="1"/>
      </rPr>
      <t xml:space="preserve">Siemens Gamesa-ren langileen lasaitasunari buruzko hitzak eragin du.
</t>
    </r>
    <r>
      <rPr>
        <sz val="9"/>
        <color rgb="FF000000"/>
        <rFont val="Arial"/>
        <family val="0"/>
        <charset val="1"/>
      </rPr>
      <t xml:space="preserve">
Reuters-ek zabaldu du Siemens-ek fabrika eta bulegoak saltzea, eta luzarora arnasa ematea energia eolikoko atalaren. Horrelako eragina izan lukeen, Siemens Gamesa-k azpikontratazioa erabiliz fabrikazio osagaiak azpikontratatu ahal izango luke.
ELA-k Txinako lehiakideei emandako laguntza salatu du, eta Europako ekoizleei merkatuan abantaila handia ematen die. Sektoreak babesteko eskatu dute, eta parkeak adjudikatzerakoan tokiko produkzioa lehenetsiz.
ELA-k hitz hutsalak jaso dituztela Nafarroako Gobernuaren eta Eusko Jaurlaritzaren aldetik, eta etorkizunera begiratzen ez dutenak aldarrikatzen ditu. Horregatik, datozen asteetan bilerak eskatuko dira bi gobernuei eta eragile politikoei, sektorea babesteko neurriak hartzeko.
Siemens Gamesa-k Hego Euskal Herrian 2.900 langile izaten ditu, eta sektore estrategiko hori babesteko Eusko Jaurlaritzari eta Nafarroako Gobernuari eskaera egin die. Sektore eolikoak trantsizio energetikoan gertatzen ari den egoerari eraginkor ikusgai da, eta ELA-k babes neurriak hartzeko behar badu, deslokalizazioaren aurkako baldintzak jaso behar dira."</t>
    </r>
  </si>
  <si>
    <t xml:space="preserve">Ondo den eduki garrantzitsuena:
"Ez da funtsik gabeko beldurra. Asteon, Reuters agentziak zabaldu du Siemens taldea aztertzen ari dela Siemens Gamesako fabrika eta bulegoak saltzea. Informazio horrek adierazten duenez, luzarora arnasa emango lioke energia eolikoko atalari, fabrikazioaren funtsezko osagaiak azpikontratuko lituzkeelako, hala nola haize erroten hegalak. Aurrezteko asmo horrek erakutsiko luke Asiako lehiakideen esku utziko lukeela atal hori."
Laburtu testua:
"Ez dugu arau berekin jokatzen. Euskal Herrira iritsi ez badira ere, Espainian hainbat proiektu sustatzen ari direla aurreratu dute. Horregatik, sektorea babesteko eskatu dute, parkeak adjudikatzerakoan tokiko produkzioa lehenetsiz. Ontzat jo dituzte Ursula Von der Leyen Europako Batzordeko presidenteak sektorearen alde zerbait egiteko beharrari buruz egindako adierazpenak. Urriaren 24an jakinaraziko du Europako Batzordeak zer egingo duen, baina ELAk gogorarazi du babes neurriek deslokalizazioaren aurkako baldintzak jaso beharko lituzketela."
Honek, sektore eolikoaren eraginkortasun ekonomiko eta soziala babesteko behar batzuk adierazten ditu, eta Europako Batzordeari babes neurriak hartu eta deslokalizazioa preben dezaten eskatzen dio.</t>
  </si>
  <si>
    <t xml:space="preserve">Zer: Siemens Gamesak azaroaren 21ean aurkeztuko duen urteko emaitzak eta etorkizuneko plan estrategikoa.
Nork: Siemens Gamesako ordezkari Carlos Matute eta Josean Hernandez, eta ELA Industriako ordezkari Puy Remirez.
Noiz: Azaroaren 21ean, eta gaur goizean ere, informazioa zabaldu da.
Non: Enpresa eoliko horretako ELAren ordezkariek egutegian markatu dute data hori.
Zergatik: Siemens Gamesa eta sektore eoliko osoko enpresak errentagarritasun arazo larriak dituzte, kostuen igoeraren eta lehiakide desleialen ondorioz.
Nola: Siemens taldeak aztertzen ari dela fabrikak eta bulegoak saltzea, eta luzarora arnasa ematea energia eolikoko atalari.
Hala ere, Siemens Gamesak Hego Euskal Herrian 2.900 langile batzuk du, eta Nafarroako Gobernuari eta Eusko Jaurlaritzari babes eskatu dio sektore estrategiko hori. ELAk babes neurriak eskatzen ditu, deslokalizazioa preben dezaten.</t>
  </si>
  <si>
    <r>
      <rPr>
        <sz val="9"/>
        <color rgb="FF000000"/>
        <rFont val="Arial"/>
        <family val="0"/>
        <charset val="1"/>
      </rPr>
      <t xml:space="preserve">Siemens Gamesa, enpresa eoliko handia, azaroaren 21ean emaitzak eta etorkizuneko plan estrategikoa aurkeztuko du. Enpresa honek larriak izan dituzte azken bi urteetan, kostuen igoeraren eta lehia desleialaren ondorioz. </t>
    </r>
    <r>
      <rPr>
        <strike val="true"/>
        <sz val="9"/>
        <color rgb="FF000000"/>
        <rFont val="Arial"/>
        <family val="0"/>
        <charset val="1"/>
      </rPr>
      <t xml:space="preserve">ELA sindikatuak adierazi du Siemens Gamesako buruzagiek lasaitasun eraginkorra ematen dietelako, baina enpresek ez dute adierazpen horiek onartzen.
</t>
    </r>
    <r>
      <rPr>
        <sz val="9"/>
        <color rgb="FF000000"/>
        <rFont val="Arial"/>
        <family val="0"/>
        <charset val="1"/>
      </rPr>
      <t xml:space="preserve">
Reuters agentziak zabaldu du </t>
    </r>
    <r>
      <rPr>
        <strike val="true"/>
        <sz val="9"/>
        <color rgb="FF000000"/>
        <rFont val="Arial"/>
        <family val="0"/>
        <charset val="1"/>
      </rPr>
      <t xml:space="preserve">Siemens taldeak Siemens Gamesako fabrikak eta bulegoak saltzen ari dela</t>
    </r>
    <r>
      <rPr>
        <sz val="9"/>
        <color rgb="FF000000"/>
        <rFont val="Arial"/>
        <family val="0"/>
        <charset val="1"/>
      </rPr>
      <t xml:space="preserve">, luzarora arnasa emateko asmoa izan dezakeen. Carlos Matutek azaldu du enpresek negozio marjinarik ez duten eta langileak kaleratzen dituztena, produkzioa merkeagoeko herrialdeetara kanporatzen eta hornitzaileak mehatxatzen.
Matutek kontrako egoera deskribatzen du, kontratuak izan daitezkeen aldaketen ondorioz milioi askoko kalteak eragiten dituzten. Aldi berean, Asiako enpresak, bereziki Txinakoak, finantza gihar handiagoa duten eta lehia teknologikoa duten bitartez merkeagoagoa egiten dute errotak. ELAk Txinako Gobernutik jasotzen duten laguntza salatu eta merkatuan abantaila handia hartzen dutela.
ELAk eskatu du sektorea babesteko, tokiko produkzioa lehenetsiz parkeak adjudikatzen badira. Ursula Von der Leyenren adierazpenak </t>
    </r>
    <r>
      <rPr>
        <strike val="true"/>
        <sz val="9"/>
        <color rgb="FF000000"/>
        <rFont val="Arial"/>
        <family val="0"/>
        <charset val="1"/>
      </rPr>
      <t xml:space="preserve">espero dute</t>
    </r>
    <r>
      <rPr>
        <sz val="9"/>
        <color rgb="FF000000"/>
        <rFont val="Arial"/>
        <family val="0"/>
        <charset val="1"/>
      </rPr>
      <t xml:space="preserve">, baina ELAk babes neurriek deslokalizazioaren aurkako baldintzak jaso behar dituztela esan.
Siemens Gamesak Hego Euskal Herrian 2.900 langile batzuk daude, eta Nafarroako Gobernuari eta Eusko Jaurlaritzari eskatu diote sektore estrategikoa babesteko. ELAk kritikatu du gobernuek eta jaurlaritzak hitz hutsalak jaso dituztelako, eta eskatzen dute aurrez jokatzea eta sektorea babestea.
TL;DR: Siemens Gamesa larriak izan dituzte eta luzarora arnasa emateko asmoa izan daitezkeena adierazi da. ELAk babes eskatu du sektore eolikoari eta langileekin solidaritateratzea eskatzen diote enpresari.</t>
    </r>
  </si>
  <si>
    <r>
      <rPr>
        <sz val="9"/>
        <color rgb="FF000000"/>
        <rFont val="Arial"/>
        <family val="0"/>
        <charset val="1"/>
      </rPr>
      <t xml:space="preserve">"Idoia Torregarai, 1974an Usurbil (Gipuzkoa) jaio zen, eta gaur egun UEUko komunikazio </t>
    </r>
    <r>
      <rPr>
        <strike val="true"/>
        <sz val="9"/>
        <color rgb="FF000000"/>
        <rFont val="Arial"/>
        <family val="0"/>
        <charset val="1"/>
      </rPr>
      <t xml:space="preserve">sailburua</t>
    </r>
    <r>
      <rPr>
        <sz val="9"/>
        <color rgb="FF000000"/>
        <rFont val="Arial"/>
        <family val="0"/>
        <charset val="1"/>
      </rPr>
      <t xml:space="preserve"> da. Baina, bere pasioa idaztea eta umorea erakutsiz, bide bat aurkitzen du. Twitterren, bere txioak zabaldu eta eraginkorra izan dira, batzuk perla asko txiokatuz.
Torregarai, idazle gisa, eguneroko errealitateari begira egiten du, eta umorea eta lirismoa erakusten dizkio bere hitzetan. Xabier Mendiguren editoreak, bere txioetan gaitasuna dutela dio eguneroko errealitatea erretratatzeko, baina ifrentzua erakutsiz.
«Mikroipuinak» liburua, Zaldieroaren ilustrazioz lagunduta, Elkar argitaletxeak plazaratu du. Liburua txioak biltzen ditu, batzuk Twitterren argitaratutakoak</t>
    </r>
    <r>
      <rPr>
        <strike val="true"/>
        <sz val="9"/>
        <color rgb="FF000000"/>
        <rFont val="Arial"/>
        <family val="0"/>
        <charset val="1"/>
      </rPr>
      <t xml:space="preserve">, eta beste batzuk beren espazio blogean argitaratutakoak.</t>
    </r>
    <r>
      <rPr>
        <sz val="9"/>
        <color rgb="FF000000"/>
        <rFont val="Arial"/>
        <family val="0"/>
        <charset val="1"/>
      </rPr>
      <t xml:space="preserve"> Patxi Uharte Zaldieroa, BERRIAko komiki zintagileak, Torregarairen txioei arreta jarri izan du, eta bere marrazkien baliagarria erakusten du.
Ipuinak labur eta eraginkorra dira, eta gaitasun handia dute eguneroko gai eta obsesioei buruz. Torregarai, kroketak eta maitasunaren obsesioak ditu, eta horiek liburuko istorioetan agertzen dira.
Berrantolatzeko, idazleek aukeraketa bat egin behar izan dute, eta bide bat aukeratuta, «Mikroipuinak» liburua sortu dute. Liburua txikia da, baina mikroipuinak biltzen ditu, eta Zaldieroaren marrazkien baliagarria dute.
Torregarai, Twitterren moztasuna eta animua idazteko bide bat aurkitzen du, eta hori erakusten du bere idazlanetan. Alter ego bat sortu du, Josune izenarekin, eta horren bidez idazten hasi da.
«Idaztetik bizi nahi nuelako, kazetaritza ikasi nuen», esan du Torregarai, eta geroztik asko idatzi du, baita kazetaritza-lan batzuk ere. Baina, Twitterren moztasun horrek, bere idazlanen bide bat zabaldu dizkiote.
«Mikroipuinak» liburua, umore eta errealitatearen aurkezpena da, eta idazlearen pasioa eta sormena erakusten dizkio."</t>
    </r>
  </si>
  <si>
    <r>
      <rPr>
        <sz val="9"/>
        <color rgb="FF000000"/>
        <rFont val="Arial"/>
        <family val="0"/>
        <charset val="1"/>
      </rPr>
      <t xml:space="preserve">Ondo pentsatuta, hurrengo testuaren edukirik garrantzitsuena eta laburtu testua erabiliz, egin dezakezu testu hori laburpena:
Idoia Torregarai, UEUko komunikazio arduraduna, idazle eta kazetari gisa </t>
    </r>
    <r>
      <rPr>
        <strike val="true"/>
        <sz val="9"/>
        <color rgb="FF000000"/>
        <rFont val="Arial"/>
        <family val="0"/>
        <charset val="1"/>
      </rPr>
      <t xml:space="preserve">daukate bide solidarioa.</t>
    </r>
    <r>
      <rPr>
        <sz val="9"/>
        <color rgb="FF000000"/>
        <rFont val="Arial"/>
        <family val="0"/>
        <charset val="1"/>
      </rPr>
      <t xml:space="preserve"> Twitterren umore eta balio erantsia zabaldu du, eta perlatxoa txiokatu ditu. Bere txioak, Mikroipuinak, liburuan argitaratu dira, Zaldieroaren ilustrazioz lagunduta. Liburua txikia da, baina 150 istorio batzuk </t>
    </r>
    <r>
      <rPr>
        <strike val="true"/>
        <sz val="9"/>
        <color rgb="FF000000"/>
        <rFont val="Arial"/>
        <family val="0"/>
        <charset val="1"/>
      </rPr>
      <t xml:space="preserve">ukatzen</t>
    </r>
    <r>
      <rPr>
        <sz val="9"/>
        <color rgb="FF000000"/>
        <rFont val="Arial"/>
        <family val="0"/>
        <charset val="1"/>
      </rPr>
      <t xml:space="preserve"> ditu, kroketak, maitasun poltsa eta obsesioak agertzen dute. Idazlea, sare sozialetan sortutako </t>
    </r>
    <r>
      <rPr>
        <strike val="true"/>
        <sz val="9"/>
        <color rgb="FF000000"/>
        <rFont val="Arial"/>
        <family val="0"/>
        <charset val="1"/>
      </rPr>
      <t xml:space="preserve">animorik</t>
    </r>
    <r>
      <rPr>
        <sz val="9"/>
        <color rgb="FF000000"/>
        <rFont val="Arial"/>
        <family val="0"/>
        <charset val="1"/>
      </rPr>
      <t xml:space="preserve"> ez duen moztasunarekin, bide zabala zabaldu du idazteko.</t>
    </r>
  </si>
  <si>
    <r>
      <rPr>
        <sz val="9"/>
        <color rgb="FF000000"/>
        <rFont val="Arial"/>
        <family val="0"/>
        <charset val="1"/>
      </rPr>
      <t xml:space="preserve">Zer?
- Mikroipuinak liburua, Idioa Torregarairen idatzitako txioak biltzen dituena.
Nork?
- Idioa Torregarai, UEUko komunikazio arduraduna, eta Patxi Uharte Zaldieroa, BERRIAko komiki zintagilea.
Noiz?
</t>
    </r>
    <r>
      <rPr>
        <strike val="true"/>
        <sz val="9"/>
        <color rgb="FF000000"/>
        <rFont val="Arial"/>
        <family val="0"/>
        <charset val="1"/>
      </rPr>
      <t xml:space="preserve">- Liburua argitaratzen da 2025an, baina idatzia hamabi urte bete dira lekuan.
</t>
    </r>
    <r>
      <rPr>
        <sz val="9"/>
        <color rgb="FF000000"/>
        <rFont val="Arial"/>
        <family val="0"/>
        <charset val="1"/>
      </rPr>
      <t xml:space="preserve">
Non?
- Elkar argitaletxeak plazaratu du liburua, eta bereziki Twitterren zabaldu da balio erantsia.
Zergatik?
- Torregarairen txioek eguneroko errealitatea eta umorea erretratatzen dute, eta Zaldieroa bere ilustrazioak bideratzen ditu.
Nola?
- Liburua txiki da, eta mikroipuin guztiak ez dira ilustratuta. Idazleak minimalismoa eta zuritasuna gogoratzen ditu, eta irakurleak norberes marrazkiak egitera gonbidatzen ditu.
Hainbat urte idazten duen Torregarai, Twitterren moztasun baten oinarri egin zuen idazteko, eta orain arte, sarean idatzitako txioak biltzen dituen liburua argitaratu du.</t>
    </r>
  </si>
  <si>
    <r>
      <rPr>
        <sz val="9"/>
        <color rgb="FF000000"/>
        <rFont val="Arial"/>
        <family val="0"/>
        <charset val="1"/>
      </rPr>
      <t xml:space="preserve">Idoia Torregarai, a communications professional at UEU, has gained popularity as a writer on social media, especially Twitter, where she has shared her unique and humorous perspective. Despite the 140-character limit, Torregarai's followers have discovered the value of her wit and the pearls of wisdom she shares. Many of her tweets have been compiled into a book called "Mikroipuinak," illustrated by Zaldiero. The book was published by Elkar </t>
    </r>
    <r>
      <rPr>
        <strike val="true"/>
        <sz val="9"/>
        <color rgb="FF000000"/>
        <rFont val="Arial"/>
        <family val="0"/>
        <charset val="1"/>
      </rPr>
      <t xml:space="preserve">and has received positive reviews.
</t>
    </r>
    <r>
      <rPr>
        <sz val="9"/>
        <color rgb="FF000000"/>
        <rFont val="Arial"/>
        <family val="0"/>
        <charset val="1"/>
      </rPr>
      <t xml:space="preserve">
Xabier Mendiguren, the editor, praises Torregarai's ability to capture everyday reality in her tweets but notes that it is not done in a conventional manner. He highlights the humor and lyricism in her concise pieces, which add depth to the ordinary.
</t>
    </r>
    <r>
      <rPr>
        <strike val="true"/>
        <sz val="9"/>
        <color rgb="FF000000"/>
        <rFont val="Arial"/>
        <family val="0"/>
        <charset val="1"/>
      </rPr>
      <t xml:space="preserve">
However, the book may not have received the attention it deserved upon its initial publication. </t>
    </r>
    <r>
      <rPr>
        <sz val="9"/>
        <color rgb="FF000000"/>
        <rFont val="Arial"/>
        <family val="0"/>
        <charset val="1"/>
      </rPr>
      <t xml:space="preserve">Patxi Uharte Zaldieroa, a comic artist for BERRIA (Faltzes, Nafarroa, 1966), </t>
    </r>
    <r>
      <rPr>
        <strike val="true"/>
        <sz val="9"/>
        <color rgb="FF000000"/>
        <rFont val="Arial"/>
        <family val="0"/>
        <charset val="1"/>
      </rPr>
      <t xml:space="preserve">had not shown interest in Torregarai's tweets,</t>
    </r>
    <r>
      <rPr>
        <sz val="9"/>
        <color rgb="FF000000"/>
        <rFont val="Arial"/>
        <family val="0"/>
        <charset val="1"/>
      </rPr>
      <t xml:space="preserve"> and some of them were even adapted into illustrations for his own space, "De Rerum natura." Mendiguren speculates that this could be due to personal reasons </t>
    </r>
    <r>
      <rPr>
        <strike val="true"/>
        <sz val="9"/>
        <color rgb="FF000000"/>
        <rFont val="Arial"/>
        <family val="0"/>
        <charset val="1"/>
      </rPr>
      <t xml:space="preserve">or a lack of connection with the ideas presented.</t>
    </r>
    <r>
      <rPr>
        <sz val="9"/>
        <color rgb="FF000000"/>
        <rFont val="Arial"/>
        <family val="0"/>
        <charset val="1"/>
      </rPr>
      <t xml:space="preserve"> Nonetheless, the book "Mikroipuinak" was born from this experience.
The book contains a collection of 150 short stories, covering a wide range of topics but also reflecting Torregarai's "obsessions," such as croquettes. Love and i</t>
    </r>
    <r>
      <rPr>
        <strike val="true"/>
        <sz val="9"/>
        <color rgb="FF000000"/>
        <rFont val="Arial"/>
        <family val="0"/>
        <charset val="1"/>
      </rPr>
      <t xml:space="preserve">ntense passion </t>
    </r>
    <r>
      <rPr>
        <sz val="9"/>
        <color rgb="FF000000"/>
        <rFont val="Arial"/>
        <family val="0"/>
        <charset val="1"/>
      </rPr>
      <t xml:space="preserve">are also prevalent themes, along with other everyday minutiae. Torregarai explains her preference for capturing "the moment," even if it requires some editing later. The book is relatively short,</t>
    </r>
    <r>
      <rPr>
        <strike val="true"/>
        <sz val="9"/>
        <color rgb="FF000000"/>
        <rFont val="Arial"/>
        <family val="0"/>
        <charset val="1"/>
      </rPr>
      <t xml:space="preserve"> and the decision to include only a few illustrated stories was made by both Torregarai and Zaldieroa</t>
    </r>
    <r>
      <rPr>
        <sz val="9"/>
        <color rgb="FF000000"/>
        <rFont val="Arial"/>
        <family val="0"/>
        <charset val="1"/>
      </rPr>
      <t xml:space="preserve">. </t>
    </r>
    <r>
      <rPr>
        <strike val="true"/>
        <sz val="9"/>
        <color rgb="FF000000"/>
        <rFont val="Arial"/>
        <family val="0"/>
        <charset val="1"/>
      </rPr>
      <t xml:space="preserve">They</t>
    </r>
    <r>
      <rPr>
        <sz val="9"/>
        <color rgb="FF000000"/>
        <rFont val="Arial"/>
        <family val="0"/>
        <charset val="1"/>
      </rPr>
      <t xml:space="preserve"> chose to leave some pages without illustrations, inviting readers to create their own mental images.
The process of selecting stories for the book was challenging, and it took them a long time to decide. Torregarai admits that it was not an easy task, as she had shared a large number of tweets over the past 12 years. They considered various factors, such as avoiding repetitions and providing illustration options.
Torregarai explains that she never intended to write a book, but the exposure she gained on social media opened up this path for her.
As a journalist and writer, Torregarai learned to write by studying journalism. She has written extensively since leaving her studies, including interviews, podcasts, guides, and reports. However, she found her niche on Twitter, a place of great interest to her, especially the Basque community. The 140-character limit of her tweets seemed fitting for her, and she used it as a way to unleash her creativity </t>
    </r>
    <r>
      <rPr>
        <strike val="true"/>
        <sz val="9"/>
        <color rgb="FF000000"/>
        <rFont val="Arial"/>
        <family val="0"/>
        <charset val="1"/>
      </rPr>
      <t xml:space="preserve">and conduct research.
</t>
    </r>
    <r>
      <rPr>
        <sz val="9"/>
        <color rgb="FF000000"/>
        <rFont val="Arial"/>
        <family val="0"/>
        <charset val="1"/>
      </rPr>
      <t xml:space="preserve">
Initially, she created an alter ego named </t>
    </r>
    <r>
      <rPr>
        <strike val="true"/>
        <sz val="9"/>
        <color rgb="FF000000"/>
        <rFont val="Arial"/>
        <family val="0"/>
        <charset val="1"/>
      </rPr>
      <t xml:space="preserve">Josune</t>
    </r>
    <r>
      <rPr>
        <sz val="9"/>
        <color rgb="FF000000"/>
        <rFont val="Arial"/>
        <family val="0"/>
        <charset val="1"/>
      </rPr>
      <t xml:space="preserve">, a hairdresser who wrote anonymously to keep her clients unaware of her secret cultural life. Her signature line was, "Josune here. </t>
    </r>
    <r>
      <rPr>
        <strike val="true"/>
        <sz val="9"/>
        <color rgb="FF000000"/>
        <rFont val="Arial"/>
        <family val="0"/>
        <charset val="1"/>
      </rPr>
      <t xml:space="preserve">I will set your hair free!" </t>
    </r>
    <r>
      <rPr>
        <sz val="9"/>
        <color rgb="FF000000"/>
        <rFont val="Arial"/>
        <family val="0"/>
        <charset val="1"/>
      </rPr>
      <t xml:space="preserve">She also used the hashtag #mikroipuin. </t>
    </r>
    <r>
      <rPr>
        <strike val="true"/>
        <sz val="9"/>
        <color rgb="FF000000"/>
        <rFont val="Arial"/>
        <family val="0"/>
        <charset val="1"/>
      </rPr>
      <t xml:space="preserve">Eventually, she decided to step away from the online world and focus on writing a book, which she successfully accomplished with the help of Zaldieroa.
</t>
    </r>
    <r>
      <rPr>
        <sz val="9"/>
        <color rgb="FF000000"/>
        <rFont val="Arial"/>
        <family val="0"/>
        <charset val="1"/>
      </rPr>
      <t xml:space="preserve">
TLDR: Idoia Torregarai, a writer and journalist, compiled her popular tweets into a book called "Mikroipuinak," showcasing her unique perspective on everyday life. The book, illustrated by Zaldiero, </t>
    </r>
    <r>
      <rPr>
        <strike val="true"/>
        <sz val="9"/>
        <color rgb="FF000000"/>
        <rFont val="Arial"/>
        <family val="0"/>
        <charset val="1"/>
      </rPr>
      <t xml:space="preserve">received positive reviews for its humor and depth.</t>
    </r>
  </si>
  <si>
    <r>
      <rPr>
        <sz val="9"/>
        <color rgb="FF000000"/>
        <rFont val="Arial"/>
        <family val="0"/>
        <charset val="1"/>
      </rPr>
      <t xml:space="preserve">Euskal Herrian, Guardia Zibilak eta </t>
    </r>
    <r>
      <rPr>
        <strike val="true"/>
        <sz val="9"/>
        <color rgb="FF000000"/>
        <rFont val="Arial"/>
        <family val="0"/>
        <charset val="1"/>
      </rPr>
      <t xml:space="preserve">Espainiako Gobernuak, Nafarroako ordezkariak barne</t>
    </r>
    <r>
      <rPr>
        <sz val="9"/>
        <color rgb="FF000000"/>
        <rFont val="Arial"/>
        <family val="0"/>
        <charset val="1"/>
      </rPr>
      <t xml:space="preserve">, operazio handia egin dute droga sarearen aurkako. Gaur, Iruñean, Noticias egunkariak zabaldu du operazio handi honek Europako speed laborategirik handiena desegin duela Euskal Herrian.
Operazioa hasi zen ekainean, Bilbon, 40 kilogramo speed zeramatzan 42 urteko gizon bat atxilotu ondoren. Berriobeitin, Nafarroan, 42 kilo speed zeramatzan kamioi bat atzeman zuten, eta Zarautzen, Gipuzkoan, beste ibilgailu bat aurkitu zuten, kopuru bera zeukan.
Jarraian,</t>
    </r>
    <r>
      <rPr>
        <strike val="true"/>
        <sz val="9"/>
        <color rgb="FF000000"/>
        <rFont val="Arial"/>
        <family val="0"/>
        <charset val="1"/>
      </rPr>
      <t xml:space="preserve"> indar armatuak erabiliz</t>
    </r>
    <r>
      <rPr>
        <sz val="9"/>
        <color rgb="FF000000"/>
        <rFont val="Arial"/>
        <family val="0"/>
        <charset val="1"/>
      </rPr>
      <t xml:space="preserve">, barrandatzeak egin zituzten, eta Donostia kanpoaldeko bulego batzuetan laborategiraino heldu ziren. Atxilotako pertsonak </t>
    </r>
    <r>
      <rPr>
        <strike val="true"/>
        <sz val="9"/>
        <color rgb="FF000000"/>
        <rFont val="Arial"/>
        <family val="0"/>
        <charset val="1"/>
      </rPr>
      <t xml:space="preserve">Nafarroan, Gipuzkoan, Leonen eta Madrilen sartu ziren espetxean</t>
    </r>
    <r>
      <rPr>
        <sz val="9"/>
        <color rgb="FF000000"/>
        <rFont val="Arial"/>
        <family val="0"/>
        <charset val="1"/>
      </rPr>
      <t xml:space="preserve">.
Agirraldian, harrapatutako droga eta tresneria guztiaren zerrenda zehatza eman dute:
- 770.927 kilogramo speed
- 8.219 kilogramo MDMA
- 500 gramo haxix
- Substantzia aitzindariak: 75 kilogramo kafeina, 88 litro anfetamina likido eta 800 litro azido eta alkohol
- 185.355 euro eskudirutan
- 20 eta 21 zentimetroko bi aizto
- Gasak piztu errebolber bat
- Hamabi ibilgailu
</t>
    </r>
    <r>
      <rPr>
        <strike val="true"/>
        <sz val="9"/>
        <color rgb="FF000000"/>
        <rFont val="Arial"/>
        <family val="0"/>
        <charset val="1"/>
      </rPr>
      <t xml:space="preserve">Guardia Zibilak eta Espainiako Gobernuak, Nafarroako ordezkariak barne, operazio honek droga sarearen aurkako ildoak jarraituz, drogaren kontrabandoa eta salbuespenak murrizteko asmoz lan egiten jarraitzen dute.</t>
    </r>
  </si>
  <si>
    <r>
      <rPr>
        <sz val="9"/>
        <color rgb="FF666666"/>
        <rFont val="Arial"/>
        <family val="0"/>
        <charset val="1"/>
      </rPr>
      <t xml:space="preserve">Badaude hainbat edukirik garrantzitsuak, baina horietako biak laburtu testuan erabili ditut:
</t>
    </r>
    <r>
      <rPr>
        <sz val="9"/>
        <color rgb="FF000000"/>
        <rFont val="Arial"/>
        <family val="0"/>
        <charset val="1"/>
      </rPr>
      <t xml:space="preserve">
- "800 kilo speed, 8 kilo MDMA eta 180.000 euro eskudirutan konfiskatu dituztela, eta zortzi gizonezko atxilotu dituzte Nafarroan, Gipuzkoan, Leonen (Espainia) eta Madrilen."
- "770.927 kilogramo speed, 8.219 kilogramo MDMA, 500 gramo haxix, substantzia aitzindariak (75 kilogramo kafeina, 88 litro anfetamina likido eta 800 litro azido eta alkohol), 185.355 euro eskudirutan, 20 eta 21 zentimetroko bi aizto, gasak piztu errebolber bat eta hamabi ibilgailu."
</t>
    </r>
    <r>
      <rPr>
        <sz val="9"/>
        <color rgb="FF666666"/>
        <rFont val="Arial"/>
        <family val="0"/>
        <charset val="1"/>
      </rPr>
      <t xml:space="preserve">Lehenengo zati honek operazioa laburpena ematen digu, konfiskatutako droga eta tresneria, atxilotako pertsona kopurua eta horien espetxean sartzea. Bigarren zati, agerraldian eman den zerrenda zehatza, datu gehigarriak eskaintzen digu, eta horren bidez, operazioa zein den eta balio ekonomiko handia duen eragiketa delako, laburpena ere ematen digu.
Horien bidez, laburtu testua operazioaren garrantzia eta gosariaz gain, eragiketa delako balio ekonomiko handia ere adierazi daiteke.</t>
    </r>
  </si>
  <si>
    <r>
      <rPr>
        <sz val="9"/>
        <color rgb="FF000000"/>
        <rFont val="Arial"/>
        <family val="0"/>
        <charset val="1"/>
      </rPr>
      <t xml:space="preserve">Zer?
- Europako speed laborategirik handiena desegin dute Euskal Herrian.
- 800 kilo speed, 8 kilo MDMA eta 180.000 euro eskudirutan konfiskatuak.
- 40 eta 42 kilo speed zeramatzan atxilotu zituzten gizon batzuk.
- 770.927 kilogramo speed, 8.219 kilogramo MDMA, haxix, aitzindariak, 185.355 euro eta ibilgailu batzuk aurkituak.
Nork?
- Guardia Zibila eta Espainiako Gobernuaren Nafarroako ordezkariak.
- Zortzi gizonezko atxilotuak Nafarroan, Gipuzkoan, Leonen eta Madrilen.
- 42 urteko Bilboko gizon bat eta beste batzuk atxilotu zituzten.
Noiz?
- Gaur, Noticias egunkariak zabaldu duenez.
- Iazko ekainean hasi zuten droga sarearen aurkako operazioa.
- Atxilotza eta aurkitua izan ziren data ez dakit.
Non?
- Iruñean, Noticias egunkariak jakinarazi duenez.
- Zuastiko ordainlekuan, Berriobeitin, Zarautz eta Madrilen atxilotza eta aurkitua izan ziren.
- Donostia kanpoaldeko bulego batzutan ere aurkitu zuten.
Zergatik?
- Drogak konfiskatuz eta atxilotza eginiz, </t>
    </r>
    <r>
      <rPr>
        <strike val="true"/>
        <sz val="9"/>
        <color rgb="FF000000"/>
        <rFont val="Arial"/>
        <family val="0"/>
        <charset val="1"/>
      </rPr>
      <t xml:space="preserve">drogan salbuespen eta merkatuko balioa murrizteko.
- Drogak merkatuan 55 milioi euro baino gehiagoko balioa izango lukeen.
</t>
    </r>
    <r>
      <rPr>
        <sz val="9"/>
        <color rgb="FF000000"/>
        <rFont val="Arial"/>
        <family val="0"/>
        <charset val="1"/>
      </rPr>
      <t xml:space="preserve">
Nola?
- Guardia Zibila eta Espainiako Gobernuak operazioa hasi zuten, atxilotza egin zituzten eta ikerketa gehiago egin zituzten.
- Indar armatuek laborategiraino barrandatu zuten eta jarraitu zuten.
- Agirraldian zehatza ematen dute harrapatutako droga eta tresneria guztiaren zerrenda.</t>
    </r>
  </si>
  <si>
    <t xml:space="preserve">"Europar batzuen artean handienetarikoak dira Euskal Herrian aurkitu diren speed laborategiak."
TL;DR: Nafarroan, Gipuzkoan, Leonen eta Madrilen zortzi gizonezko atxilotu dira, eta 800 kilo speed, 8 kilo MDMA eta 180.000 euro eskudirutan konfiskatu dira. Droga sarearen aurkako operazioa iazko ekainean hasi zen, eta 770.927 kilogramo speed, 8.219 kilogramo MDMA eta beste tresneria guztiarekin amaitua izan da.</t>
  </si>
  <si>
    <r>
      <rPr>
        <sz val="9"/>
        <color rgb="FF000000"/>
        <rFont val="Arial"/>
        <family val="0"/>
        <charset val="1"/>
      </rPr>
      <t xml:space="preserve">2020ko otsailaren 29an, Bassirou Dione izeneko 24 urteko langilea hil zen lan istripu baten ondorioz, Zorroza Gestion de Residuos enpresak Murgan (Araba) duen biltegian. Aste honetan argitaratu da gertakari horri buruzko ebazpena. Epaiketarik egin gabe, aldeek akordioa lortu dute, eta enpresak gertakariaren erantzukizuna bere gain hartu du. Horren ondorioz, urte eta erdiko kartzela zigorra onartu du eta 30.000 euroko kalte-ordaina ordainduko du.
**Istripuaren xehetasunak**  
Langileak, enpresako kudeatzailearen aginduz, teilatura igo behar izan zuen beste langile batzuekin batera, hodi bat konpontzeko. Jarduera hori ez zen langileen </t>
    </r>
    <r>
      <rPr>
        <strike val="true"/>
        <sz val="9"/>
        <color rgb="FF000000"/>
        <rFont val="Arial"/>
        <family val="0"/>
        <charset val="1"/>
      </rPr>
      <t xml:space="preserve">ohiko</t>
    </r>
    <r>
      <rPr>
        <sz val="9"/>
        <color rgb="FF000000"/>
        <rFont val="Arial"/>
        <family val="0"/>
        <charset val="1"/>
      </rPr>
      <t xml:space="preserve"> lana, eta segurtasun-neurririk gabe burutu zuten. Lan horretan ari zirela, teilatuaren zati bat hautsi eta Dione bederatzi metrotik behera erori zen, heriotza eraginez.
**Ebazpenaren ondorioak**  
Fiskaltzaren, akusazio partikularraren eta defentsaren artean lortutako akordioarekin amaitu da auzibidea. LAB sindikatuak adierazi du gertakariak «are argiago» geratu direla, eta Dione-ren heriotzaren erantzukizuna Zorroza Gestion de Residuos enpresako arduradunen gain dagoela.
**Lan baldintzen salaketa**  
LABek enpresako lan baldintza kaskarrak eta langileen babesgabetasuna salatu ditu berriro ere. Sindikatuak enpresa «Guantanamo laboral» gisa deskribatu du, non langileak eskubiderik gabe eta babesgabe lan egitera behartzen diren. Beste salaketa batzuen artean, hamar orduko lanaldi nahitaezkoak eta lan istripuak ezkutatzeko ahaleginak aipatu dituzte.</t>
    </r>
  </si>
  <si>
    <r>
      <rPr>
        <sz val="9"/>
        <color rgb="FF000000"/>
        <rFont val="Arial"/>
        <family val="0"/>
        <charset val="1"/>
      </rPr>
      <t xml:space="preserve">2020ko otsailaren 29an, 24 urteko Bassirou Dione langilea hil zen Murgako Zorroza Gestion de Residuos enpresan, bederatzi metrotik erorita, </t>
    </r>
    <r>
      <rPr>
        <strike val="true"/>
        <sz val="9"/>
        <color rgb="FF000000"/>
        <rFont val="Arial"/>
        <family val="0"/>
        <charset val="1"/>
      </rPr>
      <t xml:space="preserve">enpresaren segurtasun-neurririk eza</t>
    </r>
    <r>
      <rPr>
        <sz val="9"/>
        <color rgb="FF000000"/>
        <rFont val="Arial"/>
        <family val="0"/>
        <charset val="1"/>
      </rPr>
      <t xml:space="preserve">ren ondorioz. Enpresako arduradunek teilatura igotzeko agindua eman zioten, haien jarduera-eremutik kanpoko lan batean. Fiskaltzaren, akusazio partikularraren eta defentsaren arteko akordio baten ondorioz, enpresak erantzukizuna onartu eta urte eta erdiko kartzela-zigorra eta 30.000 euroko kalte-ordaina onartu ditu. LAB sindikatuak enpresaren lan baldintza gogorrak eta langileen babesgabetasuna salatu ditu.</t>
    </r>
  </si>
  <si>
    <r>
      <rPr>
        <sz val="9"/>
        <color rgb="FF000000"/>
        <rFont val="Arial"/>
        <family val="0"/>
        <charset val="1"/>
      </rPr>
      <t xml:space="preserve">### **5W1H Laburpena**
- **Zer:**  
Langile bat, Bassirou Dione, hil egin zen lan istripu batean Murgako Zorroza Gestion de Residuos enpresan. Epaiketa egin gabe amaitu da auzia, aldeek akordioa lortu baitute. Enpresak urte eta erdiko kartzela zigorra eta 30.000 euroko kalte ordaina onartu ditu.
- **Nork:**  
Hildakoa Bassirou Dione zen, 24 urteko langilea. Zorroza Gestion de Residuos enpresak erantzukizuna hartu du. LAB sindikatuak heriotzaren erantzukizuna enpresaren arduradunei egotzi die.
- **Noiz:**  
2020ko otsailaren 29an gertatu zen istripua. Gertakariaren ebazpena aste honetan jakin da, lau urte geroago.
- **Non:**  
Murgan (Araba), Zorroza Gestion de Residuos enpresak duen biltegian.
- **Zergatik:**  
Hildakoak eta beste langile batzuek teilatura igotzeko agindua jaso zuten, segurtasun neurriak bete gabe. Hodi bat konpontzen ari zirela, teilatua hautsi zen, eta Dione bederatzi metrotik erori zen. LABek salatu du enpresak langileen eskubideak urratu eta lan baldintza gogorrak inposatzen dituela.
- **Nola:**  
</t>
    </r>
    <r>
      <rPr>
        <strike val="true"/>
        <sz val="9"/>
        <color rgb="FF000000"/>
        <rFont val="Arial"/>
        <family val="0"/>
        <charset val="1"/>
      </rPr>
      <t xml:space="preserve">Langileek segurtasun neurri egokirik gabe lan egin behar izan zuten.</t>
    </r>
    <r>
      <rPr>
        <sz val="9"/>
        <color rgb="FF000000"/>
        <rFont val="Arial"/>
        <family val="0"/>
        <charset val="1"/>
      </rPr>
      <t xml:space="preserve"> Teilatuaren zati bat puskatu zenean, Dione larriki erori eta hil egin zen. Ondoren, aldeek akordio bidez itxi dute auzia.</t>
    </r>
  </si>
  <si>
    <r>
      <rPr>
        <sz val="9"/>
        <color rgb="FF000000"/>
        <rFont val="Arial"/>
        <family val="0"/>
        <charset val="1"/>
      </rPr>
      <t xml:space="preserve">2020ko otsailaren 29an, Bassirou Dione izeneko 24 urteko langilea hil zen Zorroza Gestion de Residuos enpresaren Murgako biltegian (Araba), bederatzi metrotik erorita. Enpresako arduradunek teilatura </t>
    </r>
    <r>
      <rPr>
        <strike val="true"/>
        <sz val="9"/>
        <color rgb="FF000000"/>
        <rFont val="Arial"/>
        <family val="0"/>
        <charset val="1"/>
      </rPr>
      <t xml:space="preserve">segurtasun neurririk gabe igotzea</t>
    </r>
    <r>
      <rPr>
        <sz val="9"/>
        <color rgb="FF000000"/>
        <rFont val="Arial"/>
        <family val="0"/>
        <charset val="1"/>
      </rPr>
      <t xml:space="preserve"> agindu zioten hodi bat konpontzeko, nahiz eta hori ez zen langileen ohiko jarduna. 
Aste honetan, gertakariei buruzko auzibidea fiskaltzaren, akusazio partikularraren eta defentsaren arteko akordioarekin bukatu da, enpresak erantzukizuna onartu baitu. Zigor gisa, urte eta erdiko kartzela eta 30.000 euroko kalte-ordaina onartu ditu. 
LAB sindikatuak lan baldintza gogorrak eta babesgabetasuna salatu ditu, enpresa «eskubiderik gabeko eremu» gisa deskribatuz, nahitaezko lanaldi luzeak eta istripuen ezkutatze saiakerak nabarmenduz.</t>
    </r>
  </si>
  <si>
    <t xml:space="preserve">Indartsu hasi dira Binakako Txapelketan Erik Jaka eta Jon Mariezkurrena, eta momentuz nagusi dabiltza. Hirutik hiru partida irabazi dituzte, azkena gaur, Danel Elezkano eta Julen Martijaren aurka, emaitza sendo batekin: 9-22. Garaipen horrek indartu egiten ditu txapela irabazteko hautagai nagusien artean. Mariezkurrena atzean eroso eta nagusi dabil, eta horrek aukera paregabeak eskaintzen dizkio Jakari tantoak amaitzeko. Lizartzako aurrelariak gaur 16 tanto egin ditu, zortzi ezker gantxoarekin. 
Partida hasieran gorriak 3-0 aurretik jarri dira Elezkanoren ekarpen onari esker, baina hortik aurrera urdinek agindu dute kantxan. Mariezkurrenak Martija atzean harrapatuta eduki du, eta erasoan, Jakak nahi izan duen guztia egin ahal izan du. Elezkanok ez du erantzuteko modurik aurkitu, eta erremate ikusgarriak jaso behar izan ditu partida osoan zehar.
Une honetan, Elordi-Rezustarekin batera, Jaka-Mariezkurrena da irabazi gabeko norgehiagokarik ez duen bikotea. Kontraste handia dago bikote irabazlearen forma onean eta galtzaileen egoeran. Izan ere, Jokin Altunaren ordez jokatzen ari den Elezkanok ez du emaitza onik lortu orain arte. Hirutik hiru partida galdu dituzte Elezkano-Martijak, bi aldiz 22-9 eta behin 22-8. Sailkapenean atzean ez geratzeko, irabazten hasi beharko dute berehala.</t>
  </si>
  <si>
    <t xml:space="preserve">Erik Jaka eta Jon Mariezkurrena bolada bikainean daude Binakako Txapelketan, hiru partida jokatu eta hirurak irabazita. Gaur, 9-22 garaitu dituzte Danel Elezkano eta Julen Martija, eta txapela irabazteko hautagai nagusien artean kokatu dira. Mariezkurrena nagusi da atzean, eta Jakak tantoak erraz amaitzen ditu, gaur 16 egin baititu. Beren aurkariak, Elezkano eta Martija, emaitza txarren boladan daude, eta irabazten hasi beharko dute lehen postuetatik ez urruntzeko.</t>
  </si>
  <si>
    <r>
      <rPr>
        <sz val="9"/>
        <color rgb="FF000000"/>
        <rFont val="Arial"/>
        <family val="0"/>
        <charset val="1"/>
      </rPr>
      <t xml:space="preserve">Hona hemen testuaren laburpena **5W1H metodoa** erabiliz:  
### **1. Zer? (What)**  
Erik Jaka eta Jon Mariezkurrena bikoteak Binakako Txapelketan partida guztiak irabazi dituzte orain arte, eta irudi bikaina ematen ari dira. Gaurko partidan 22-9 irabazi diete Danel Elezkano eta Julen Martijari.  
### **2. Nork? (Who)**  
Erik Jaka eta Jon Mariezkurrena irabazleak; Danel Elezkano eta Julen Martija galtzaileak.  
### **3. Noiz? (When)**  
</t>
    </r>
    <r>
      <rPr>
        <strike val="true"/>
        <sz val="9"/>
        <color rgb="FF000000"/>
        <rFont val="Arial"/>
        <family val="0"/>
        <charset val="1"/>
      </rPr>
      <t xml:space="preserve">Gaurko partidaz gain</t>
    </r>
    <r>
      <rPr>
        <sz val="9"/>
        <color rgb="FF000000"/>
        <rFont val="Arial"/>
        <family val="0"/>
        <charset val="1"/>
      </rPr>
      <t xml:space="preserve">, orain arte hiru partida jokatu dituzte eta hirurak irabazi dituzte.  
### **4. Non? (Where)**  
Bizkaia pilotalekuan jokatu da gaurko partida.  
### **5. Zergatik? (Why)**  
Jaka-Mariezkurrena bikotearen nagusitasuna azaltzeko bi arrazoi nagusi daude:  
- **Mariezkurrena** bolada bikainean dago eta Martijari nagusitu zaio atzean.  
- **Jaka** eraginkorra izan da erremateetan, </t>
    </r>
    <r>
      <rPr>
        <strike val="true"/>
        <sz val="9"/>
        <color rgb="FF000000"/>
        <rFont val="Arial"/>
        <family val="0"/>
        <charset val="1"/>
      </rPr>
      <t xml:space="preserve">mota guztietako tantoak</t>
    </r>
    <r>
      <rPr>
        <sz val="9"/>
        <color rgb="FF000000"/>
        <rFont val="Arial"/>
        <family val="0"/>
        <charset val="1"/>
      </rPr>
      <t xml:space="preserve"> eginez.  
### **6. Nola? (How)**  
Gorriak (Elezkano eta Martija) 3-0 aurreratu dira hasieran, baina hortik aurrera Jaka eta Mariezkurrena izan dira jaun eta jabe. Atzean Mariezkurrenak lan bikaina egin du eta Jakak 16 tanto egin ditu, horietatik 8 ezker gantxoz.  
### **Laburpena:**  
Jaka eta Mariezkurrena bikote nagusi dira Binakako Txapelketan; norgehiagoka guztiak irabazi dituzte eta hautagai sendoak dira txapela irabazteko. Gaur 22-9 irabazi diete Elezkano eta Martijari, eta biak bolada eskasean daude. Irabazleek nagusitasunez jokatzen jarraitzen dute, bakoitzaren indarguneak baliatuz.</t>
    </r>
  </si>
  <si>
    <r>
      <rPr>
        <sz val="9"/>
        <color rgb="FF000000"/>
        <rFont val="Arial"/>
        <family val="0"/>
        <charset val="1"/>
      </rPr>
      <t xml:space="preserve">Erik Jaka eta Jon Mariezkurrena Binakako Txapelketan irudi bikaina ematen ari dira, hiru partida jokatu eta hirurak irabazita. Gaur, Danel Elezkano eta Julen Martija 9-22 garaitu dituzte Bizkaia pilotalekuan. Mariezkurrena atzean nagusitzen da, eta Jakak erremateak aise amaitzen ditu (16 tanto, horietatik 8 ezker gantxoarekin). Elordi-Rezustarekin batera, norgehiagoka guztiak irabazi dituzten bikote bakarrak dira. </t>
    </r>
    <r>
      <rPr>
        <strike val="true"/>
        <sz val="9"/>
        <color rgb="FF000000"/>
        <rFont val="Arial"/>
        <family val="0"/>
        <charset val="1"/>
      </rPr>
      <t xml:space="preserve">Elezkano-Martija, berriz, Altunaren hutsunea betetzen ari dira</t>
    </r>
    <r>
      <rPr>
        <sz val="9"/>
        <color rgb="FF000000"/>
        <rFont val="Arial"/>
        <family val="0"/>
        <charset val="1"/>
      </rPr>
      <t xml:space="preserve">, baina emaitza eskasak dituzte, eta irabazten hasi beharko dute lehen postuetatik urrundu nahi ez badute.</t>
    </r>
  </si>
  <si>
    <t xml:space="preserve">Jakina, hona hemen zure testua laburtuta:
Hilabete lainopean igaro ostean, eguraldi onarekin batera bildu dira hogeita hamar lagun inguru Aralarko parke naturalean, Ruraltxa proiektua ezagutzera. Proiektu honen helburua mendiko abeltzaintza estentsiboari eta erabilera tradizionalei balioa ematea da, Europar Batasuneko Next Generation funtsen babesarekin. Jardunaldiak Esnaurrieta txabolan izan du ardatza, non Joseba Insausti artzainak mendiko gazta egin eta bere esperientzia partekatu duen.
Luis Mari Zaldua Parketxe Sareko zuzendariak inguruneak duen kultur paisaiaren garrantzia azpimarratu du, gizakiaren eta naturaren arteko harremanaren emaitza dela azalduz. Gonbidatuak tokian-tokiko jakiak dastatu dituzte, hala nola mendiko gazta, mondejuak eta ardi gisadua, eta Roberto Ruiz sukaldariak artzaintzaren eta gastronomiaren arteko lotura goraipatu du, artzaina "aurreneko sukaldari" dela esanez. 
Jardunaldia zintzarri hotsen artean amaitu da, taldeak Ondarreko mairu-baratzearen ondotik itzulera eginez eta larreen garrantziaz zerbait ikasiz.</t>
  </si>
  <si>
    <r>
      <rPr>
        <sz val="9"/>
        <color rgb="FF000000"/>
        <rFont val="Arial"/>
        <family val="0"/>
        <charset val="1"/>
      </rPr>
      <t xml:space="preserve">Testuaren edukirik garrantzitsuena honela laburtu daiteke:
Ruraltxa proiektua Aralarko parke naturalean aurkeztu dute, mendiko abeltzaintza tradizionalari balioa ematea </t>
    </r>
    <r>
      <rPr>
        <strike val="true"/>
        <sz val="9"/>
        <color rgb="FF000000"/>
        <rFont val="Arial"/>
        <family val="0"/>
        <charset val="1"/>
      </rPr>
      <t xml:space="preserve">eta bioekonomia jasangarria sustatzea helburu duena</t>
    </r>
    <r>
      <rPr>
        <sz val="9"/>
        <color rgb="FF000000"/>
        <rFont val="Arial"/>
        <family val="0"/>
        <charset val="1"/>
      </rPr>
      <t xml:space="preserve">. Proiektua Europar Batasuneko Next Generation funtsen bidez finantzatzen da, eta hainbat erakunderen laguntza du. Joseba Insausti artzainak eta Mahaia kolektiboko sukaldariek gastronomiaren eta artzaintzaren lotura nabarmendu dute, mendiko gazta eta bertako produktuen bidez. Luis Mari Zalduak azaldu du ingurune hau kultur paisaia dela, gizakiaren eta naturaren arteko harremanaren emaitza. Parte-hartzaileek larrabereen eta larreen garrantziaz ikasi dute jardunaldian zehar.</t>
    </r>
  </si>
  <si>
    <r>
      <rPr>
        <sz val="9"/>
        <color rgb="FF000000"/>
        <rFont val="Arial"/>
        <family val="0"/>
        <charset val="1"/>
      </rPr>
      <t xml:space="preserve">Hona hemen testua 5W1H metodoaren bidez laburtuta:
### **Zer?**
Ruraltxa proiektuaren aurkezpena, </t>
    </r>
    <r>
      <rPr>
        <strike val="true"/>
        <sz val="9"/>
        <color rgb="FF000000"/>
        <rFont val="Arial"/>
        <family val="0"/>
        <charset val="1"/>
      </rPr>
      <t xml:space="preserve">mendiko gazta egitearen eta</t>
    </r>
    <r>
      <rPr>
        <sz val="9"/>
        <color rgb="FF000000"/>
        <rFont val="Arial"/>
        <family val="0"/>
        <charset val="1"/>
      </rPr>
      <t xml:space="preserve"> mendiko abeltzaintza estentsiboaren balioa nabarmentzeko ekitaldia. Mendiko otordu bat eta ingurunearekin lotutako azalpenak ere eskaini dira.
### **Nork?**
- **Protagonistak:** Joseba Insausti artzaina, Ruraltxa proiektuko kideak, Mahaia kolektiboko sukaldariak, Hazi fundaziokoak, Etorlurrekoak, Gipuzkoako Parketxe Sarekoak, beste hainbat gonbidatu eta basozain.
- **Beste partaideak:** Mikel de Francisco (proiektuko arduraduna), Luis Mari Zaldua (Parketxe Sareko zuzendaria), eta Mahaia kolektiboko sukaldari ezagunak (adib., Roberto Ruiz, Pili Manterola).
### **Noiz?**
</t>
    </r>
    <r>
      <rPr>
        <strike val="true"/>
        <sz val="9"/>
        <color rgb="FF000000"/>
        <rFont val="Arial"/>
        <family val="0"/>
        <charset val="1"/>
      </rPr>
      <t xml:space="preserve">Ekitaldia udazkenean egin da</t>
    </r>
    <r>
      <rPr>
        <sz val="9"/>
        <color rgb="FF000000"/>
        <rFont val="Arial"/>
        <family val="0"/>
        <charset val="1"/>
      </rPr>
      <t xml:space="preserve">, ardiak larreetara eramateko denboraldia amaitzean. Joseba Insaustik aurtengo egonaldia maiatzaren 7an hasi zela aipatzen du.
### **Non?**
Aralarko parke naturalean, Enirio-Aralar mankomunitatean, Esnaurrieta txabolaren inguruan. Ondarreko mairu-baratzearen ondotik itzuli dira parte-hartzaileak.
### **Zergatik?**
- Ruraltxa proiektua ezagutarazteko.
- Mendiko abeltzaintza estentsiboaren eta landako bioekonomiaren balioa azpimarratzeko.
- Gastronomiak artzaintzarekin eta ingurunearekin duen harremana nabarmentzeko.
### **Nola?**
- Europar Batasuneko Next Generation funtsen bidez finantzatua.
- Ingurunea eta artzaintza sustatzeko ekitaldi praktiko eta teorikoa antolatuz: mendiko gazta egitea erakutsi, otordua prestatu, eta inguruko paisaia kulturalaren azalpenak eskainiz.
Horrela, testuaren muina eta gakoak laburtzen dira modu argian eta sistematikoan.</t>
    </r>
  </si>
  <si>
    <r>
      <rPr>
        <sz val="9"/>
        <color rgb="FF000000"/>
        <rFont val="Arial"/>
        <family val="0"/>
        <charset val="1"/>
      </rPr>
      <t xml:space="preserve">Joseba Insausti artzainak mendiko gazta egiten ari da Esnaurrieta txabolan, Aralarko parke naturalean, eta hogeita hamar laguneko talde bat inguratu da Ruraltxa proiektua ezagutzera. Proiektu horren helburua da mendiaren eta mendiko abeltzaintza estentsiboaren erabilera tradizionalari balioa ematea, Europar Batasuneko Next Generation funtsen laguntzaz. Parte hartzaileen artean daude Mahaia kolektiboko sukaldariak, Hazi fundaziokoak eta beste hainbat eragile.
Luis Mari Zalduak azaldu du ingurune horrek gizakiaren eta naturaren arteko harremanaren emaitza dela. Parte-hartzaileek mendiko otordu bat dastatu dute, eta Insaustik </t>
    </r>
    <r>
      <rPr>
        <strike val="true"/>
        <sz val="9"/>
        <color rgb="FF000000"/>
        <rFont val="Arial"/>
        <family val="0"/>
        <charset val="1"/>
      </rPr>
      <t xml:space="preserve">gaztaren eta artzaintzaren historia kontatu die</t>
    </r>
    <r>
      <rPr>
        <sz val="9"/>
        <color rgb="FF000000"/>
        <rFont val="Arial"/>
        <family val="0"/>
        <charset val="1"/>
      </rPr>
      <t xml:space="preserve">. Sukaldariek artzaintzaren eta ardiaren garrantzia nabarmendu dute gastronomiaren oinarri gisa. </t>
    </r>
    <r>
      <rPr>
        <strike val="true"/>
        <sz val="9"/>
        <color rgb="FF000000"/>
        <rFont val="Arial"/>
        <family val="0"/>
        <charset val="1"/>
      </rPr>
      <t xml:space="preserve">Ekitaldiaren bukaeran</t>
    </r>
    <r>
      <rPr>
        <sz val="9"/>
        <color rgb="FF000000"/>
        <rFont val="Arial"/>
        <family val="0"/>
        <charset val="1"/>
      </rPr>
      <t xml:space="preserve">, taldeak larreen eta mendiko ekosistemen balioari buruz ikasi du.</t>
    </r>
  </si>
  <si>
    <r>
      <rPr>
        <sz val="9"/>
        <color rgb="FF000000"/>
        <rFont val="Arial"/>
        <family val="0"/>
        <charset val="1"/>
      </rPr>
      <t xml:space="preserve">Hona hemen testu laburtua:  
Euskal Herriko surflariek arrakasta handia izan dute Arecibon (Puerto Rico) jokatutako Munduko Txapelketan, Parisko 2024ko Olinpiar Jokoetarako sailkatuz. Nadia Erostarbe, Janire Gonzalez-Etxabarri, Joan Duru eta Andy Criere surflariak uztailaren 27tik abuztuaren 4ra lehiatuko dira Teahupo’on (Tahiti). Pauline Ado angeluarrak Tokion lortutako lekukoa hartuko dute, Olinpiar Jokoetan parte hartuko duten euskal surflarien kopurua </t>
    </r>
    <r>
      <rPr>
        <strike val="true"/>
        <sz val="9"/>
        <color rgb="FF000000"/>
        <rFont val="Arial"/>
        <family val="0"/>
        <charset val="1"/>
      </rPr>
      <t xml:space="preserve">bikoiztuz</t>
    </r>
    <r>
      <rPr>
        <sz val="9"/>
        <color rgb="FF000000"/>
        <rFont val="Arial"/>
        <family val="0"/>
        <charset val="1"/>
      </rPr>
      <t xml:space="preserve">.
Donostiako Aquariumean egindako ekitaldian, Basque Teamek goratu egin du haien lorpena: Erostarbe laugarren, Criere seigarren eta Gonzalez-Etxabarri hamabosgarren izan dira Munduko Txapelketan. Guztiek poza eta ilusioa adierazi dute: Erostarbek bere emaitzarik onena lortu duela azaldu du, eta Crierek talde-lanaren garrantzia nabarmendu du. Gonzalez-Etxabarrik, berriz, belauneko lesioa sendatu behar duela aitortu du Jokoetarako prestatzeko.
Teahupo’oko olatu berezian lehiatuko dira, eta entrenatzeko aukera handia izatea espero dute. Nahiz eta erronka zaila izan, euskal surflariek itxaropen handiak dituzte emaitza onak lortzeko.</t>
    </r>
  </si>
  <si>
    <r>
      <rPr>
        <sz val="9"/>
        <color rgb="FF000000"/>
        <rFont val="Arial"/>
        <family val="0"/>
        <charset val="1"/>
      </rPr>
      <t xml:space="preserve">**Laburpena:**
Euskal Herriko lau surflarik —Nadia Erostarbe, Janire Gonzalez-Etxabarri, Joan Duru eta Andy Criere— Munduko Txapelketan egindako emaitza bikainari esker Parisko 2024ko Olinpiar Jokoetarako sailkapena lortu dute. Teahupo’oko (Tahiti) olatuetan lehiatuko dira uztailaren 27tik abuztuaren 4ra. Euskal surflarientzat lorpen historikoa da, eta Basque Team fundazioak Donostiako Aquariumean harrera egin die hiru parte-hartzaileei.
Surflariek talde giroa eta aurretik izan dituzten ereduak nabarmendu dituzte arrakastaren gako gisa. </t>
    </r>
    <r>
      <rPr>
        <strike val="true"/>
        <sz val="9"/>
        <color rgb="FF000000"/>
        <rFont val="Arial"/>
        <family val="0"/>
        <charset val="1"/>
      </rPr>
      <t xml:space="preserve">Erostarbek eta Gonzalez-Etxabarrik Teahupo’on entrenatzeko garrantzia azpimarratu dute</t>
    </r>
    <r>
      <rPr>
        <sz val="9"/>
        <color rgb="FF000000"/>
        <rFont val="Arial"/>
        <family val="0"/>
        <charset val="1"/>
      </rPr>
      <t xml:space="preserve">, nahiz eta olatu horretan lehen aldiz ariko diren. Guztiek dute itxaropena lehiaketa bikaina egiteko eta, agian, dominen bat irabazteko.</t>
    </r>
  </si>
  <si>
    <t xml:space="preserve">### 5W1H Metodoa erabiliz laburpena:
**Zer:**  
Euskal Herriko surflariek Munduko Txapelketan parte hartu eta arrakasta handia lortu dute, Parisko Olinpiar Jokoetarako sailkapena eskuratuz.
**Nork:**  
Lau surflarik:  
- **Nadia Erostarbe** (Zarautz)  
- **Janire Gonzalez-Etxabarri** (Zumaia)  
- **Joan Duru** (Baiona)  
- **Andy Criere** (Donostia)
**Noiz:**  
- Munduko Txapelketa orain dela gutxi ospatu zen Arecibon (Puerto Rico).  
- Olinpiar Jokoak **uztailaren 27tik abuztuaren 4ra** izango dira, 2024an.
**Non:**  
- Munduko Txapelketa: Arecibo, Puerto Rico.  
- Olinpiar Jokoetako surf proba: Teahupo'o, Tahiti.  
- Euskaldunen omenezko harrera: Donostiako Aquarium.
**Zergatik:**  
- Euskal surflariek Munduko Txapelketan emaitza bikainak lortu dituzte, eta horri esker sailkatu dira Olinpiar Jokoetarako.  
- Arrakasta hau lan gogorrari eta talde giro onari zor zaio. Eredu handiak izatea ere lagungarria izan da.
**Nola:**  
- Talde espiritua eta elkarrekiko babesa giltzarriak izan dira.  
- Emaitzak: Nadia Erostarbe eta Joan Duru laugarren izan dira; Andy Criere seigarren, eta Janire Gonzalez-Etxabarri hamabosgarren.  
- Olinpiar Jokoetarako prestaketak, hala nola Teahupo'oko olatu bereziak entrenatzea, orain dute lehentasuna.</t>
  </si>
  <si>
    <t xml:space="preserve">Euskal Herriko lau surflarik (Nadia Erostarbe, Janire Gonzalez-Etxabarri, Joan Duru, eta Andy Criere) sailkapen bikaina lortu dute Puerto Ricoko Munduko Txapelketan eta Teahupo’on (Tahiti) izango diren Parisko 2024ko Olinpiar Jokoetan lehiatuko dira. Donostiako Aquariumean egin zaien harreran, Erostarbe laugarren, Criere seigarren eta Gonzalez-Etxabarrik hamabosgarren postuak ospatu dira. Guztiak pozik daude emaitzekin eta elkarlanaren garrantzia nabarmendu dute. Teahupo’oko olatu berezi eta aldakorretan lehiatzeko prest daude, entrenamenduak eta ahalegina azpimarratuz.</t>
  </si>
  <si>
    <r>
      <rPr>
        <sz val="9"/>
        <color rgb="FF000000"/>
        <rFont val="Arial"/>
        <family val="0"/>
        <charset val="1"/>
      </rPr>
      <t xml:space="preserve">Hona hemen testua laburtuta:
---
**Iñigo Satrustegi: Literatura eta zaintza protagonistak**
Iñigo Satrustegik (Iruñea, 1997) Egile Berrientzako Iruñeko Literatur Lehiaketa irabazi du, *Oheak gordetzen duena* narrazioarekin, eta aipamen berezia lortu du poesia sailean, *Ebakiduraariketak* lanarekin. Bere narrazioan, heriotzaren inguruko egoerak eta zaintzaren papera aztertzen ditu, ikuspegi sentsorial eta sozialetik.
**Literatura eta itzulpengintza:**  
Unibertsitatean Itzulpengintza ikasi zuen, literaturarekiko harremana </t>
    </r>
    <r>
      <rPr>
        <strike val="true"/>
        <sz val="9"/>
        <color rgb="FF000000"/>
        <rFont val="Arial"/>
        <family val="0"/>
        <charset val="1"/>
      </rPr>
      <t xml:space="preserve">berreskuratzeko</t>
    </r>
    <r>
      <rPr>
        <sz val="9"/>
        <color rgb="FF000000"/>
        <rFont val="Arial"/>
        <family val="0"/>
        <charset val="1"/>
      </rPr>
      <t xml:space="preserve">. Itzulpengintzak idazketan duen eragina azpimarratu du: "Ariketa sortzaile bat da."
**Narrazioa eta gai nagusiak:**  
Heriotza ez da narrazioaren muina, baizik eta honek sortzen dituen ondorioak eta ingurukoen portaerak. Istorioa zaintzaren eta familia instituzioaren inguruko tirabirak </t>
    </r>
    <r>
      <rPr>
        <strike val="true"/>
        <sz val="9"/>
        <color rgb="FF000000"/>
        <rFont val="Arial"/>
        <family val="0"/>
        <charset val="1"/>
      </rPr>
      <t xml:space="preserve">ardatz hartuta dago</t>
    </r>
    <r>
      <rPr>
        <sz val="9"/>
        <color rgb="FF000000"/>
        <rFont val="Arial"/>
        <family val="0"/>
        <charset val="1"/>
      </rPr>
      <t xml:space="preserve">, eta protagonistaren generoa nahita zehaztu gabe utzi du, interpretazio aniztasuna ahalbidetzeko.
**Eragina eta estiloa:**  
Lan sentsoriala izanik, *La casa de Bernarda Alba*-ren eragina nabarmendu du, eta zaintza eta emakumeen papera aztertu ditu. Istorioak errealitatean sustraiak ditu, baina ukitu magiko batekin.
**Etorkizunari begira:**  
Sariak "esposizio bat" dira bere iritziz, nahiz eta harreman kritikoa duen hauekin. Narrazio eta poesia artean, azken honetan erosoago sentitzen dela aitortu du.
**Jarrera soziala:**  
Sari banaketan "Zezenketarik ez!" mezua duen kamiseta eramango du</t>
    </r>
    <r>
      <rPr>
        <strike val="true"/>
        <sz val="9"/>
        <color rgb="FF000000"/>
        <rFont val="Arial"/>
        <family val="0"/>
        <charset val="1"/>
      </rPr>
      <t xml:space="preserve">, UPNren garaian gertatutako hipokrisia salatuz.
</t>
    </r>
    <r>
      <rPr>
        <sz val="9"/>
        <color rgb="FF000000"/>
        <rFont val="Arial"/>
        <family val="0"/>
        <charset val="1"/>
      </rPr>
      <t xml:space="preserve">
--- 
Testua laburrago eta argiago prestatu dut; esan nahi baduzu gehigarriren bat sartzea.</t>
    </r>
  </si>
  <si>
    <t xml:space="preserve">**Laburpena:**
Iñigo Satrustegik, 1997an Iruñean jaioa, Egile Berrientzako Iruñeko Literatur Lehiaketa irabazi du *Oheak gordetzen duena* lanarekin. Kontakizunak heriotzaren inguruko portaera eta eragin desberdinak aztertzen ditu, zaintza eta familiaren rola erdigunean jarriz. Protagonistaren generoa argitu gabe uztea istorioa anitzago interpretatzeko aukera eskaintzen du. Satrustegik literatura eta itzulpengintzaren arteko loturaz hitz egiten du, baita poesian duen eroso sentimenduaz ere. Sari banaketa ekitaldian "Zezenketarik ez!" mezua duen kamiseta eramango duela dio, konpromiso soziala azpimarratuz.</t>
  </si>
  <si>
    <r>
      <rPr>
        <sz val="9"/>
        <color rgb="FF000000"/>
        <rFont val="Arial"/>
        <family val="0"/>
        <charset val="1"/>
      </rPr>
      <t xml:space="preserve">Hona hemen 5W1H metodoa erabiliz testuaren laburpena:
### **Zer?**  
- Iñigo Satrustegik **"Oheak gordetzen duena"** narrazioarekin Egile Berrientzako Iruñeko Literatur Lehiaketa irabazi du.  
- Narrazioan, heriotzaren ondorioz sortzen diren egoerak aztertzen dira.  
- Poesia sailean aipamen berezia jaso du **"Ebakiduraariketak"** lanarekin.  
### **Nork?**  
- **Iñigo Satrustegi** (Iruñea, 1997), idazlea eta itzultzailea.  
### **Noiz?**  
- Ez da data zehatzik ematen, baina testuingurutik, sariak azkenaldian jaso ditu.  
### **Non?**  
- Iruñeko Literatur Lehiaketan.  
### **Zergatik?**  
- Heriotzaren inguruko portaera eta eraginak esploratzeko, baita zaintzaren eta familiaren dinamikak aztertzeko.  
</t>
    </r>
    <r>
      <rPr>
        <strike val="true"/>
        <sz val="9"/>
        <color rgb="FF000000"/>
        <rFont val="Arial"/>
        <family val="0"/>
        <charset val="1"/>
      </rPr>
      <t xml:space="preserve">- Literaturak bere mundu ikuskera eta sentimenduak adierazteko aukera ematen diolako.  
</t>
    </r>
    <r>
      <rPr>
        <sz val="9"/>
        <color rgb="FF000000"/>
        <rFont val="Arial"/>
        <family val="0"/>
        <charset val="1"/>
      </rPr>
      <t xml:space="preserve">
### **Nola?**  
- Narrazioan, heriotzaren inguruko egoerak **sentsorialtasun handiarekin** eta literatur teknikak erabiliz landu ditu.  
- Poesian, estilo askeago </t>
    </r>
    <r>
      <rPr>
        <strike val="true"/>
        <sz val="9"/>
        <color rgb="FF000000"/>
        <rFont val="Arial"/>
        <family val="0"/>
        <charset val="1"/>
      </rPr>
      <t xml:space="preserve">eta esperimentalean</t>
    </r>
    <r>
      <rPr>
        <sz val="9"/>
        <color rgb="FF000000"/>
        <rFont val="Arial"/>
        <family val="0"/>
        <charset val="1"/>
      </rPr>
      <t xml:space="preserve"> eroso sentitzen da.  
- Genero neutroa eta amaiera irekiak baliatu ditu interpretazio anitzak sortzeko.  
### Beste puntu aipagarriak:  
- **Zaintza eta familiaren dinamika** nabarmendu ditu, istorioa oso feminizatuta dagoela azpimarratuz.  
</t>
    </r>
    <r>
      <rPr>
        <strike val="true"/>
        <sz val="9"/>
        <color rgb="FF000000"/>
        <rFont val="Arial"/>
        <family val="0"/>
        <charset val="1"/>
      </rPr>
      <t xml:space="preserve">- **Itzulpengintzaren eragina** bere idazteko eran islatzen da, sortzailetasunaren ariketa moduan.  
</t>
    </r>
    <r>
      <rPr>
        <sz val="9"/>
        <color rgb="FF000000"/>
        <rFont val="Arial"/>
        <family val="0"/>
        <charset val="1"/>
      </rPr>
      <t xml:space="preserve">- **Sariketekiko harreman konplexua** du; sariak aukera bezala ikusten ditu, baina ez zaizkio guztiz erosoak iruditzen.  
- **Kritika soziala**: Triunfalismoa baztertzen du, eta UPNren politikekiko jarrera kritikoa azaltzen du.  
Laburbilduz, Iñigo Satrustegi idazle gaztea da, </t>
    </r>
    <r>
      <rPr>
        <strike val="true"/>
        <sz val="9"/>
        <color rgb="FF000000"/>
        <rFont val="Arial"/>
        <family val="0"/>
        <charset val="1"/>
      </rPr>
      <t xml:space="preserve">literatura eta zaintzaren inguruko gai sakonak jorratzen dituena estilo pertsonal eta berritzaile batekin.</t>
    </r>
  </si>
  <si>
    <r>
      <rPr>
        <sz val="9"/>
        <color rgb="FF000000"/>
        <rFont val="Arial"/>
        <family val="0"/>
        <charset val="1"/>
      </rPr>
      <t xml:space="preserve">Iñigo Satrustegi (Iruñea, 1997) irabazi du Egile Berrientzako Iruñeko Literatur Lehiaketa, **"Oheak gordetzen duena"** izeneko narrazioarekin, heriotzaren inguruko egoerak aztertuz. Aipamen berezia jaso du poesia sailean, **"Ebakiduraariketak"** lanarekin. </t>
    </r>
    <r>
      <rPr>
        <strike val="true"/>
        <sz val="9"/>
        <color rgb="FF000000"/>
        <rFont val="Arial"/>
        <family val="0"/>
        <charset val="1"/>
      </rPr>
      <t xml:space="preserve">Itzulpengintzak eragina izan du bere idazkera sentsorialean</t>
    </r>
    <r>
      <rPr>
        <sz val="9"/>
        <color rgb="FF000000"/>
        <rFont val="Arial"/>
        <family val="0"/>
        <charset val="1"/>
      </rPr>
      <t xml:space="preserve">, eta zaintza eta familia gaiak jorratu ditu. Narrazioaren protagonistaren generoa ez da argitzen, irakurketa irekiagoa izateko. Literatura eta sariak bere bideak ireki dizkioten arren, kritiko agertu da literatur munduarekin eta gizarte gai batzuekin.</t>
    </r>
  </si>
  <si>
    <t xml:space="preserve">Hona hemen laburtutako testua:
Maitane Azurmendi margolariak Durangaldeko 15 emakumeren erretratuak egin ditu, WikiEmakumeok proiektuaren baitan. Erakusketa Durangoko Arte eta Historia Museoan dago ikusgai ostiraletik aurrera. Emakume aitzindarien aurpegia jartzea du helburu, gehienak historian aintzat hartuak ez diren arren. Azurmendik emakume horien historia ikertu eta zuri-beltzeko estiloan marraztu ditu, nahiz eta salbuespen batzuetan kolorea erabili duen, hala nola Elbira Inurrietaren kasuan. 
Artista txikitatik marrazten hasi zen eta irudien bidez istorioak kontatzeko duen gaitasuna nabarmendu du, hizkuntza unibertsal gisa. Besteak beste, Palestinaren egoera eta memoria historikoa irudikatzeko ere baliatu du bere lana. Azurmendik autoretratuak ere egin ditu, eta bihotzetik sortzen dituela dio. Halaber, emakume erreferenteen eta gertuko istorioen bidez ikusgarritasuna ematearen garrantzia azpimarratu du.</t>
  </si>
  <si>
    <t xml:space="preserve">Testuaren laburpena:
Maitane Azurmendi margolariak Durangaldeko hamabost emakumeren erretratuak egin ditu WikiEmakumeok proiekturako, haien ekarpenak eta istorioak ezagutarazteko. Emakume horiek, historiatik baztertuta egon arren, lorpen garrantzitsuak izan dituzte, eta margolariak zuri-beltzeko marrazkien bidez haiei aurpegia jarri die, ikusgaitasuna emanez. Bere lanek memoria historikoa azpimarratu eta salaketa soziala egiteko ere balio dute. Azurmendiren estiloa zuri-beltza da, nahiz eta marrazki batzuetan kolore ukituak sartzen dituen bereziki azpimarratzeko elementuak. Marrazketa hizkuntza unibertsal gisa erabiltzen du, emozioak eta istorioak adierazteko modu gisa.</t>
  </si>
  <si>
    <r>
      <rPr>
        <sz val="9"/>
        <color rgb="FF000000"/>
        <rFont val="Arial"/>
        <family val="0"/>
        <charset val="1"/>
      </rPr>
      <t xml:space="preserve">Hona hemen testuaren laburpena 5W1H metodoa erabiliz:
### **Zer (What):**
Durangaldeko 15 emakumeren erretratuak egin ditu Maitane Azurmendi margolariak, emakume ezezagun eta baztertuei ikusgaitasuna emateko asmoz. Zuri-beltzeko marrazkien bidez, historia hurbil eta urruneko emakumeen istorioak kontatzen ditu.
### **Nork (Who):**
Maitane Azurmendi (Mungia, Bizkaia, 1978) margolariak egin ditu marrazkiak, WikiEmakumeok proiektuko kideek proposatuta.
### **Noiz (When):**
Erakusketa ostiraletik ikusgai dago Durangoko Arte eta Historia Museoan.
### **Non (Where):**
Durangaldeko emakumeen istorioetan oinarritu da Azurmendi, eta erakusketa Durangoko Arte eta Historia Museoan dago ikusgai.
### **Zergatik (Why):**
Emakume horiek, lorpen handiak izan arren, historian ahaztuak izan dira. Azurmendik emakumeei ikusgaitasuna eman nahi die, haien ekarpenak ezagutarazteko eta gizartearen memorian lekua izan dezaten.
### **Nola (How):**
Zuri-beltzeko marrazkien bidez, irudi sinple baina indartsuak sortzen ditu. Kolore gabezia da bere sinadura, nahiz eta batzuetan ukitu txikiak gehitu. Emakumeen aurpegiak ilustratzen ditu, artelanaren bidez istorioak kontatuz. 
### Gehigarriak:
- **Irudietako emakumeak:** Erraketistak, emaginak </t>
    </r>
    <r>
      <rPr>
        <strike val="true"/>
        <sz val="9"/>
        <color rgb="FF000000"/>
        <rFont val="Arial"/>
        <family val="0"/>
        <charset val="1"/>
      </rPr>
      <t xml:space="preserve">eta harri-jasotzaileak </t>
    </r>
    <r>
      <rPr>
        <sz val="9"/>
        <color rgb="FF000000"/>
        <rFont val="Arial"/>
        <family val="0"/>
        <charset val="1"/>
      </rPr>
      <t xml:space="preserve">bezalako emakume ausartak dira.
- **Inspirazioa eta prozesua:** Ikerketa egiten du izenak jasotzean eta haien istorioak berreraikitzen ditu irudi bidez.
- **Artearen zentzua:** Azurmendik irudiekin adierazten ditu hitzez ezin azaltzeko moduko ideiak eta sentimenduak.
Testuak Maitane Azurmendiren lana eta ikuspegi artistikoa modu konplexu eta aberatsean azaltzen du.</t>
    </r>
  </si>
  <si>
    <t xml:space="preserve">Maitane Azurmendi artistak Durangaldeko hamabost emakumeren erretratuak egin ditu zuri-beltzean, WikiEmakumeok proiektuaren enkarguz. Erakusketa Durangoko Arte eta Historia Museoan ikus daiteke. Erretratuen bidez, historian baztertuta egon diren eta aurpegirik ez duten emakumeen ekarpenak ezagutaraztea eta balioestea du helburu. Azurmendik istorioak irudien bidez kontatzea du gustuko, eta horretarako estilo bisual eta unibertsala erabiltzen du. Adierazi duenez, emakume horien bizitzak eta lorpenak ikertzea eta marraztea esperientzia hunkigarria izan da berarentzat.</t>
  </si>
  <si>
    <r>
      <rPr>
        <sz val="9"/>
        <color rgb="FF000000"/>
        <rFont val="Arial"/>
        <family val="0"/>
        <charset val="1"/>
      </rPr>
      <t xml:space="preserve">Hona hemen laburtutako testua:
**Laburtua:**
Agoizko Lehen Instantziako Epaitegiko epaileak etxeko atxiloaldia ezarri dio Labion 83 urteko gizon bati, semea hil ostean. Hilketa delitua egotzi diote, baina ez diote komunikatzeko eskubidea mugatu ezta bermerik ezarri ere. Aita 55 urteko semea tiroz hil zuen bere etxean, eta osasun egoera dela eta, epaileak espetxea saihesteko erabakia hartu du.
Epailearen arabera, semea aitaren etxera joan zen ostiral goizaldean, 200 euro eskatzera, eta labanaz mehatxatu zuen. Geroago, aita eskopeta batekin semea tiroz hil zuen, semea labana hartzen saiatu ostean. Fiskalak espetxe arindua eskatu du ihes egiteko eta frogak suntsitzeko arriskua argudiatuz, baina epaileak etxeko atxiloaldia </t>
    </r>
    <r>
      <rPr>
        <strike val="true"/>
        <sz val="9"/>
        <color rgb="FF000000"/>
        <rFont val="Arial"/>
        <family val="0"/>
        <charset val="1"/>
      </rPr>
      <t xml:space="preserve">mantendu</t>
    </r>
    <r>
      <rPr>
        <sz val="9"/>
        <color rgb="FF000000"/>
        <rFont val="Arial"/>
        <family val="0"/>
        <charset val="1"/>
      </rPr>
      <t xml:space="preserve"> du, delituaren larritasuna eta ihes egiteko tentazioa kontuan hartuta.</t>
    </r>
  </si>
  <si>
    <r>
      <rPr>
        <sz val="9"/>
        <color rgb="FF000000"/>
        <rFont val="Arial"/>
        <family val="0"/>
        <charset val="1"/>
      </rPr>
      <t xml:space="preserve">83 urteko gizon bati etxeko atxiloaldia ezarri diote semea hil izanagatik, Nafarroako Agoizko epailearen ebazpenaren ondorioz. Semeak dirua eskatu zion bi aldiz labana erabiliz </t>
    </r>
    <r>
      <rPr>
        <strike val="true"/>
        <sz val="9"/>
        <color rgb="FF000000"/>
        <rFont val="Arial"/>
        <family val="0"/>
        <charset val="1"/>
      </rPr>
      <t xml:space="preserve">mehatxupean</t>
    </r>
    <r>
      <rPr>
        <sz val="9"/>
        <color rgb="FF000000"/>
        <rFont val="Arial"/>
        <family val="0"/>
        <charset val="1"/>
      </rPr>
      <t xml:space="preserve">. Aitak uko egin zion eta eskopetarekin tiroz hil zuen. Epaileak erabaki du gizona ez dagoela espetxean sartzeko moduan bere osasun egoera larria dela eta. Fiskalak ihes egiteko arriskua azpimarratu duen arren, defentsak ukatu du arriskurik dagoenik. Epaileak, azkenean, etxeko atxiloaldia ezarri dio, ihes egiteko arriskua eta ekintzaren bortizkeria kontuan hartuta.</t>
    </r>
  </si>
  <si>
    <r>
      <rPr>
        <sz val="9"/>
        <color rgb="FF000000"/>
        <rFont val="Arial"/>
        <family val="0"/>
        <charset val="1"/>
      </rPr>
      <t xml:space="preserve">Hona hemen testua laburtua 5W1H metodoa erabiliz:  
**Zer:** 83 urteko gizon batek bere semea tiroz hil du, eta epaileak etxeko atxiloaldia ezarri dio hilketa delituagatik.  
**Nork:** 83 urteko gizona, bere 55 urteko semea hil duena.  
**Noiz:** </t>
    </r>
    <r>
      <rPr>
        <strike val="true"/>
        <sz val="9"/>
        <color rgb="FF000000"/>
        <rFont val="Arial"/>
        <family val="0"/>
        <charset val="1"/>
      </rPr>
      <t xml:space="preserve">Igandean</t>
    </r>
    <r>
      <rPr>
        <sz val="9"/>
        <color rgb="FF000000"/>
        <rFont val="Arial"/>
        <family val="0"/>
        <charset val="1"/>
      </rPr>
      <t xml:space="preserve"> gertatu zen hilketa, eta gizona gaur pasatu da epailearen aurretik.  
**Non:** Gertaera Labion (Nafarroa), aitak semearen aurkako tiroak bere etxean egin baitzituen.  
**Zergatik:** Semeak aitari dirua eskatu zion mehatxupean (200 euro), eta labana jarri zion lepoan. Aitak dirua ez ematea erabaki zuen, eta semea arma hartu zuenean, tiro egin zion.  
**Nola:** Aitak eskopeta hartu, hiru kartutxo kargatu, eta semea sofa ohean zegoela hiru tiro egin zizkion: bi bihotzaren parean eta bat aurpegian.  
Epaileak osasun arrazoiengatik espetxea baztertu du, baina ihes egiteko arriskua argudiatuta, etxeko atxiloaldia ezarri dio.</t>
    </r>
  </si>
  <si>
    <r>
      <rPr>
        <sz val="9"/>
        <color rgb="FF000000"/>
        <rFont val="Arial"/>
        <family val="0"/>
        <charset val="1"/>
      </rPr>
      <t xml:space="preserve">Agoizko Lehen Instantziako Epaitegiak etxeko atxiloaldia ezarri dio Labion (Nafarroa) semea tiroz hil zuen 83 urteko aitari, haren osasun egoera dela eta. Epaileak hilketa delitua egotzi dio, eta ihes egiteko arriskua dagoela uste du. Fiskalak espetxe arindua eskatu badu ere, epaileak etxeko atxiloaldia mantendu du. Aitak semea hil zuen </t>
    </r>
    <r>
      <rPr>
        <strike val="true"/>
        <sz val="9"/>
        <color rgb="FF000000"/>
        <rFont val="Arial"/>
        <family val="0"/>
        <charset val="1"/>
      </rPr>
      <t xml:space="preserve">200 euro eskatzeari uko egin ondoren</t>
    </r>
    <r>
      <rPr>
        <sz val="9"/>
        <color rgb="FF000000"/>
        <rFont val="Arial"/>
        <family val="0"/>
        <charset val="1"/>
      </rPr>
      <t xml:space="preserve">; semeak labana jarri zion lepoan bi aldiz. Aitak eskopeta hartu eta semeari hiru tiro egin zizkion, bihotzean eta aurpegian.</t>
    </r>
  </si>
  <si>
    <r>
      <rPr>
        <sz val="9"/>
        <color rgb="FF000000"/>
        <rFont val="Arial"/>
        <family val="0"/>
        <charset val="1"/>
      </rPr>
      <t xml:space="preserve">Azaroaren 21ean urteko emaitzak eta etorkizuneko plan estrategikoa aurkeztuko ditu Siemens Gamesak. Data hori gorriz markatua dute egutegian enpresa eoliko horretako ELAren ordezkariek. Azken bi urteetan, sektoreko erronka teknologikoak, Txinako enpresen lehia desleiala eta kostuen igoerak errentagarritasun arazo larriak eragin dizkiete lurreko haize errotak ekoizten dituzten hiru enpresa nagusiei, tartean Siemens Gamesari. Langileak kezkatuta daude, lanpostu galerak iragarri litezkeelako, eta sektorea bera arriskuan dagoela ikusten dute.
Beldur horiek ez dira hutsalak. Reuters agentziak zabaldu du Siemens taldea aztertzen ari dela Siemens Gamesaren fabrikak eta bulegoak saltzea. Horrek fabrikazioaren funtsezko atal batzuk, hala nola haize erroten hegalak, azpikontratatzeko aukera ekarriko luke. Hala ere, kezkagarritzat jo dute horrek lehiakortasun teknologikoa eta lanpostuak Txinaren moduko herrialdeen esku uztea ekar dezakeelako.
Carlos Matutek eta Josean Hernandezek, Siemens Gamesako ordezkariek, eta Puy Remirezek, ELA Industriako ordezkariak, agerraldi batean azaldu dute zuzendaritzaren mezu lasaigarriak ez direla fidagarriak. Adibidez, bertako hainbat hornitzaile azpikontratazio zerrendatik kanpo utzi dituzte, eta presioak handitzen ari dira prezioak jaisteko. </t>
    </r>
    <r>
      <rPr>
        <strike val="true"/>
        <sz val="9"/>
        <color rgb="FF000000"/>
        <rFont val="Arial"/>
        <family val="0"/>
        <charset val="1"/>
      </rPr>
      <t xml:space="preserve">«Hornitzaileak mehatxatuta daude; produkzioa kanporatzen ari da eta negozio marjinak urriak dira»</t>
    </r>
    <r>
      <rPr>
        <sz val="9"/>
        <color rgb="FF000000"/>
        <rFont val="Arial"/>
        <family val="0"/>
        <charset val="1"/>
      </rPr>
      <t xml:space="preserve">, azaldu du Matutek.
Sektore eolikoak trantsizio energetikoaren testuinguruan garapen aukerak izan beharko lituzkeela dirudien arren, kontrako errealitatea nabarmentzen dute. Kostuen igoerek eta lehia teknologikoak —potentzia eta tamaina handiagoko errotak merkeago ekoizteko— Asiako enpresak mesedetzen dituzte, bereziki Txinakoak. Txinako Gobernuaren babesari esker «lehia desleiala» egiten ari direla salatu dute, eta horrek Europako ekoizleak kaltetu ditu.
ELAren ustez, sektorea babesteko neurriak ezinbestekoak dira, tokiko produkzioa lehenetsiz parke eolikoak adjudikatzean. Ursula von der Leyenek, Europako Batzordeko presidenteak, sektorea babesteko adierazpenak egin ditu, baina ELAk gogorarazi du babes neurrietan deslokalizazioaren aurkako baldintzak txertatu behar direla.
Siemens Gamesak 2.900 pertsonari ematen die lana Hego Euskal Herrian, eta ELAk Nafarroako Gobernuari eta Eusko Jaurlaritzari eskatu die sektore estrategiko hau babestu dezatela. Orain arteko erantzunak «hitz hutsalak» izan direla kritikatu dute. «Aurrez jokatu eta bertako sektorea babestu behar da», esan dute. Gobernu eta eragile politikoekin bilerak eskatuko dituztela iragarri dute datozen asteetan.</t>
    </r>
  </si>
  <si>
    <r>
      <rPr>
        <sz val="9"/>
        <color rgb="FF000000"/>
        <rFont val="Arial"/>
        <family val="0"/>
        <charset val="1"/>
      </rPr>
      <t xml:space="preserve">**Laburpena:**
Siemens Gamesak azaroaren 21ean bere urteko emaitzak eta etorkizuneko plan estrategikoa aurkeztuko ditu. Sektore eolikoan errentagarritasun arazo larriak daude, kostuen igoera, lehia teknologikoa eta Txinako enpresen lehia desleialaren ondorioz. Siemens Gamesak lanpostu galera handi bat iragar dezakeen beldurra dago, </t>
    </r>
    <r>
      <rPr>
        <strike val="true"/>
        <sz val="9"/>
        <color rgb="FF000000"/>
        <rFont val="Arial"/>
        <family val="0"/>
        <charset val="1"/>
      </rPr>
      <t xml:space="preserve">eta sektorea arriskuan ikusten dute</t>
    </r>
    <r>
      <rPr>
        <sz val="9"/>
        <color rgb="FF000000"/>
        <rFont val="Arial"/>
        <family val="0"/>
        <charset val="1"/>
      </rPr>
      <t xml:space="preserve">. Gainera, Siemens Gamesak fabrikak eta bulegoak saltzea aztertzen ari dela jakinarazi du Reuters agentziak, </t>
    </r>
    <r>
      <rPr>
        <strike val="true"/>
        <sz val="9"/>
        <color rgb="FF000000"/>
        <rFont val="Arial"/>
        <family val="0"/>
        <charset val="1"/>
      </rPr>
      <t xml:space="preserve">eta horrek azpikontratazio gehiago ekarriko lukeela adierazi dute.
</t>
    </r>
    <r>
      <rPr>
        <sz val="9"/>
        <color rgb="FF000000"/>
        <rFont val="Arial"/>
        <family val="0"/>
        <charset val="1"/>
      </rPr>
      <t xml:space="preserve">
ELA sindikatuak enpresa eta sektorea babesteko neurriak eskatu ditu, tokiko produkzioa lehenetsiz eta deslokalizazioaren aurka jarduteko. Eusko Jaurlaritzari eta Nafarroako Gobernuari kritikatu diete ezer gutxi egiten dutela sektore estrategikoa babesteko, eta bilerak eskatuko dituzte. Siemens Gamesak 2.900 langile ditu Hego Euskal Herrian, eta bertako sektore eolikoa babestea premiazkoa dela azpimarratu dute.</t>
    </r>
  </si>
  <si>
    <r>
      <rPr>
        <sz val="9"/>
        <color rgb="FF000000"/>
        <rFont val="Arial"/>
        <family val="0"/>
        <charset val="1"/>
      </rPr>
      <t xml:space="preserve">Hona hemen 5W1H metodoa erabiliz laburtutako testua:  
### **Zer?**  
Siemens Gamesak urteko emaitzak eta etorkizuneko plan estrategikoa aurkeztuko ditu. Enpresa sektore eolikoaren errentagarritasun arazo larriak aipatzen dira, eta ELAk sektorea babesteko eskaria egiten du.  
### **Nork?**  
- Siemens Gamesa.  
- Carlos Matute eta Josean Hernandez (Siemens Gamesako ordezkariak).  
- Puy Remirez (ELA Industriako ordezkaria).  
- Ursula Von der Leyen (Europako Batzordeko presidentea).  
- ELA sindikatua.  
### **Noiz?**  
- Azaroaren 21ean aurkeztuko dira emaitzak eta plan estrategikoa.  
- Urriaren 24an Europako Batzordeak sektorearentzako </t>
    </r>
    <r>
      <rPr>
        <strike val="true"/>
        <sz val="9"/>
        <color rgb="FF000000"/>
        <rFont val="Arial"/>
        <family val="0"/>
        <charset val="1"/>
      </rPr>
      <t xml:space="preserve">babes neurriak</t>
    </r>
    <r>
      <rPr>
        <sz val="9"/>
        <color rgb="FF000000"/>
        <rFont val="Arial"/>
        <family val="0"/>
        <charset val="1"/>
      </rPr>
      <t xml:space="preserve"> aurkeztuko ditu.  
- Datozen asteetan bilerak eskatuko dituzte.  
### **Non?**  
- Siemens Gamesak Hego Euskal Herrian 2.900 laguni ematen die lana.  
- Espainian hainbat proiektu sustatzen ari dira.  
- Europan eta Txinan merkatu lehiakorra nabarmentzen da.  
### **Zergatik?**  
- Kostuen igoera, sektoreko lasterketa teknologikoa eta Txinako enpresen lehia desleiala direla eta, sektoreak errentagarritasun arazo larriak ditu.  
- Lanpostu galerak eta deslokalizazioa saihestu nahi dira.  
- Energia trantsizioan sektore estrategiko gisa babestu behar dela uste dute.  
### **Nola?**  
- Siemens Gamesak plan estrategikoa aurkeztuko du.  
- ELAk sektorea babesteko eskatu du, tokiko produkzioa lehenetsiz eta babes neurriak indartuz.  
- Nafarroako Gobernuari eta Eusko Jaurlaritzari laguntza eskatuko diete bileretan.  </t>
    </r>
  </si>
  <si>
    <t xml:space="preserve">Azaroaren 21ean Siemens Gamesak urteko emaitzak eta etorkizuneko plan estrategikoa aurkeztuko ditu, eta ELA sindikatuak kezka handia agertu du, lanpostu galerak eta deslokalizazioa iragarri daitezkeelako. Sektore eolikoa krisian dago kostuen igoerak, Txinako lehiakideen lehia desleialak eta teknologia lasterketak eraginda. Reutersen arabera, Siemens Gamesak bere fabriken salmenta aztertzen ari da, osagai batzuk azpikontratatzeko helburuarekin. ELAk salatu du sektorearen babes falta eta eskatu du tokiko produkzioa lehenestea parke eolikoak adjudikatzerakoan, baita Europak eta bertako gobernuek neurri zehatzak har ditzatela sektore estrategikoa babesteko. Siemens Gamesak Hego Euskal Herrian 2.900 pertsonari ematen die lana.</t>
  </si>
  <si>
    <t xml:space="preserve">Idoia Torregarai, umorearen eta laburtasunaren maisua
Idoia Torregarai (Usurbil, Gipuzkoa, 1974) UEUko komunikazio arduraduna da ofizioz, baina umorea du ardatz bere ospea irabazteko. Idazle gisa, sare sozialetan urratu du bidea, Twitter bereziki tresna egokia bilakatu zaio, bertako 140 karaktereko muga bere sormenaren alde erabiliz. Urteen poderioz, ehunka perla sortu ditu txioen bidez, eta horietako asko **Mikroipuinak** liburuan bildu ditu, Zaldieroaren ilustrazioek lagunduta, Elkar argitaletxearen eskutik.
Torregarairen txioek eguneroko errealitatea modu berezian irudikatzeko gaitasuna dutela dio Xabier Mendiguren editoreak. Ez da ohiko ikuspegia, baizik eta begirada kontrakoa, umorea eta lirismoa uztartuz, hitz gutxitan edertasuna eta ezustea eskaintzen duen piezak sortuz.  
**Auzolana eta inspirazioa**
Liburua argitaratzeko ideia Patxi Uharte Zaldieroaren (Faltzes, Nafarroa, 1966) ekimenetik sortu zen. Zaldieroak Torregarairen txioak bere komiki zintetan eraman zituen, eta lankidetza horretatik jaio zen liburua osatzeko asmoa. Liburuak formatu txikia du, eta mikroipuinek ez dute ilustrazio gehiegizko kargarik. Zaldieroaren arabera, minimalismoak eta espazio zuriak irudimena pizten laguntzen dute. Ilustratu gabeko orrialdeak irakurleak bere marrazkiak egiteko gonbita dira.  
**Obsesioak eta estiloa**
Liburuak 150 mikroipuin biltzen ditu, non eguneroko gaiak eta egilearen obsesioak tartekatzen diren: janaria, maitasuna, poltsa beroa... Sortze prozesua momentuko inspirazioak gidatzen du batzuetan, eta beste batzuetan, istorioak su txikian lantzen dira. Aukeraketa lan zorrotz baten emaitza izan da liburua, sarean 12 urtez pilatutako ehunka txiotatik iragazi eta landua.  
**Idaztea, sare sozialen bidez**
Kazetaritza ikasi zuen idazketari bide emateko asmoz, baina Twitterren topatu du bere espazio naturala. Hasieran, alter ego bat, **Josunestilist**, baliatu zuen bere burutapenak inkognito plazaratzeko, eta hortik sortu ziren **#mikroipuin** traolarekin sinatutako istorioak. Sare sozialetako moztasunak bide berriak ireki zizkion idazketan, azkenean, burutazio laburrak literatur bihurtu arte.  
Torregarairen eta Zaldieroaren arteko elkarlanak lan berri eta originala ekarri digu: ipuin laburren artean laburrenak, literatura izatera iritsi diren esaldi eskasak. **Mikroipuinak** liburua testuaren eta irudien arteko uztarketa da, minimalismoaren eta irakurlearen parte-hartzearen aldeko aldarrikapena. </t>
  </si>
  <si>
    <t xml:space="preserve">**Laburpena:**
Idoia Torregarai (1974, Usurbil) UEUko komunikazio arduraduna da, baina umoreagatik eta idazle gisa sare sozialetan lortutako ospeagatik da ezaguna. Twitterren 140 karaktereko mugan oinarrituz, mikroipuinak sortu ditu, eta horietako batzuk *Mikroipuinak* liburuan bildu ditu, Patxi Uharte Zaldieroaren ilustrazioekin lagunduta. Liburuak eguneroko errealitatearen alderdi ezkutuak umore eta lirismoz erakusten ditu, 150 mikroipuinekin.
Torregarai kazetaria ere bada, eta Twitterren idazteko estilo laburra bereziki gustuko du, sormena bideratzeko bide bihurtuz. *Mikroipuinak* liburua sarean partekatu dituen istorioen aukeraketa bat da, Zaldieroarekin elkarlanean egina. Liburuak forma txikia eta minimalista du, eta irakurleak bere marrazkiak sortzera animatzen ditu. Istorioek gai ugari biltzen dituzte, hala nola janaria, maitasuna eta eguneroko beste xehetasunak.</t>
  </si>
  <si>
    <t xml:space="preserve">**5W1H metodoa aplikatuz laburtua:**
- **Zer:**  
  Idoia Torregarai idazlearen eta umoristaren **Mikroipuinak** liburuaren sorrera eta edukia. Liburuan, 150 mikroipuin biltzen dira, egunerokotasunari buruzko umorezko eta lirismozko testuekin.
- **Nork:**  
  Idoia Torregarai (idazlea eta kazetaria) eta Patxi Uharte Zaldieroa (ilustratzailea). Xabier Mendiguren editoreak ere parte hartu du.
- **Noiz:**  
  Liburua azken urteotan sortu da, Torregarairen sare sozialetan zabaldutako mikroipuinak biltzearekin lotuta. Prozesua duela bi urte inguru hasi zen.
- **Non:**  
  Euskal Herrian; testuinguruan, Twitter sare soziala izan da abiapuntua, eta liburua Elkar argitaletxeak plazaratu du.
- **Zergatik:**  
  Torregarairen helburua umorea eta sormena testu laburren bidez plazaratzea izan da, baita eguneroko errealitatearen alderdi ezkutuak agerian uztea ere. Zaldieroaren interesak eta komunitatearen iritziek proiektu hau bultzatu dute.
- **Nola:**  
  Sare sozialetan argitaratutako txioak arakatuz eta hautatuz, Zaldieroaren ilustrazioekin osatuz, eta minimalistari eutsiz. Liburuak tamaina txikia eta estetika garbia ditu, irakurlearen sormena pizteko asmoz.</t>
  </si>
  <si>
    <r>
      <rPr>
        <sz val="9"/>
        <color rgb="FF000000"/>
        <rFont val="Arial"/>
        <family val="0"/>
        <charset val="1"/>
      </rPr>
      <t xml:space="preserve">Idoia Torregarai (Usurbil, 1974) kazetaria eta UEUko komunikazio arduraduna da, baina bereziki umoregilea eta idazlea da ezaguna. Twitterren bidez, 140 karaktereko muga sormen tresna bihurtuz, mikroipuinak sortu ditu. Perla horietako batzuk **_Mikroipuinak_** liburuan bildu ditu, Zaldieroaren ilustrazioekin, Elkar argitaletxearen bidez.
Liburuan, eguneroko errealitatea umorez eta lirismoz erretratatzen duten 150 istorio labur daude, janaria, maitasuna eta bestelako gai txikiak ardatz dituztela. Txio bilduma honek sare sozialetako testu motzetatik literatura labur eta ederrera jauzi egin du.
Torregarai idaztea helburu izan duen kazetaria da, baina Twitterrek euskal komunitatearen artean bere tokia aurkitzea ahalbidetu zion. Hasieran "Josunestilist" alter egoarekin idazten zuen. </t>
    </r>
    <r>
      <rPr>
        <strike val="true"/>
        <sz val="9"/>
        <color rgb="FF000000"/>
        <rFont val="Arial"/>
        <family val="0"/>
        <charset val="1"/>
      </rPr>
      <t xml:space="preserve">Duela bi urte</t>
    </r>
    <r>
      <rPr>
        <sz val="9"/>
        <color rgb="FF000000"/>
        <rFont val="Arial"/>
        <family val="0"/>
        <charset val="1"/>
      </rPr>
      <t xml:space="preserve"> Zaldieroaren laguntzaz liburu bihurtu ditu bere txioak, "lerro eskasak literatura bihurtuz".</t>
    </r>
  </si>
  <si>
    <r>
      <rPr>
        <sz val="9"/>
        <color rgb="FF000000"/>
        <rFont val="Arial"/>
        <family val="0"/>
        <charset val="1"/>
      </rPr>
      <t xml:space="preserve">Hona hemen laburtutako testua:
Guardia Zibilak Euskal Herrian Europako speed laborategirik handiena desegin duela jakinarazi du, 800 kilo speed, 8 kilo MDMA eta 180.000 euro eskudirutan konfiskatuz. Operazioan zortzi gizonezko atxilotu dituzte Nafarroan, Gipuzkoan, Leonen eta Madrilen; denak espetxean daude. Halaber, hainbat tresna eta ibilgailu konfiskatu dituzte, eta </t>
    </r>
    <r>
      <rPr>
        <strike val="true"/>
        <sz val="9"/>
        <color rgb="FF000000"/>
        <rFont val="Arial"/>
        <family val="0"/>
        <charset val="1"/>
      </rPr>
      <t xml:space="preserve">harrapatutako drogen balioa 55 milioi euro baino gehiagokoa dela diote</t>
    </r>
    <r>
      <rPr>
        <sz val="9"/>
        <color rgb="FF000000"/>
        <rFont val="Arial"/>
        <family val="0"/>
        <charset val="1"/>
      </rPr>
      <t xml:space="preserve">.
Operazioa iazko ekainean hasi zen, Zuastiko ordainlekuan 40 kilo speed zeramatzan gizon bat atxilotzean. Ondoren, speeda zeramaten beste hainbat ibilgailu atzeman zituzten Berriobeitin eta Zarautzen. Ikerketen bidez, Donostia kanpoaldeko bulego batzuetan zegoen laborategira iritsi dira. Madrilen eta beste leku batzuetan egindako atxiloketekin amaitu dute operazioa.
Konfiskatutako materialak honakoak dira: 770 kilo speed, 8 kilo MDMA, 500 gramo haxix, 75 kilo kafeina, 88 litro anfetamina likido, 800 litro azido eta alkohol, 185.355 euro eskudirutan, bi aizto, errebolber bat eta 12 ibilgailu.</t>
    </r>
  </si>
  <si>
    <r>
      <rPr>
        <sz val="9"/>
        <color rgb="FF000000"/>
        <rFont val="Arial"/>
        <family val="0"/>
        <charset val="1"/>
      </rPr>
      <t xml:space="preserve">**Laburpena:** Guardia Zibilak Euskal Herrian Europako speed laborategirik handiena desegin du. Operazioan, 800 kilo speed, 8 kilo MDMA, eta 180.000 euro eskudirutan konfiskatu dituzte, eta zortzi gizonezko atxilotu dituzte hainbat lekutan. </t>
    </r>
    <r>
      <rPr>
        <strike val="true"/>
        <sz val="9"/>
        <color rgb="FF000000"/>
        <rFont val="Arial"/>
        <family val="0"/>
        <charset val="1"/>
      </rPr>
      <t xml:space="preserve">Harrapatutako drogen balioa 55 milioi eurotik gorakoa izango litzateke merkatuan</t>
    </r>
    <r>
      <rPr>
        <sz val="9"/>
        <color rgb="FF000000"/>
        <rFont val="Arial"/>
        <family val="0"/>
        <charset val="1"/>
      </rPr>
      <t xml:space="preserve">. Ikerketa iazko ekainean hasi zen, eta Donostiako kanpoaldean aurkitutako laborategira iritsi dira. Droga eta tresneria ugari atzeman dituzte, besteak beste, 770 kilo speed, 8 kilo MDMA, eta hainbat substantzia aitzindari.</t>
    </r>
  </si>
  <si>
    <r>
      <rPr>
        <sz val="9"/>
        <color rgb="FF000000"/>
        <rFont val="Arial"/>
        <family val="0"/>
        <charset val="1"/>
      </rPr>
      <t xml:space="preserve">Hona hemen testua laburtuta 5W1H metodoa erabiliz:
### **1. Zer?**  
Europako speed laborategirik handiena desegin dute. Operazioan, droga, tresneria eta diru kopuru handiak konfiskatu dira, eta hainbat pertsona atxilotu.
### **2. Nork?**  
Guardia Zibilak, Espainiako Gobernuaren Nafarroako ordezkaritzaren laguntzarekin.
### **3. Noiz?**  
Operazioa iazko ekainean hasi zen, eta gaur jakinarazi dira emaitzak Iruñean egindako agerraldian.
### **4. Non?**  
- Laborategia: Donostia kanpoaldeko bulego batzuetan.  
- Atxiloketak: Nafarroa, Gipuzkoa, Leon (Espainia) eta Madril.  
- Hasierako atxiloketak: Zuastiko ordainlekua, Berriobeiti eta Zarautz.
### **5. Zergatik?**  
Droga sare handi bat desegiteko, </t>
    </r>
    <r>
      <rPr>
        <strike val="true"/>
        <sz val="9"/>
        <color rgb="FF000000"/>
        <rFont val="Arial"/>
        <family val="0"/>
        <charset val="1"/>
      </rPr>
      <t xml:space="preserve">merkatu beltzean 55 milioi euroko balioa izango luketen substantziak zirkulaziotik ateratzeko</t>
    </r>
    <r>
      <rPr>
        <sz val="9"/>
        <color rgb="FF000000"/>
        <rFont val="Arial"/>
        <family val="0"/>
        <charset val="1"/>
      </rPr>
      <t xml:space="preserve">.
### **6. Nola?**  
- Ikertzaileek jarraipen eta barrandatze lanak egin zituzten.  
- Hasierako atxiloketek informazioa eman zuten sare handiago bat antzemateko.  
- Droga eta tresneria desberdinak konfiskatu dira: speed, MDMA, haxix, substantzia aitzindariak, armak eta eskudirua.
Laburpen honekin istorioaren gakoak erraz ulertzeko moduan geratzen dira. 😊</t>
    </r>
  </si>
  <si>
    <t xml:space="preserve">Guardia Zibilak «Europako speed laborategirik handiena» desegin du Euskal Herrian, Donostiako kanpoaldean. 800 kilo speed, 8 kilo MDMA eta 180.000 euro konfiskatu dituzte, eta zortzi pertsona atxilotu dituzte Nafarroan, Gipuzkoan, Leonen eta Madrilen; guztiak espetxeratu dituzte. Operazioa iazko ekainean hasi zen, eta laborategira heltzeko hainbat atxiloketa eta jarraipen egin dituzte. Aurkitutako materialen artean daude: droga kantitate handiak, substantzia aitzindariak, ibilgailuak eta armak. Harrapatutakoaren balioa 55 milioi eurokoa dela estimatzen dute.</t>
  </si>
  <si>
    <r>
      <rPr>
        <sz val="9"/>
        <color rgb="FF000000"/>
        <rFont val="Arial"/>
        <family val="0"/>
        <charset val="1"/>
      </rPr>
      <t xml:space="preserve"> 2020ko otsailaren 29an, Murgako Zorroza Gestion de Residuos enpresan lan egiten ari zen langile bat hil zen istripu batean. Aste honetan, gertakariari buruzko ebazpena jakin da: enpresak urte eta erdiko kartzela zigorra onartu du eta 30.000 euroko kalte-ordaina ordainduko du. Langilea teilatura igotzea agindu zioten </t>
    </r>
    <r>
      <rPr>
        <strike val="true"/>
        <sz val="9"/>
        <color rgb="FF000000"/>
        <rFont val="Arial"/>
        <family val="0"/>
        <charset val="1"/>
      </rPr>
      <t xml:space="preserve">segurtasun neurriak gabe</t>
    </r>
    <r>
      <rPr>
        <sz val="9"/>
        <color rgb="FF000000"/>
        <rFont val="Arial"/>
        <family val="0"/>
        <charset val="1"/>
      </rPr>
      <t xml:space="preserve">, eta han erori zen hil egin zelarik. Akordio baten bidez amaitu da auzia, delituak onartuta. LAB sindikatuak enpresaren lan baldintza txarrak eta langileen babesgabetasuna salatu ditu.</t>
    </r>
  </si>
  <si>
    <r>
      <rPr>
        <sz val="9"/>
        <color rgb="FF000000"/>
        <rFont val="Arial"/>
        <family val="0"/>
        <charset val="1"/>
      </rPr>
      <t xml:space="preserve"> **Edukirik garrantzitsuena:**
2020ko otsailaren 29an, Murgako Zorroza Gestion de Residuos enpresan lan egiten ari zen langile bat hil zen istripu batean. Enpresak urte eta erdiko kartzela zigorra onartu du eta 30.000 euroko kalte-ordaina ordainduko du, istripuaren erantzukizuna bere gain hartuz. Langilea teilatura igotzea agindu zioten </t>
    </r>
    <r>
      <rPr>
        <strike val="true"/>
        <sz val="9"/>
        <color rgb="FF000000"/>
        <rFont val="Arial"/>
        <family val="0"/>
        <charset val="1"/>
      </rPr>
      <t xml:space="preserve">segurtasun neurriak gabe</t>
    </r>
    <r>
      <rPr>
        <sz val="9"/>
        <color rgb="FF000000"/>
        <rFont val="Arial"/>
        <family val="0"/>
        <charset val="1"/>
      </rPr>
      <t xml:space="preserve">, eta horrek eragin zuen haren heriotza. LAB sindikatuak enpresaren lan baldintza txarrak eta langileen babesgabetasuna salatu ditu.
**Laburpena:**
Zorroza Gestion de Residuos enpresak langile baten heriotzaren erantzukizuna onartu du, urte eta erdiko kartzela zigorra eta 30.000 euroko kalte-ordaina </t>
    </r>
    <r>
      <rPr>
        <strike val="true"/>
        <sz val="9"/>
        <color rgb="FF000000"/>
        <rFont val="Arial"/>
        <family val="0"/>
        <charset val="1"/>
      </rPr>
      <t xml:space="preserve">jasoko</t>
    </r>
    <r>
      <rPr>
        <sz val="9"/>
        <color rgb="FF000000"/>
        <rFont val="Arial"/>
        <family val="0"/>
        <charset val="1"/>
      </rPr>
      <t xml:space="preserve"> ditu. Istripua segurtasun neurriak gabe gertatu zen, eta LAB sindikatuak enpresaren lan baldintza txarrak salatu ditu.</t>
    </r>
  </si>
  <si>
    <r>
      <rPr>
        <sz val="9"/>
        <color rgb="FF000000"/>
        <rFont val="Arial"/>
        <family val="0"/>
        <charset val="1"/>
      </rPr>
      <t xml:space="preserve"> **Zer:** Langile bat hil zen Murgako Zorroza Gestion de Residuos enpresan, lan istripu batean.
**Nork:** Bassirou Dione, 24 urteko langilea, eta enpresako kudeatzailea.
**Noiz:** 2020ko otsailaren 29an.
**Non:** Murgako Zorroza Gestion de Residuos enpresaren biltegian (Araba).
**Zergatik:** Langileak, </t>
    </r>
    <r>
      <rPr>
        <strike val="true"/>
        <sz val="9"/>
        <color rgb="FF000000"/>
        <rFont val="Arial"/>
        <family val="0"/>
        <charset val="1"/>
      </rPr>
      <t xml:space="preserve">segurtasun neurririk gabe,</t>
    </r>
    <r>
      <rPr>
        <sz val="9"/>
        <color rgb="FF000000"/>
        <rFont val="Arial"/>
        <family val="0"/>
        <charset val="1"/>
      </rPr>
      <t xml:space="preserve"> teilatura igotzea agindu zioten hodi bat konpontzeko, eta teilatu zati bat puskatu egin zen, eraginez bere erorketa eta heriotza.
**Nola:** Akusatuek delituak onartuta, epaiketa gabe erabaki zen, aldeek ados jarri baitziren. Enpresak urte eta erdiko kartzela zigorra onartu du eta 30.000 euroko kalte ordaina ordainduko du. LAB sindikatuak enpresaren lan baldintza txarrak eta langileen babesgabetasuna salatu ditu.</t>
    </r>
  </si>
  <si>
    <t xml:space="preserve"> 2020ko otsailaren 29an, Murgako Zorroza Gestion de Residuos enpresan lan egiten ari zen Bassirou Dione langilea hil zen teilatu batetik erorita. Enpresak urte eta erdiko kartzela zigorra onartu du eta 30.000 euroko kalte ordaina ordaindu beharko du, gertakariaren erantzukizuna bere gain hartuz. Langileak ez zuten segurtasun neurri egokiak izan eta ez zen haien lan arloa. LAB sindikatuak enpresaren lan baldintza txarrak eta langileen babesgabetasuna salatu ditu.
</t>
  </si>
  <si>
    <r>
      <rPr>
        <sz val="9"/>
        <color rgb="FF000000"/>
        <rFont val="Arial"/>
        <family val="0"/>
        <charset val="1"/>
      </rPr>
      <t xml:space="preserve"> Erik Jaka eta Jon Mariezkurrena indartsu ari dira Binakako Txapelketan, hiru partida irabazi dituztelarik, azkena 9-22 Danel Elezkano eta Julen Martijaren aurka. Mariezkurrena ondo dago, eta Jakak erremateak erraz amaitzen ditu. </t>
    </r>
    <r>
      <rPr>
        <strike val="true"/>
        <sz val="9"/>
        <color rgb="FF000000"/>
        <rFont val="Arial"/>
        <family val="0"/>
        <charset val="1"/>
      </rPr>
      <t xml:space="preserve">Gorriak 3-0 irabazi dute</t>
    </r>
    <r>
      <rPr>
        <sz val="9"/>
        <color rgb="FF000000"/>
        <rFont val="Arial"/>
        <family val="0"/>
        <charset val="1"/>
      </rPr>
      <t xml:space="preserve">, eta </t>
    </r>
    <r>
      <rPr>
        <strike val="true"/>
        <sz val="9"/>
        <color rgb="FF000000"/>
        <rFont val="Arial"/>
        <family val="0"/>
        <charset val="1"/>
      </rPr>
      <t xml:space="preserve">Elezkanoren ordezko Jokin Altunak</t>
    </r>
    <r>
      <rPr>
        <sz val="9"/>
        <color rgb="FF000000"/>
        <rFont val="Arial"/>
        <family val="0"/>
        <charset val="1"/>
      </rPr>
      <t xml:space="preserve"> emaitza txarrak lortu ditu. Jaka-Mariezkurrena da guztiak irabazi dituen bikote </t>
    </r>
    <r>
      <rPr>
        <strike val="true"/>
        <sz val="9"/>
        <color rgb="FF000000"/>
        <rFont val="Arial"/>
        <family val="0"/>
        <charset val="1"/>
      </rPr>
      <t xml:space="preserve">bakarra</t>
    </r>
    <r>
      <rPr>
        <sz val="9"/>
        <color rgb="FF000000"/>
        <rFont val="Arial"/>
        <family val="0"/>
        <charset val="1"/>
      </rPr>
      <t xml:space="preserve">, eta Elordi-Rezustarekin batera lehen postuetan daude. </t>
    </r>
    <r>
      <rPr>
        <strike val="true"/>
        <sz val="9"/>
        <color rgb="FF000000"/>
        <rFont val="Arial"/>
        <family val="0"/>
        <charset val="1"/>
      </rPr>
      <t xml:space="preserve">Altunak</t>
    </r>
    <r>
      <rPr>
        <sz val="9"/>
        <color rgb="FF000000"/>
        <rFont val="Arial"/>
        <family val="0"/>
        <charset val="1"/>
      </rPr>
      <t xml:space="preserve"> laster irabazi beharko du taldeak lehen postuetatik urrundu ez dadin.</t>
    </r>
  </si>
  <si>
    <r>
      <rPr>
        <sz val="9"/>
        <color rgb="FF000000"/>
        <rFont val="Arial"/>
        <family val="0"/>
        <charset val="1"/>
      </rPr>
      <t xml:space="preserve"> **Edukirik garrantzitsuena:** Erik Jaka eta Jon Mariezkurrenaren bikoteak Binakako Txapelketan hiru partida jarraian irabazi ditu, indar handiz nabarmenduz eta txapela janzteko hautagai nagusien artean kokatuz. Mariezkurrenaren jokabide bikaina eta Jakaren erremate eraginkorrak nabarmendu dira, </t>
    </r>
    <r>
      <rPr>
        <strike val="true"/>
        <sz val="9"/>
        <color rgb="FF000000"/>
        <rFont val="Arial"/>
        <family val="0"/>
        <charset val="1"/>
      </rPr>
      <t xml:space="preserve">batez ere</t>
    </r>
    <r>
      <rPr>
        <sz val="9"/>
        <color rgb="FF000000"/>
        <rFont val="Arial"/>
        <family val="0"/>
        <charset val="1"/>
      </rPr>
      <t xml:space="preserve"> gaurko partida 9-22 irabazi zutenean Danel Elezkano eta Julen Martijaren aurka. Bestalde, Elezkanoren eta Martijaren bikoteak emaitza txarrak lortu ditu, eta lehen postuetatik urrundu egin da.
**Laburpena:** Jaka eta Mariezkurrena indartsu ari dira Binakako Txapelketan, hiru partida jarraian irabaziz eta txapela lortzeko aukera handiak dituztelarik. Aldiz, Elezkanoren eta Martijaren bikoteak emaitza txarrak lortzen ari da, lehen postuetatik urrunduz.</t>
    </r>
  </si>
  <si>
    <t xml:space="preserve"> **Zer:** Erik Jaka eta Jon Mariezkurrenaren Binakako Txapelketako arrakasta.
**Nork:** Erik Jaka eta Jon Mariezkurrena.
**Noiz:** Gaurko partidan.
**Non:** Bizkaia pilotalekuan.
**Zergatik:** Mariezkurrenaren jokaldi bikainagatik eta Jakaren erremate eraginkorragatik, Elezkanoren eta Martijaren aurka.
**Nola:** Mariezkurrenak atzean nagusituz eta Jakak erremateak erraztuz, hiru partida jarraian irabaziz eta txapela janzteko hautagai nagusien artean kokatuz.
</t>
  </si>
  <si>
    <r>
      <rPr>
        <sz val="9"/>
        <color rgb="FF000000"/>
        <rFont val="Arial"/>
        <family val="0"/>
        <charset val="1"/>
      </rPr>
      <t xml:space="preserve"> Erik Jaka eta Jon Mariezkurrena Binakako Txapelketan indartsu agertzen ari dira, hiru partida irabazi dituztelarik eta gaur Danel Elezkano eta Julen Martija 9-22 garaituz. Mariezkurrena bolada onean dago eta Jakak erremateak erraz amaitzen ditu. Bikote honek </t>
    </r>
    <r>
      <rPr>
        <strike val="true"/>
        <sz val="9"/>
        <color rgb="FF000000"/>
        <rFont val="Arial"/>
        <family val="0"/>
        <charset val="1"/>
      </rPr>
      <t xml:space="preserve">beste bikote guztiek</t>
    </r>
    <r>
      <rPr>
        <sz val="9"/>
        <color rgb="FF000000"/>
        <rFont val="Arial"/>
        <family val="0"/>
        <charset val="1"/>
      </rPr>
      <t xml:space="preserve"> baino gehiago irabazi ditu eta lehen postuetan kokatzeko aukera ona dute. Aldiz, Elezkano eta Martija bolada txarran daude eta emaitza txarrak lortzen ari dira.</t>
    </r>
  </si>
  <si>
    <t xml:space="preserve"> Joseba Insausti artzainak Esnaurrieta txabolan mantal eta katiuska zuriak jantzita egiten ari den mendiko gaztaren inguruan hitz egiten du, Gipuzkoako basozainek eta hainbat erakundeek (Mantal egitasmoa, Mahaia kolektiboa, Hazi fundazioa, Etorlurrekoa eta Gipuzkoako Parketxe Sarekoa) antolatutako ekitaldi batean. Ruraltxa proiektuaren helburua mendiko abeltzaintza estentsiboaren erabilera tradizionalari balioa ematea da, Europar Batasuneko funtsen laguntzaz.
Aralarko parke naturalan, Enirio-Aralar mankomunitatean, landako bioekonomia eta mendiko ekosistemen kudeaketa jasangarrira bideratutako ingurune batean egiten da ekitaldia. Luis Mari Zaldua, Parketxe Sareko zuzendariak, azaltzen du ingurune hori kultur paisaia bat dela, gizakiaren eta naturaren arteko harremanaren ondorioz sortua.
Txabolaren aurrean, otordu bat prestatzen da, non mendiko gazta, mondeju zuria, salda, ardi gisadua eta mamia zerbitzatzen diren. Insaustik bere artzaintza esperientzia eta gazta egiteko prozesua partekatzen ditu. Roberto Ruiz Hika txakolindegiko sukaldariak eta Mahaia kolektiboko beste sukaldari batzuek prestatutako menua gozatzen da.
Ekitaldiaren amaieran, artaldea agertzen da eta taldea Ondarreko mairu-baratzearen ondotik itzultzen da, larruen eta larrabereen balioaz ikasita.
</t>
  </si>
  <si>
    <r>
      <rPr>
        <sz val="9"/>
        <color rgb="FF000000"/>
        <rFont val="Arial"/>
        <family val="0"/>
        <charset val="1"/>
      </rPr>
      <t xml:space="preserve"> **Edukirik Garrantzitsuena:**
Ruraltxa proiektuak, Europar Batasuneko funtsen laguntzarekin, mendiko abeltzaintza estentsiboaren </t>
    </r>
    <r>
      <rPr>
        <strike val="true"/>
        <sz val="9"/>
        <color rgb="FF000000"/>
        <rFont val="Arial"/>
        <family val="0"/>
        <charset val="1"/>
      </rPr>
      <t xml:space="preserve">eta landako bioekonomiaren erabilera tradizionalari balioa ematea du helburu, Aralarko parke naturalaren testuinguruan</t>
    </r>
    <r>
      <rPr>
        <sz val="9"/>
        <color rgb="FF000000"/>
        <rFont val="Arial"/>
        <family val="0"/>
        <charset val="1"/>
      </rPr>
      <t xml:space="preserve">. Proiektuan parte hartzen dute hainbat erakunde eta pertsona, eta ekitaldi bat antolatu dute bertan, non artzaintzaren eta gastronomiaren arteko lotura azpimarratu den, produktu lokalak erabiliz eta artzainen lanaren garrantzia nabarmenduz.
**Laburpena:**
Ruraltxa proiektuak, Europar Batasuneko funtsen finantzatuta, mendiko abeltzaintza tradizionalaren </t>
    </r>
    <r>
      <rPr>
        <strike val="true"/>
        <sz val="9"/>
        <color rgb="FF000000"/>
        <rFont val="Arial"/>
        <family val="0"/>
        <charset val="1"/>
      </rPr>
      <t xml:space="preserve">eta landako bioekonomiaren balioa berreskuratzeko asmoz jarduten du Aralarko parke naturalan</t>
    </r>
    <r>
      <rPr>
        <sz val="9"/>
        <color rgb="FF000000"/>
        <rFont val="Arial"/>
        <family val="0"/>
        <charset val="1"/>
      </rPr>
      <t xml:space="preserve">. Ekitaldi batean, artzaintzaren eta gastronomiaren arteko harremana erakutsi dute, produktu lokalak erabiliz eta artzainen lanaren garrantzia azpimarratuz.</t>
    </r>
  </si>
  <si>
    <t xml:space="preserve"> **Zer:** Ruraltxa proiektuaren aurkezpena eta mendiko gazta egiteko jarduna Aralarko parke naturalan.
**Nork:** Gipuzkoako basozainak, Mantala egitasmoko kideak, Mahaia kolektiboko sukaldariak, Hazi fundaziokoak, Etorlurrekoak eta Gipuzkoako Parketxe Sarekoak, besteak beste. Joseba Insausti artzaina eta Roberto Ruiz Hika txakolindegiko sukaldaria ere parte hartu dute.
**Noiz:** Hilabete baten ondoren, eguzkiarekin batera, data zehatzik ez da ematen.
**Non:** Esnaurrieta txabola, Aralarko parke naturala, Enirio-Aralar mankomunitatea.
**Zergatik:** Mendiaren eta mendiko abeltzaintza estentsiboaren erabilera tradizionalari balioa ematea eta landako bioekonomia eta mendiko ekosistemen kudeaketa jasangarrira bideratzea, Europar Batasuneko Next Generation funtsen bidez finantzatuta.
**Nola:** Taldea txabolara joan da gazta egiteko ikasteko eta ondoren otordua egin dute bertan, produktu lokalak erabiliz. Artzaina eta sukaldariak elkarrekin lan egin dute gastronomia eta artzaintza tradizionalaren arteko lotura azpimarratzeko.
</t>
  </si>
  <si>
    <t xml:space="preserve"> Gipuzkoako Aralarko parke naturalan, Ruraltxa proiektuaren barruan, basozainek eta hainbat erakundeek elkarlanean antolatu dute ekitaldi bat mendiko abeltzaintza tradizionalaren eta landako bioekonomiaren garrantzia azpimarratzeko. Esnaurrieta txabolan, artzain batek gazta egiten erakutsi du, eta sukaldari talde batek mendiko produktuekin osatutako otordua prestatu du. Ekitaldiak ingurumenaren eta kulturaren arteko harremana azpimarratu du, eta artzaintzaren rola garrantzitsua izan dela erakutsi du gastronomian eta paisaian.
</t>
  </si>
  <si>
    <r>
      <rPr>
        <sz val="9"/>
        <color rgb="FF000000"/>
        <rFont val="Arial"/>
        <family val="0"/>
        <charset val="1"/>
      </rPr>
      <t xml:space="preserve"> Euskal Herriko lau surflari -Nadia Erostarbe, Janire Gonzalez-Etxabarri, Joan Duru eta Andy Criere- Arecibon (Puerto Rico) egindako Munduko Txapelketan emaitza onak lortu ondoren, Parisko 2024ko Olinpiar Jokoetarako sailkatu dira. Hauek uztailaren 27tik abuztuaren 4ra Tahitin jokatuko duten surfeko lehiaketan parte hartuko dute. Aurreko lehenengo Olinpiar Jokoetan parte hartu zuen Pauline </t>
    </r>
    <r>
      <rPr>
        <strike val="true"/>
        <sz val="9"/>
        <color rgb="FF000000"/>
        <rFont val="Arial"/>
        <family val="0"/>
        <charset val="1"/>
      </rPr>
      <t xml:space="preserve">Adoriaren</t>
    </r>
    <r>
      <rPr>
        <sz val="9"/>
        <color rgb="FF000000"/>
        <rFont val="Arial"/>
        <family val="0"/>
        <charset val="1"/>
      </rPr>
      <t xml:space="preserve"> ondoren, lau euskal surflarik historikoa egin dute.
Eusko Jaurlaritzaren Basque Team fundazioak Donostiako Aquariumean ongi etorri egin die Erostarberi, Gonzalez-Etxabarriri eta Criereri, eta haien Munduko Txapelketako emaitza bikainak aitortu ditu. Duru ere laugarren postuan amaitu zuen. Olatz Legarza koordinatzaileak azpimarratu du euskal surflarien lorpena egun historikoa dela.
Surflariek pozik daude eta </t>
    </r>
    <r>
      <rPr>
        <strike val="true"/>
        <sz val="9"/>
        <color rgb="FF000000"/>
        <rFont val="Arial"/>
        <family val="0"/>
        <charset val="1"/>
      </rPr>
      <t xml:space="preserve">helburua bete dutela adierazi dute. Teahupo'oko olatu bereziaren aurrean, entrenamendu intentsiboan jarriko dira minak gainditu eta ondo prestatzeko.</t>
    </r>
    <r>
      <rPr>
        <sz val="9"/>
        <color rgb="FF000000"/>
        <rFont val="Arial"/>
        <family val="0"/>
        <charset val="1"/>
      </rPr>
      <t xml:space="preserve"> Crierek olatuaren berezitasunak azpimarratu ditu eta ondo aritzeko itxaropen handia dute.</t>
    </r>
  </si>
  <si>
    <r>
      <rPr>
        <sz val="9"/>
        <color rgb="FF000000"/>
        <rFont val="Arial"/>
        <family val="0"/>
        <charset val="1"/>
      </rPr>
      <t xml:space="preserve"> **Euskal Herriko lau surflari - Nadia Erostarbe, Janire Gonzalez-Etxabarri, Joan Duru eta Andy Criere - Parisko 2024ko Olinpiar Jokoetarako sailkatu dira Puerto Ricoko Munduko Txapelketan. </t>
    </r>
    <r>
      <rPr>
        <strike val="true"/>
        <sz val="9"/>
        <color rgb="FF000000"/>
        <rFont val="Arial"/>
        <family val="0"/>
        <charset val="1"/>
      </rPr>
      <t xml:space="preserve">Hauek dira lehenengo euskal surflariak Olinpiar Jokoetan parte hartzeko aukera izango dutenak, </t>
    </r>
    <r>
      <rPr>
        <sz val="9"/>
        <color rgb="FF000000"/>
        <rFont val="Arial"/>
        <family val="0"/>
        <charset val="1"/>
      </rPr>
      <t xml:space="preserve">eta Teahupo'o (Tahiti) hirian jokatuko den surfeko lehiaketan parte hartuko dute uztailaren 27tik abuztuaren 4ra. Aurreko Jokoetan parte hartu zuen Pauline </t>
    </r>
    <r>
      <rPr>
        <strike val="true"/>
        <sz val="9"/>
        <color rgb="FF000000"/>
        <rFont val="Arial"/>
        <family val="0"/>
        <charset val="1"/>
      </rPr>
      <t xml:space="preserve">Adoriaren</t>
    </r>
    <r>
      <rPr>
        <sz val="9"/>
        <color rgb="FF000000"/>
        <rFont val="Arial"/>
        <family val="0"/>
        <charset val="1"/>
      </rPr>
      <t xml:space="preserve"> ondoren, lau euskal surflarik historikoa egin dute, eta </t>
    </r>
    <r>
      <rPr>
        <strike val="true"/>
        <sz val="9"/>
        <color rgb="FF000000"/>
        <rFont val="Arial"/>
        <family val="0"/>
        <charset val="1"/>
      </rPr>
      <t xml:space="preserve">espero da</t>
    </r>
    <r>
      <rPr>
        <sz val="9"/>
        <color rgb="FF000000"/>
        <rFont val="Arial"/>
        <family val="0"/>
        <charset val="1"/>
      </rPr>
      <t xml:space="preserve"> hiru domina lortzea. Surflariak pozik daude lortutako emaitzarekin eta elkarrekin Olinpiar esperientzia bizi ahal izatearekin, eta Teahupo'oko olatuen egokitzapena da haien hurrengo erronka nagusia.**</t>
    </r>
  </si>
  <si>
    <r>
      <rPr>
        <sz val="9"/>
        <color rgb="FF000000"/>
        <rFont val="Arial"/>
        <family val="0"/>
        <charset val="1"/>
      </rPr>
      <t xml:space="preserve"> **Zer:** Euskal Herriko lau surflari -Nadia Erostarbe, Janire Gonzalez-Etxabarri, Joan Duru eta Andy Criere- Parisko 2024ko Olinpiar Jokoetarako sailkatu dira, Arecibon (Puerto Rico) egindako Munduko Txapelketan </t>
    </r>
    <r>
      <rPr>
        <strike val="true"/>
        <sz val="9"/>
        <color rgb="FF000000"/>
        <rFont val="Arial"/>
        <family val="0"/>
        <charset val="1"/>
      </rPr>
      <t xml:space="preserve">olatu eder bat harrapatuz</t>
    </r>
    <r>
      <rPr>
        <sz val="9"/>
        <color rgb="FF000000"/>
        <rFont val="Arial"/>
        <family val="0"/>
        <charset val="1"/>
      </rPr>
      <t xml:space="preserve">.
**Nork:** Euskal Herriko lau surflari: Nadia Erostarbe (Zarautz), Janire Gonzalez-Etxabarri (Zumaia), Joan Duru (Baiona) eta Andy Criere (Donostia).
**Noiz:** Munduko Txapelketa Arecibon </t>
    </r>
    <r>
      <rPr>
        <strike val="true"/>
        <sz val="9"/>
        <color rgb="FF000000"/>
        <rFont val="Arial"/>
        <family val="0"/>
        <charset val="1"/>
      </rPr>
      <t xml:space="preserve">2023an</t>
    </r>
    <r>
      <rPr>
        <sz val="9"/>
        <color rgb="FF000000"/>
        <rFont val="Arial"/>
        <family val="0"/>
        <charset val="1"/>
      </rPr>
      <t xml:space="preserve"> izan zen, eta Olinpiar Jokoak uztailaren 27tik abuztuaren 4ra bitartean egingo dira Teahupo'on (Tahiti).
**Non:** Arecibon (Puerto Rico) Munduko Txapelketan eta Teahupo'on (Tahiti) Olinpiar Jokoetan.
**Zergatik:** Surflari hauek beren emaitza onengatik sailkatu dira Olinpiar Jokoetara, </t>
    </r>
    <r>
      <rPr>
        <strike val="true"/>
        <sz val="9"/>
        <color rgb="FF000000"/>
        <rFont val="Arial"/>
        <family val="0"/>
        <charset val="1"/>
      </rPr>
      <t xml:space="preserve">historikoki lehen aldiz euskal surflariak parte hartzen dutelarik bertan</t>
    </r>
    <r>
      <rPr>
        <sz val="9"/>
        <color rgb="FF000000"/>
        <rFont val="Arial"/>
        <family val="0"/>
        <charset val="1"/>
      </rPr>
      <t xml:space="preserve">.
**Nola:** Surflariak olatu handiak harrapatuz eta sailkapen onak lortuz lortu dute sailkatzea. Eusko Jaurlaritzaren Basque Team fundazioak </t>
    </r>
    <r>
      <rPr>
        <strike val="true"/>
        <sz val="9"/>
        <color rgb="FF000000"/>
        <rFont val="Arial"/>
        <family val="0"/>
        <charset val="1"/>
      </rPr>
      <t xml:space="preserve">ere lagundu die haien prestatzean eta</t>
    </r>
    <r>
      <rPr>
        <sz val="9"/>
        <color rgb="FF000000"/>
        <rFont val="Arial"/>
        <family val="0"/>
        <charset val="1"/>
      </rPr>
      <t xml:space="preserve"> harrera egin die Donostiako Aquariumean.
Laburbilduz, Euskal Herriko lau surflari Parisko 2024ko Olinpiar Jokoetarako sailkatu dira Puerto Ricoko Munduko Txapelketan olatu eder batzuk harrapatuz, </t>
    </r>
    <r>
      <rPr>
        <strike val="true"/>
        <sz val="9"/>
        <color rgb="FF000000"/>
        <rFont val="Arial"/>
        <family val="0"/>
        <charset val="1"/>
      </rPr>
      <t xml:space="preserve">historikoki lehen aldiz parte hartuz Olinpiar Jokoetan</t>
    </r>
    <r>
      <rPr>
        <sz val="9"/>
        <color rgb="FF000000"/>
        <rFont val="Arial"/>
        <family val="0"/>
        <charset val="1"/>
      </rPr>
      <t xml:space="preserve">.</t>
    </r>
  </si>
  <si>
    <r>
      <rPr>
        <sz val="9"/>
        <color rgb="FF000000"/>
        <rFont val="Arial"/>
        <family val="0"/>
        <charset val="1"/>
      </rPr>
      <t xml:space="preserve"> Euskal Herriko lau surflari -Nadia Erostarbe, Janire Gonzalez-Etxabarri, Joan Duru eta Andy Criere- Munduko Txapelketan egin duten emaitza onaren ondorioz Parisko 2024ko Olinpiar Jokoetarako sailkatu dira. Aurreko lehiaketetan Pauline </t>
    </r>
    <r>
      <rPr>
        <strike val="true"/>
        <sz val="9"/>
        <color rgb="FF000000"/>
        <rFont val="Arial"/>
        <family val="0"/>
        <charset val="1"/>
      </rPr>
      <t xml:space="preserve">Adori</t>
    </r>
    <r>
      <rPr>
        <sz val="9"/>
        <color rgb="FF000000"/>
        <rFont val="Arial"/>
        <family val="0"/>
        <charset val="1"/>
      </rPr>
      <t xml:space="preserve"> izan zen Euskal Herriko ordezkaria, </t>
    </r>
    <r>
      <rPr>
        <strike val="true"/>
        <sz val="9"/>
        <color rgb="FF000000"/>
        <rFont val="Arial"/>
        <family val="0"/>
        <charset val="1"/>
      </rPr>
      <t xml:space="preserve">hirugarren</t>
    </r>
    <r>
      <rPr>
        <sz val="9"/>
        <color rgb="FF000000"/>
        <rFont val="Arial"/>
        <family val="0"/>
        <charset val="1"/>
      </rPr>
      <t xml:space="preserve"> postuan amaituz. Oraingoan, lau surflari euskaldun parte hartuko dute, </t>
    </r>
    <r>
      <rPr>
        <strike val="true"/>
        <sz val="9"/>
        <color rgb="FF000000"/>
        <rFont val="Arial"/>
        <family val="0"/>
        <charset val="1"/>
      </rPr>
      <t xml:space="preserve">historiako lehen aldiz hainbat euskal surflari Olinpiar Jokoetan lehiatuz</t>
    </r>
    <r>
      <rPr>
        <sz val="9"/>
        <color rgb="FF000000"/>
        <rFont val="Arial"/>
        <family val="0"/>
        <charset val="1"/>
      </rPr>
      <t xml:space="preserve">. Surflari hauek Teahupo'o (Tahiti) hirian jokatuko dute lehiaketa, eta pozik daude beren lortutako arrakastarekin, nahiz eta desafio handiak izan, hala nola Teahupo'oko olatuen ezaugarri bereziak eta belauneko mina. Haiek uste dute aukera dagoela domina batzuk lortzeko.</t>
    </r>
  </si>
  <si>
    <r>
      <rPr>
        <sz val="9"/>
        <color rgb="FF000000"/>
        <rFont val="Arial"/>
        <family val="0"/>
        <charset val="1"/>
      </rPr>
      <t xml:space="preserve"> Iñigo Satrustegi, 1997ko iruindarra, egile berrientzako Iruñeko Literatur Lehiaketan irabazi du, narrazioan "Oheak gordetzen duena" lanarekin. Protagonistaren ikuspegitik aztertzen ditu heriotzaren ondoriozko egoerak. Poesia sailean ere aipamen berezia jaso du "Ebakiduraariketak" lanarekin. </t>
    </r>
    <r>
      <rPr>
        <strike val="true"/>
        <sz val="9"/>
        <color rgb="FF000000"/>
        <rFont val="Arial"/>
        <family val="0"/>
        <charset val="1"/>
      </rPr>
      <t xml:space="preserve">Itzulpengintzako ikasketek eragin handia izan dute bere idazteko estiloan</t>
    </r>
    <r>
      <rPr>
        <sz val="9"/>
        <color rgb="FF000000"/>
        <rFont val="Arial"/>
        <family val="0"/>
        <charset val="1"/>
      </rPr>
      <t xml:space="preserve">. Heriotza ez da bere istorio</t>
    </r>
    <r>
      <rPr>
        <strike val="true"/>
        <sz val="9"/>
        <color rgb="FF000000"/>
        <rFont val="Arial"/>
        <family val="0"/>
        <charset val="1"/>
      </rPr>
      <t xml:space="preserve">eta</t>
    </r>
    <r>
      <rPr>
        <sz val="9"/>
        <color rgb="FF000000"/>
        <rFont val="Arial"/>
        <family val="0"/>
        <charset val="1"/>
      </rPr>
      <t xml:space="preserve">ko gai nagusia, baizik eta heriotzak inguruan eragindako aldaketak. Sariak aukera ematen diote bere lanak zabaltzeko, baina sariekin duen harremana konplexua da. Poesian sentitzen du bere burua gehien erosoa, eta sari banaketarako kamiseta kritikoa prestatu du.</t>
    </r>
  </si>
  <si>
    <r>
      <rPr>
        <sz val="9"/>
        <color rgb="FF000000"/>
        <rFont val="Arial"/>
        <family val="0"/>
        <charset val="1"/>
      </rPr>
      <t xml:space="preserve"> **Edukirik Garrantzitsuena:**
Iñigo Satrustegik, 1997ko Iruñeko idazlea, Egile Berrientzako Iruñeko Literatur Lehiaketan </t>
    </r>
    <r>
      <rPr>
        <strike val="true"/>
        <sz val="9"/>
        <color rgb="FF000000"/>
        <rFont val="Arial"/>
        <family val="0"/>
        <charset val="1"/>
      </rPr>
      <t xml:space="preserve">irabazi du</t>
    </r>
    <r>
      <rPr>
        <sz val="9"/>
        <color rgb="FF000000"/>
        <rFont val="Arial"/>
        <family val="0"/>
        <charset val="1"/>
      </rPr>
      <t xml:space="preserve">, narrazioan ("Oheak gordetzen duena") </t>
    </r>
    <r>
      <rPr>
        <strike val="true"/>
        <sz val="9"/>
        <color rgb="FF000000"/>
        <rFont val="Arial"/>
        <family val="0"/>
        <charset val="1"/>
      </rPr>
      <t xml:space="preserve">eta poesia sailean</t>
    </r>
    <r>
      <rPr>
        <sz val="9"/>
        <color rgb="FF000000"/>
        <rFont val="Arial"/>
        <family val="0"/>
        <charset val="1"/>
      </rPr>
      <t xml:space="preserve"> ("Ebakiduraariketak") aipamen bereziarekin. Bere lanak heriotzaren ondoriozko egoerak eta zaintzaren garrantzia aztertzen ditu, </t>
    </r>
    <r>
      <rPr>
        <strike val="true"/>
        <sz val="9"/>
        <color rgb="FF000000"/>
        <rFont val="Arial"/>
        <family val="0"/>
        <charset val="1"/>
      </rPr>
      <t xml:space="preserve">emakumeen ikuspegitik</t>
    </r>
    <r>
      <rPr>
        <sz val="9"/>
        <color rgb="FF000000"/>
        <rFont val="Arial"/>
        <family val="0"/>
        <charset val="1"/>
      </rPr>
      <t xml:space="preserve"> eta sentsorialtasun handiz. </t>
    </r>
    <r>
      <rPr>
        <strike val="true"/>
        <sz val="9"/>
        <color rgb="FF000000"/>
        <rFont val="Arial"/>
        <family val="0"/>
        <charset val="1"/>
      </rPr>
      <t xml:space="preserve">Satrustegik itzulpengintzaren eragina aitortzen du bere idazteko estiloan</t>
    </r>
    <r>
      <rPr>
        <sz val="9"/>
        <color rgb="FF000000"/>
        <rFont val="Arial"/>
        <family val="0"/>
        <charset val="1"/>
      </rPr>
      <t xml:space="preserve">, eta sariak bere lanaren ikusgarritasuna handitzeko aukera gisa ikusten ditu, nahiz eta harreman konplexua izan sariekin.
**Laburpena:**
Iñigo Satrustegi, Iruñeko idazle gaztea, literatur lehiake</t>
    </r>
    <r>
      <rPr>
        <strike val="true"/>
        <sz val="9"/>
        <color rgb="FF000000"/>
        <rFont val="Arial"/>
        <family val="0"/>
        <charset val="1"/>
      </rPr>
      <t xml:space="preserve">te</t>
    </r>
    <r>
      <rPr>
        <sz val="9"/>
        <color rgb="FF000000"/>
        <rFont val="Arial"/>
        <family val="0"/>
        <charset val="1"/>
      </rPr>
      <t xml:space="preserve">tan arrakasta lortu du, narrazio eta poesia sailetan. </t>
    </r>
    <r>
      <rPr>
        <strike val="true"/>
        <sz val="9"/>
        <color rgb="FF000000"/>
        <rFont val="Arial"/>
        <family val="0"/>
        <charset val="1"/>
      </rPr>
      <t xml:space="preserve">Bere lanek</t>
    </r>
    <r>
      <rPr>
        <sz val="9"/>
        <color rgb="FF000000"/>
        <rFont val="Arial"/>
        <family val="0"/>
        <charset val="1"/>
      </rPr>
      <t xml:space="preserve"> heriotza eta zaintza gaiak jorratzen dituzte, </t>
    </r>
    <r>
      <rPr>
        <strike val="true"/>
        <sz val="9"/>
        <color rgb="FF000000"/>
        <rFont val="Arial"/>
        <family val="0"/>
        <charset val="1"/>
      </rPr>
      <t xml:space="preserve">emakumeen ikuspegitik eta</t>
    </r>
    <r>
      <rPr>
        <sz val="9"/>
        <color rgb="FF000000"/>
        <rFont val="Arial"/>
        <family val="0"/>
        <charset val="1"/>
      </rPr>
      <t xml:space="preserve"> sentsorialtasun handiz. </t>
    </r>
    <r>
      <rPr>
        <strike val="true"/>
        <sz val="9"/>
        <color rgb="FF000000"/>
        <rFont val="Arial"/>
        <family val="0"/>
        <charset val="1"/>
      </rPr>
      <t xml:space="preserve">Satrustegik itzulpengintzaren eragina aitortzen du</t>
    </r>
    <r>
      <rPr>
        <sz val="9"/>
        <color rgb="FF000000"/>
        <rFont val="Arial"/>
        <family val="0"/>
        <charset val="1"/>
      </rPr>
      <t xml:space="preserve"> eta sariak bere lanaren ikusgarritasuna handitzeko aukera gisa ikusten ditu, nahiz eta sariei buruzko ikuspegia konplexua izan.</t>
    </r>
  </si>
  <si>
    <r>
      <rPr>
        <sz val="9"/>
        <color rgb="FF000000"/>
        <rFont val="Arial"/>
        <family val="0"/>
        <charset val="1"/>
      </rPr>
      <t xml:space="preserve"> **Zer:** Iñigo Satrustegik, 1997an Iruñean jaioa, Egile Berrientzako Iruñeko Literatur Lehiaketan irabazi du, narrazioan "Oheak gordetzen duena" lanarekin, eta poesia sailean ere aipamen berezia lortu du "Ebakiduraariketak" lanarekin.
**Nork:** Iñigo Satrustegi, idazlea eta itzultzailea.
**Noiz:** Lehiaketa eta sariak urte jakin batean eman dira, baina testuan ez da zehazten noiz.
**Non:** Iruñea, Nafarroa.
**Zergatik:** </t>
    </r>
    <r>
      <rPr>
        <strike val="true"/>
        <sz val="9"/>
        <color rgb="FF000000"/>
        <rFont val="Arial"/>
        <family val="0"/>
        <charset val="1"/>
      </rPr>
      <t xml:space="preserve">Satrustegiren lanek, bai narrazioan bai poesian, </t>
    </r>
    <r>
      <rPr>
        <sz val="9"/>
        <color rgb="FF000000"/>
        <rFont val="Arial"/>
        <family val="0"/>
        <charset val="1"/>
      </rPr>
      <t xml:space="preserve">gai sakonak jorratzen dituzte, hala nola heriotza, zaintza eta familia harremanak, modu sentsorial </t>
    </r>
    <r>
      <rPr>
        <strike val="true"/>
        <sz val="9"/>
        <color rgb="FF000000"/>
        <rFont val="Arial"/>
        <family val="0"/>
        <charset val="1"/>
      </rPr>
      <t xml:space="preserve">eta poetikoan</t>
    </r>
    <r>
      <rPr>
        <sz val="9"/>
        <color rgb="FF000000"/>
        <rFont val="Arial"/>
        <family val="0"/>
        <charset val="1"/>
      </rPr>
      <t xml:space="preserve">. Bere idazkera estiloa eta gaien tratamenduak epaimahaiaren onespena lortu dute.
**Nola:** </t>
    </r>
    <r>
      <rPr>
        <strike val="true"/>
        <sz val="9"/>
        <color rgb="FF000000"/>
        <rFont val="Arial"/>
        <family val="0"/>
        <charset val="1"/>
      </rPr>
      <t xml:space="preserve">Satrustegik literaturan duen maitasuna eta itzulpengintzaren esperientzia erabiliz garatu ditu bere lanak.</t>
    </r>
    <r>
      <rPr>
        <sz val="9"/>
        <color rgb="FF000000"/>
        <rFont val="Arial"/>
        <family val="0"/>
        <charset val="1"/>
      </rPr>
      <t xml:space="preserve"> Narrazioan, protagonistaren ikuspegitik aztertzen ditu heriotzaren ondorioak eta zaintzaren garrantzia, </t>
    </r>
    <r>
      <rPr>
        <strike val="true"/>
        <sz val="9"/>
        <color rgb="FF000000"/>
        <rFont val="Arial"/>
        <family val="0"/>
        <charset val="1"/>
      </rPr>
      <t xml:space="preserve">eta poesian, magia eta errealtasunaren arteko nahasketa erabiltzen du sentimenduak adierazteko.</t>
    </r>
    <r>
      <rPr>
        <sz val="9"/>
        <color rgb="FF000000"/>
        <rFont val="Arial"/>
        <family val="0"/>
        <charset val="1"/>
      </rPr>
      <t xml:space="preserve"> Sariak bere lanen kalitatea eta originaltasuna aitortzen dituzte, eta literaturaren munduan bere lekua indartzen laguntzen diote.</t>
    </r>
  </si>
  <si>
    <r>
      <rPr>
        <sz val="9"/>
        <color rgb="FF000000"/>
        <rFont val="Arial"/>
        <family val="0"/>
        <charset val="1"/>
      </rPr>
      <t xml:space="preserve"> Iñigo Satrustegik, 1997an Iruñean jaioa, Egile Berrientzako Iruñeko Literatur Lehiaketan irabazi du narrazioan "Oheak gordetzen duena" lanarekin, eta poesia sailean aipamen berezia lortu du "Ebakiduraariketak" lanarekin. </t>
    </r>
    <r>
      <rPr>
        <strike val="true"/>
        <sz val="9"/>
        <color rgb="FF000000"/>
        <rFont val="Arial"/>
        <family val="0"/>
        <charset val="1"/>
      </rPr>
      <t xml:space="preserve">Bere idazlanetan</t>
    </r>
    <r>
      <rPr>
        <sz val="9"/>
        <color rgb="FF000000"/>
        <rFont val="Arial"/>
        <family val="0"/>
        <charset val="1"/>
      </rPr>
      <t xml:space="preserve">, heriotzaren ondorioz sortzen diren egoerak eta zaintzaren gaiak aztertzen ditu, emakumeen rola nabarmenduz.</t>
    </r>
    <r>
      <rPr>
        <strike val="true"/>
        <sz val="9"/>
        <color rgb="FF000000"/>
        <rFont val="Arial"/>
        <family val="0"/>
        <charset val="1"/>
      </rPr>
      <t xml:space="preserve"> Satrustegik itzulpengintzak eragin handia izan du bere idazteko estiloan</t>
    </r>
    <r>
      <rPr>
        <sz val="9"/>
        <color rgb="FF000000"/>
        <rFont val="Arial"/>
        <family val="0"/>
        <charset val="1"/>
      </rPr>
      <t xml:space="preserve">, eta sariak aukera ematen diote bere lanak gehiago zabaltzeko. Poesian ere jarduten du, eta sari banaketetan bere iritzi politikoak adierazten ditu, adibidez, </t>
    </r>
    <r>
      <rPr>
        <strike val="true"/>
        <sz val="9"/>
        <color rgb="FF000000"/>
        <rFont val="Arial"/>
        <family val="0"/>
        <charset val="1"/>
      </rPr>
      <t xml:space="preserve">UPNren zezenketen kontrako jarrera erakutsiz</t>
    </r>
    <r>
      <rPr>
        <sz val="9"/>
        <color rgb="FF000000"/>
        <rFont val="Arial"/>
        <family val="0"/>
        <charset val="1"/>
      </rPr>
      <t xml:space="preserve">.</t>
    </r>
  </si>
  <si>
    <t xml:space="preserve"> Maitane Azurmendi margolariak Durangaldeko hamabost emakumeren erretratuak egin ditu WikiEmakumeok proiektuko kideen eskariz, historiako izen handien ondoan ageri ez diren emakumeei aurpegia jarriz zuri-beltzeko marrazkien bidez. Erakusketa Durangoko Arte eta Historia Museoan dago ikusgai. Azurmendik azaldu du nola aurpegia jartzeak garrantzi handia duen emakumeen istorioak ezagutarazteko eta nola bere sinadura den zuri-beltza, baina salbuespenak eginez. Bere marrazkiak bihotzetik datorren adierazpena dira, eta sarritan salaketarako eta memoriarako erabiltzen ditu. Bere buruaren erretratuak ere egin ditu, eta hurrengo erretratuaren subjektua oraindik zehaztu gabe du.
</t>
  </si>
  <si>
    <t xml:space="preserve"> **Edukirik garrantzitsuena:**
Maitane Azurmendi margolariak Durangaldeko hamabost emakumeren erretratuak egin ditu WikiEmakumeok proiektuko kideek proposatuta, historiako izen handien ondoan ageri ez diren emakumeen ekarpenak agerian jartzeko. Zuri-beltzeko marrazkiez osatutako erakusketa Durangoko Arte eta Historia Museoan dago ikusgai, eta emakume hauek, lorpen handiak egin arren ezagunak ez direnak, aurpegia eta garrantzia lortzen dute Azurmendiren lanaren bidez.
**Laburpena:**
Maitane Azurmendi margolariak Durangaldeko hamabost emakumeren erretratu zuri-beltzak egin ditu, WikiEmakumeok proiektuaren eskariz, historiako emakume aitzindari ezezagunen ekarpenak gogorarazteko. Erakusketa Durangoko Arte eta Historia Museoan dago, eta Azurmendiren lanak emakume hauei aurpegia eta garrantzia ematen die, haien lorpenak agerian jarriz.
</t>
  </si>
  <si>
    <r>
      <rPr>
        <sz val="9"/>
        <color rgb="FF000000"/>
        <rFont val="Arial"/>
        <family val="0"/>
        <charset val="1"/>
      </rPr>
      <t xml:space="preserve"> **Zer:** Maitane Azurmendi margolariak Durangaldeko hamabost emakumenen erretratuak egin ditu WikiEmakumeok proiektuko kideek proposatuta, historiako izen handien ondoan ageri ez diren emakumeei aurpegia jartzeko asmoz.
**Nork:** Maitane Azurmendi margolariak (Mungia, Bizkaia, 1978).
**Noiz:** Ostiraletik aurrera, Durangoko Arte eta Historia Museoan (Bizkaia).
**Non:** Durangoko Arte eta Historia Museoa (Bizkaia).
**Zergatik:** Emakume aitzindariak ezagutarazteko eta haien ekarpenak gogorarazteko, zuri-beltzeko marrazkiez eginiko erretratuak erabiliz.
**Nola:** Marrazki zuri-beltzeko teknikarekin, emakumeen istorioak eta lorpenak islatuz, batzuetan kolorezko xehetasunak gehituz (adibidez, Inurrieta emaginaren begiak).
</t>
    </r>
    <r>
      <rPr>
        <strike val="true"/>
        <sz val="9"/>
        <color rgb="FF000000"/>
        <rFont val="Arial"/>
        <family val="0"/>
        <charset val="1"/>
      </rPr>
      <t xml:space="preserve">Erakusketan parte hartzen duten emakumeen artean daude Gurutzi Arregi, Begoña Ereñaga, Gloria Zubia eta Elbira Inurrieta, besteak beste.</t>
    </r>
    <r>
      <rPr>
        <sz val="9"/>
        <color rgb="FF000000"/>
        <rFont val="Arial"/>
        <family val="0"/>
        <charset val="1"/>
      </rPr>
      <t xml:space="preserve"> Azurmendik bere sinadura den zuri-beltza erabili du, eta bere adierazpen modua marrazkiak direla azpimarratu du, hitzekin baino gehiago esaten duelako. Proiektuak emakumeen ekarpenak gogorarazten ditu eta haien irudia ematen die, historiako orrialdeetan agertzen ez diren arren.</t>
    </r>
  </si>
  <si>
    <t xml:space="preserve"> Maitane Azurmendi margolariak Durangaldeko hamabost emakumeren erretratuak egin ditu WikiEmakumeok proiektuaren eskurik, historiako izen handien ondoan ageri ez diren emakumeei aurpegia jarriz. Zuri-beltzeko marrazkiez osatutako erakusketa Durangoko Arte eta Historia Museoan dago ikusgai. Azurmendik azaldu du emakume hauek lorpen handiak egin zituztela baina inoiz ez zirela modu egokian aitortu. Bere marrazkiak bihotzetik sortzen dituela esan du, eta salaketarako eta memoriarako tresna gisa erabiltzen dituela. Bere buruaren erretratuak ere egin ditu, eta hurrengo erretratuaren subjektua oraindik zehaztu gabe du.
</t>
  </si>
  <si>
    <r>
      <rPr>
        <sz val="9"/>
        <color rgb="FF000000"/>
        <rFont val="Arial"/>
        <family val="0"/>
        <charset val="1"/>
      </rPr>
      <t xml:space="preserve"> 83 urteko gizon bati etxeko atxiloaldia ezarri dio Agoizko Lehen Instantziako Epaitegiak, igandean bere 55 urteko semea tiroz hiltzeagatik. Epaileak komunikazio eskubidea mugatu gabe utzi du eta bermerik ezarri gabe utzi du. Delitu gisa hilketa kargatu dio. Aitak semea bere etxean hil zuen, eta foruzaingoak atxilotu zuen gero. Epaitegiaren arabera, aitak zaintza medikoa behar du eta </t>
    </r>
    <r>
      <rPr>
        <strike val="true"/>
        <sz val="9"/>
        <color rgb="FF000000"/>
        <rFont val="Arial"/>
        <family val="0"/>
        <charset val="1"/>
      </rPr>
      <t xml:space="preserve">ez dago espetxeratzeko arriskurik orain</t>
    </r>
    <r>
      <rPr>
        <sz val="9"/>
        <color rgb="FF000000"/>
        <rFont val="Arial"/>
        <family val="0"/>
        <charset val="1"/>
      </rPr>
      <t xml:space="preserve">. Fiskalak espetxe arindua eskatu du, baina defentsak ez du arriskurik ikusten. Epaileak etxeko atxiloaldia ezarri du, ihes egiteko </t>
    </r>
    <r>
      <rPr>
        <strike val="true"/>
        <sz val="9"/>
        <color rgb="FF000000"/>
        <rFont val="Arial"/>
        <family val="0"/>
        <charset val="1"/>
      </rPr>
      <t xml:space="preserve">eta frogak suntsitzeko</t>
    </r>
    <r>
      <rPr>
        <sz val="9"/>
        <color rgb="FF000000"/>
        <rFont val="Arial"/>
        <family val="0"/>
        <charset val="1"/>
      </rPr>
      <t xml:space="preserve"> arriskua ikusita. </t>
    </r>
    <r>
      <rPr>
        <strike val="true"/>
        <sz val="9"/>
        <color rgb="FF000000"/>
        <rFont val="Arial"/>
        <family val="0"/>
        <charset val="1"/>
      </rPr>
      <t xml:space="preserve">Aitak semeari dirua eskatu zion eta, </t>
    </r>
    <r>
      <rPr>
        <sz val="9"/>
        <color rgb="FF000000"/>
        <rFont val="Arial"/>
        <family val="0"/>
        <charset val="1"/>
      </rPr>
      <t xml:space="preserve">uko egin zionean, hiru tiro egin zizkion.</t>
    </r>
  </si>
  <si>
    <r>
      <rPr>
        <sz val="9"/>
        <color rgb="FF000000"/>
        <rFont val="Arial"/>
        <family val="0"/>
        <charset val="1"/>
      </rPr>
      <t xml:space="preserve"> **Edukirik garrantzitsuena eta laburpena:**
83 urteko gizon batek bere 55 urteko semea tiroz hil zuen Labion, Nafarroan, eta Agoizko Lehen Instantziako Epaitegiak etxeko atxiloaldia ezarri dio, auzi medikuaren txostenaren arabera osasun arazoak dituelako eta espetxean sartzeko ez dela egokia. Fiskalak espetxe arindua eskatu zuen, ihes eta froga suntsitzeko arriskua ikusita, baina defentsak ez zuela arriskurik adierazi zuen eta 15.000 euroko bermea eskatu zuen. Epaileak, arriskuak kontuan hartuta, etxeko atxiloaldia </t>
    </r>
    <r>
      <rPr>
        <strike val="true"/>
        <sz val="9"/>
        <color rgb="FF000000"/>
        <rFont val="Arial"/>
        <family val="0"/>
        <charset val="1"/>
      </rPr>
      <t xml:space="preserve">mantendu</t>
    </r>
    <r>
      <rPr>
        <sz val="9"/>
        <color rgb="FF000000"/>
        <rFont val="Arial"/>
        <family val="0"/>
        <charset val="1"/>
      </rPr>
      <t xml:space="preserve"> zuen, </t>
    </r>
    <r>
      <rPr>
        <strike val="true"/>
        <sz val="9"/>
        <color rgb="FF000000"/>
        <rFont val="Arial"/>
        <family val="0"/>
        <charset val="1"/>
      </rPr>
      <t xml:space="preserve">semearen mehatxuak eta</t>
    </r>
    <r>
      <rPr>
        <sz val="9"/>
        <color rgb="FF000000"/>
        <rFont val="Arial"/>
        <family val="0"/>
        <charset val="1"/>
      </rPr>
      <t xml:space="preserve"> aitaren osasun egoera aintzat hartuta. Hilketa gertatu zen ostiral goizaldean, semeak dirua eskatzen zion </t>
    </r>
    <r>
      <rPr>
        <strike val="true"/>
        <sz val="9"/>
        <color rgb="FF000000"/>
        <rFont val="Arial"/>
        <family val="0"/>
        <charset val="1"/>
      </rPr>
      <t xml:space="preserve">bitartean</t>
    </r>
    <r>
      <rPr>
        <sz val="9"/>
        <color rgb="FF000000"/>
        <rFont val="Arial"/>
        <family val="0"/>
        <charset val="1"/>
      </rPr>
      <t xml:space="preserve">, eta aitak hiru tiro egin zizkion.</t>
    </r>
  </si>
  <si>
    <r>
      <rPr>
        <sz val="9"/>
        <color rgb="FF000000"/>
        <rFont val="Arial"/>
        <family val="0"/>
        <charset val="1"/>
      </rPr>
      <t xml:space="preserve"> **Zer:** 83 urteko gizon batek bere 55 urteko semea tiroz hil zuen bere etxean, eta etxeko atxiloaldia ezarri diote.
**Nork:** 83 urteko gizon bat eta bere 55 urteko semea.
**Noiz:** </t>
    </r>
    <r>
      <rPr>
        <strike val="true"/>
        <sz val="9"/>
        <color rgb="FF000000"/>
        <rFont val="Arial"/>
        <family val="0"/>
        <charset val="1"/>
      </rPr>
      <t xml:space="preserve">Igandean gertatu zen</t>
    </r>
    <r>
      <rPr>
        <sz val="9"/>
        <color rgb="FF000000"/>
        <rFont val="Arial"/>
        <family val="0"/>
        <charset val="1"/>
      </rPr>
      <t xml:space="preserve">, eta asteartean epaitu zuten.
**Non:** Labion (Nafarroa) dagoen etxe batean.
**Zergatik:** Semeak aitari 200 euro eskatu zizkion mehatxuz, eta aitak, uko egin ondoren, hiru tiro egin zizkion.
**Nola:** Aitak eskopeta hartu, hiru kartutxo kargatu eta semearengana joan zen, non hiru tiro egin zizkion: bi bihotzaren parean eta hirugarrena aurpegian. Auzi medikuaren azterketaren ondoren, etxeko atxiloaldia ezarri diote aitari, osasun arazoengatik espetxean sartzeko ezin dela uste delako, baina fiskalak espetxe arindua eskatu du.</t>
    </r>
  </si>
  <si>
    <t xml:space="preserve"> 83 urteko gizon batek bere 55 urteko semea tiroz hil zuen bere etxean Nafarroan. Epaileak etxeko atxiloaldia ezarri dio gizonari, osasun arazoak direla eta espetxean sartzeko egokitasunik ez duelako ikusi ondoren. Fiskalak espetxe arindua eskatu zuen, baina defentsak ez du arriskurik ikusten. Epaileak ihes egiteko arriskua eta ekintzaren bortiztasuna aipatu ditu atxiloaldiaren arrazoietan.
</t>
  </si>
  <si>
    <t xml:space="preserve"> Azaroaren 21ean, Siemens Gamesak urteko emaitzak eta etorkizuneko plan estrategikoa aurkeztuko ditu, eta enpresaren egoera kezkagarria da kostuen igoeraren, teknologia lasterketaren eta Txinako enpresen lehiaren ondorioz. Lanpostu galera handiaren beldurra dago, eta sektorea bera arriskuan dagoela uste da. Reuters-ek jakinarazi du Siemens taldeak Siemens Gamesako fabrika eta bulegoak saltzea aztertzen ari dela, luzaroan irauteko asmoz. Hala ere, ELA sindikatuak ez du konfiantzarik enpresaren hitzetan eta hornitzaileen egoera txarraren adibidea ematen du. Sektore eolikoak trantsizio energetikoaren onurak izan beharko lituzke, baina kostuen igoera eta lehia teknologikoak arazoak sortzen dituzte. Asiako lehiakideek, batez ere Txinakoek, laguntza gobernuarenaren ondorioz lehia desleiala egiten dute. ELAk sektorea babesteko eskatu du, tokiko produkzioa lehenesten duten neurriak hartuz. Siemens Gamesak Hego Euskal Herrian 2.900 langile ditu, eta sindikatuak gobernuen laguntza eskatu du sektorea babesteko, baina kritikatu ditu "hitz hutsalak" jaso dituela. Datozen asteetan bilerak eskatuko dizkie bi gobernuei eta eragile politikoei.
</t>
  </si>
  <si>
    <t xml:space="preserve"> **Edukirik Garrantzitsuena:**
Siemens Gamesak azaroaren 21ean aurkeztuko dituen urteko emaitzak eta etorkizuneko plan estrategikoak kezka handia sortu dute, kostuen igoerak, lehia teknologikoak eta Txinako enpresen lehiakide desleialak eragindako errentagarritasun arazoengatik. Enpresak lanpostu galera handiak iragarri ditzakeela eta fabrika eta bulegoak saltzea aztertzen ari dela jakinarazi da. Sektore osoa arriskuan dago, eta ELAk sektorea babesteko eskatu du, tokiko produkzioa lehenesten duten neurriak hartuz. Siemens Gamesak Hego Euskal Herrian 2.900 laguni ematen die lana, eta gobernuei eta eragile politikoei aurrez jokatzeko eta sektorea babesteko deia egin diete.
**Laburpena:**
Siemens Gamesaren emaitza eta plan estrategikoak kezka piztu dute errentagarritasun arazoengatik. Enpresak lanpostu galera eta ondasunen salmenta aztertzen ari da, eta sektore osoa arriskuan dago. ELAk tokiko produkzioaren lehentasuna eskatzen du eta gobernuei eta eragile politikoei sektorea babesteko deia egiten die.</t>
  </si>
  <si>
    <r>
      <rPr>
        <sz val="9"/>
        <color rgb="FF000000"/>
        <rFont val="Arial"/>
        <family val="0"/>
        <charset val="1"/>
      </rPr>
      <t xml:space="preserve"> **Zer:** Siemens Gamesak azaroaren 21ean urteko emaitzak eta etorkizuneko plan estrategikoa aurkeztuko ditu,</t>
    </r>
    <r>
      <rPr>
        <strike val="true"/>
        <sz val="9"/>
        <color rgb="FF000000"/>
        <rFont val="Arial"/>
        <family val="0"/>
        <charset val="1"/>
      </rPr>
      <t xml:space="preserve"> eta lanpostu galera handiaren beldur dira,</t>
    </r>
    <r>
      <rPr>
        <sz val="9"/>
        <color rgb="FF000000"/>
        <rFont val="Arial"/>
        <family val="0"/>
        <charset val="1"/>
      </rPr>
      <t xml:space="preserve"> kostuen igoerak, lehia desleialak eta teknologia lehiaketa gogorrak eragindako errentagarritasun arazoengatik.
**Nork:** Siemens Gamesa enpresa eta ELA sindikatua.
**Noiz:** Azaroaren 21ean.
**Non:** Ez da kokapen zehatzik aipatzen, baina enpresaren egoitza eta fabrikak Euskal Herrian eta Nafarroan daude.
**Zergatik:** Kostuen igoerak, sektoreko lehia teknologiko gogorra, eta Txinako enpresen lehia desleialak eragindako errentagarritasun arazoak </t>
    </r>
    <r>
      <rPr>
        <strike val="true"/>
        <sz val="9"/>
        <color rgb="FF000000"/>
        <rFont val="Arial"/>
        <family val="0"/>
        <charset val="1"/>
      </rPr>
      <t xml:space="preserve">direla eta,</t>
    </r>
    <r>
      <rPr>
        <sz val="9"/>
        <color rgb="FF000000"/>
        <rFont val="Arial"/>
        <family val="0"/>
        <charset val="1"/>
      </rPr>
      <t xml:space="preserve"> Siemens Gamesak etorkizuneko plan estrategiko berritua aurkeztu behar du, eta lanpostu galera handiak ezagutzera eman ditzake.
**Nola:** Siemens Gamesak fabrika eta bulegoak saltzea aztertzen ari dela jakinarazi du Reuters agentziak, fabrikazioaren funtsezko osagaiak azpikontratatzeko asmoz. Gainera, ELAk sektorea babesteko eskatu du, tokiko produkzioa lehenesten duten neurriak hartuz eta deslokalizazioaren aurkako baldintzak jasotzen dituzten babes neurriak eskatuz.</t>
    </r>
  </si>
  <si>
    <r>
      <rPr>
        <sz val="9"/>
        <color rgb="FF000000"/>
        <rFont val="Arial"/>
        <family val="0"/>
        <charset val="1"/>
      </rPr>
      <t xml:space="preserve"> Siemens Gamesak azaroaren 21ean aurkeztuko ditu urteko emaitzak eta etorkizuneko plan estrategikoa, eta lanpostu galera handiak iragarri ditzake kostuen igoeraren, lehia teknologikoaren eta Txinako enpresen lehia desleialaren ondorioz. Enpresak fabrika eta bulegoak saltzea aztertzen ari dela ere jakinarazi da, arnasa emateko asmoz. ELAk kezka adierazi du, </t>
    </r>
    <r>
      <rPr>
        <strike val="true"/>
        <sz val="9"/>
        <color rgb="FF000000"/>
        <rFont val="Arial"/>
        <family val="0"/>
        <charset val="1"/>
      </rPr>
      <t xml:space="preserve">hornitzaileak azpikontratatzeari utzi diotela</t>
    </r>
    <r>
      <rPr>
        <sz val="9"/>
        <color rgb="FF000000"/>
        <rFont val="Arial"/>
        <family val="0"/>
        <charset val="1"/>
      </rPr>
      <t xml:space="preserve"> eta sektorea babesteko eskatu du, tokiko produkzioa lehenetsiz. Siemens Gamesak Hego Euskal Herrian 2.900 laguni ematen die lana, eta gobernuei eta eragile politikoei bilerak eskatuko dizkie sektorea babesteko estrategiak ezartzeko.</t>
    </r>
  </si>
  <si>
    <t xml:space="preserve"> Idoia Torregarai, UEUko komunikazio arduraduna eta umorezko idazlea, Twitterren lortutako arrakastari esker ezaguna egin da, non bere 140 karaktereko txioek perla ugari sortu dituzten. Mikroipuinak liburuan, Zaldieroaren ilustrazioekin, bere txio onenak bildu ditu, eguneroko bizitzaren xehetasunak umorez eta lirismoz deskribatuz. Liburuaren sorreran, Zaldieroren ekarpena funtsezkoa izan zen, Torregarairen txio batzuk marrazki bihurtuz. 150 mikroipuin dituen liburuak, maitasuna, janaria eta beste gai batzuk jorratzen ditu, eta sortzeko prozesuan momentuko inspirazioa erabiltzen du. Torregaraik azaldu duenez, sare sozialetako muga izan zen bere sormena askatzeko bidea ireki zion faktorea, eta bere helburua idaztetik bizi izatea da.
</t>
  </si>
  <si>
    <t xml:space="preserve"> **Edukirik Garrantzitsuena:**
Idoia Torregarai, UEUko komunikazio arduraduna eta umorezko idazlea, bere Twitter kontuan lortutako arrakastaren ondorioz, "Mikroipuinak" liburua argitaratu du, Xabier Mendiguren editorearen laguntzarekin eta Patxi Uharte Zaldieroa ilustratzailearen ekarpenarekin. Liburu honek 150 mikroipuin biltzen ditu, eguneroko bizitzako xehetasunak eta obsesioak islatuz, hala nola janaria, maitasuna eta poltsa beroa. Torregarairen sormena 140 karaktereko Twitter txioen muga gaindituz garatu zen, eta bere alter egoa, Josunestilist, erabiliz hasi zen idazten. Azkenean, liburu formatuan plazaratu ziren bere mikroipuinak, minimalismoa eta zuritasuna nabarmentzen dituzten Zaldieroren ilustrazioekin batera.
**Laburpena:**
Idoia Torregarai, umorezko idazlea, bere Twitter kontuko arrakastaren ondorioz "Mikroipuinak" liburua argitaratu du, Xabier Mendiguren eta Patxi Uharte Zaldieroa laguntzarekin. Liburuak 150 mikroipuin ditu, eguneroko bizitzako xehetasunak islatuz eta Twitterren muga gaindituz garatuak. Zaldieroren minimalista eta zuritza ilustrazioekin batera, liburuak egunerokoaren edertasuna eta ezustekoak azpimarratzen ditu.
</t>
  </si>
  <si>
    <t xml:space="preserve"> **Zer:** Idoia Torregarai eta Patxi Uharte Zaldierok "Mikroipuinak" izeneko liburua argitaratu dute, 140 karaktereko txioetan oinarritutako mikroipuinak bilduz.
**Nork:** Idoia Torregarai (euskarazko idazlea eta komunikatzailea) eta Patxi Uharte Zaldieroa (BERRIAko komiki zintagilea).
**Noiz:** Argitalpen data zehaztu gabe dago, baina testuaren arabera, duela gutxi kaleratu da.
**Non:** Elkar argitaletxeak plazaratu du liburua, Euskal Herrian.
**Zergatik:** Torregarai Twitterren zuen sormenaren emaitza gisa, eta Zaldierok bere txioen artean interesgarriak aurkitu ondoren, proiektua elkarlanean garatu zuten. Liburuaren helburua mikroipuin laburrak literatura gisa aurkeztea da.
**Nola:** Torregaraien txioak bildu eta Zaldierok ilustrazioak egin ditu, mikroipuinak osatuz. Liburua txikia da, eta ez guztiak dira ilustratuak, "minimalismoa" eta "zuritasuna" mantenduz. Irakurleak gonbidatzen dira bere marrazkiak egitera ilustratu gabe geratutako orrialdeetan.
</t>
  </si>
  <si>
    <t xml:space="preserve"> Idoia Torregarai, UEUko komunikazio arduraduna eta umorezko idazlea, bere Twitter txioetan oinarritutako "Mikroipuinak" liburua argitaratu du Xabier Mendiguren editorearen laguntzarekin eta Patxi Uharte Zaldieroa ilustratzailearen ekarpenarekin. Liburuak 150 mikroipuin biltzen ditu, eguneroko bizitzako xehetasunak eta obsesioak irudikatzen dituztenak, hala nola janaria eta maitasuna. Torregaraik sare sozialetako muga erabiliz garatu zuen bere sormena, eta bere alter egoa, Josunestilist, erabiliz plazaratu zituen lehenik bere lanak. Liburuaren ilustrazio minimalista eta zuritasuna nabarmentzen dira, eta irakurleak gonbidatzen ditu bere marrazkiak egitera ilustratu gabe geratzen diren orrialdeetan. Torregaraik adierazi du idaztea helburu nagusia duela eta sare sozialen bidez aurkitu duela idazteko aukera eta komunitatea.
</t>
  </si>
  <si>
    <r>
      <rPr>
        <sz val="9"/>
        <color rgb="FF000000"/>
        <rFont val="Arial"/>
        <family val="0"/>
        <charset val="1"/>
      </rPr>
      <t xml:space="preserve"> Guardia Zibilak Euskal Herrian "Europako speed laborategirik handiena" desegin du, 800 kilo speed, 8 kilo MDMA eta 180.000 euro konfiskatuz. Zortzi gizonezko atxilotu dituzte Nafarroan, Gipuzkoan, Leonen eta Madrilen, eta denak espetxean daude. Operazioa iazko ekainean hasi zen, 42 urteko Bilboko gizon bat atxilotuz speedarekin. Ondoren, beste bi kamioi atzeman ziren speedarekin, eta azkenik, Donostiako kanpoaldeko laborategia aurkitu zuten.</t>
    </r>
    <r>
      <rPr>
        <strike val="true"/>
        <sz val="9"/>
        <color rgb="FF000000"/>
        <rFont val="Arial"/>
        <family val="0"/>
        <charset val="1"/>
      </rPr>
      <t xml:space="preserve"> Atxilotuek 55 milioi euro baino gehiagoko droga zeramaten.</t>
    </r>
  </si>
  <si>
    <r>
      <rPr>
        <sz val="9"/>
        <color rgb="FF000000"/>
        <rFont val="Arial"/>
        <family val="0"/>
        <charset val="1"/>
      </rPr>
      <t xml:space="preserve"> **Edukirik garrantzitsuena eta laburketa:**
Guardia Zibilak Europako handienetako speed laborategi bat desegin du Euskal Herrian, non 800 kilo speed, 8 kilo MDMA eta 180.000 euro eskudirutan konfiskatu dituzten. Zortzi gizonezko atxilotu dituzte lau probintzitan eta denak espetxeratu. Operazioa iazko ekainean hasi zen eta laborategia Donostia kanpoaldean aurkitu zuten. </t>
    </r>
    <r>
      <rPr>
        <strike val="true"/>
        <sz val="9"/>
        <color rgb="FF000000"/>
        <rFont val="Arial"/>
        <family val="0"/>
        <charset val="1"/>
      </rPr>
      <t xml:space="preserve">Atxilotuek 55 milioi euro baino gehiagoko droga balioa zuten.</t>
    </r>
  </si>
  <si>
    <t xml:space="preserve"> **Zer:** Europako speed laborategirik handiena desegin dute Euskal Herrian, non 800 kilo speed, 8 kilo MDMA eta 180.000 euro eskudirutan konfiskatu diren, eta zortzi gizonezko atxilotu.
**Nork:** Guardia Zibilak eta Espainiako Gobernuaren Nafarroako ordezkariak.
**Noiz:** Gaur, Iruñean egindako agerraldian jakinarazi zuten.
**Non:** Euskal Herrian, batez ere Nafarroan, Gipuzkoan, Leonen eta Madrilen. Laborategia Donostia kanpoaldeko bulegoetan aurkitu zuten.
**Zergatik:** Droga sare baten aurkako operazio baten ondorioz, iazko ekainetik hasita, non 40 eta 42 kilo speed zeramatzan ibilgailuak atxilotu ziren eta azkenik laborategia aurkitu zuten.
**Nola:** Operazioa iazko ekainean hasi zen, Bilboko gizon bat atxilotuz speed zeramatzala. Ondoren, beste ibilgailu batzuk atxilotu ziren eta jarraitze eta barrandatze lanen ondorioz laborategiraino iritsi ziren. Atxiloketak eta ikerketak jarraitu zuten, azkenean zortzi pertsona atxilotuz eta droga eta tresneria guztiak konfiskatuz.
</t>
  </si>
  <si>
    <t xml:space="preserve"> Guardia Zibilak Euskal Herrian Europako handienetako speed laborategi bat desegin du, non 800 kilo speed, 8 kilo MDMA eta 180.000 euro konfiskatu diren. Zortzi gizonezko atxilotu dira lau probintzietan eta denak espetxeratu dituzte. Operazioa iazko ekainean hasi zen eta laborategia Donostiako kanpoaldean aurkitu dute. Gainera, hamaika auto eta kamioi bat ere aurkitu dira.
</t>
  </si>
  <si>
    <t xml:space="preserve">2020ko otsailaren 29an, 24 urteko langile bat hil zen Murgako Zorroza Gestion de Residuos enpresan lan istripu baten ondorioz. Enpresak bere gain hartu du gertatutakoaren erantzukizuna, urte eta erdiko kartzela zigorra onartu du, eta 30.000 euroko kalte ordaina ordainduko du. Langilea teilatura igo zen hodi bat konpontzeko, baina teilatu zati bat puskatu eta erori egin zen. Fiskaltzaren, akusazio partikularraren eta defentsaren arteko akordio baten ondorioz, auzibidea amaitu da. LAB sindikatuak enpresaren lan baldintza gogorrak salatu ditu, langileentzat "eskubiderik gabeko eremu bat" dela adieraziz.</t>
  </si>
  <si>
    <r>
      <rPr>
        <sz val="9"/>
        <color rgb="FF999999"/>
        <rFont val="Arial"/>
        <family val="0"/>
        <charset val="1"/>
      </rPr>
      <t xml:space="preserve">Testuaren edukirik garrantzitsuena honakoa da: </t>
    </r>
    <r>
      <rPr>
        <sz val="9"/>
        <color rgb="FF000000"/>
        <rFont val="Arial"/>
        <family val="0"/>
        <charset val="1"/>
      </rPr>
      <t xml:space="preserve">"Zorroza Gestion de Residuos" enpresak 24 urteko langile baten heriotzaren erantzukizuna onartu du, langilea laneko istripu baten ondorioz hil baitzen. Enpresak urte eta erdiko kartzela zigorra eta 30.000 euroko kalte-ordaina onartu ditu. Sindikatuak enpresaren lan baldintza gogorrak salatu ditu, eta langileentzat "eskubiderik gabeko eremua" dela adierazi du.</t>
    </r>
  </si>
  <si>
    <r>
      <rPr>
        <sz val="9"/>
        <color rgb="FF000000"/>
        <rFont val="Arial"/>
        <family val="0"/>
        <charset val="1"/>
      </rPr>
      <t xml:space="preserve">Hurrengo da 5W1H metodoaren bidez egindako laburpena:
- **Zer:** Langile bat hil zen lan istripu batean Murgako Zorroza Gestion de Residuos enpresan 2020ko otsailaren 29an.
- **Nork:** Bassirou Dione, 24 urteko langilea, hil zen, eta enpresak bere gain hartu du gertatutakoaren erantzukizuna.
- **Noiz:** 2020ko otsailaren 29an gertatu zen istripua, eta aste honetan jakin da epaiketaren emaitza.
- **Non:** Murgako Zorroza Gestion de Residuos enpresan gertatu zen istripua.
- **Zergatik:** </t>
    </r>
    <r>
      <rPr>
        <strike val="true"/>
        <sz val="9"/>
        <color rgb="FF000000"/>
        <rFont val="Arial"/>
        <family val="0"/>
        <charset val="1"/>
      </rPr>
      <t xml:space="preserve">Enpresak ez zituen langileen segurtasun neurriak hartu</t>
    </r>
    <r>
      <rPr>
        <sz val="9"/>
        <color rgb="FF000000"/>
        <rFont val="Arial"/>
        <family val="0"/>
        <charset val="1"/>
      </rPr>
      <t xml:space="preserve">, eta langileei euren jardueratik kanpoko lanak egitera behartu zituen, horien artean teilatura igoera segurtasun neurri gabe.
- **Nola:** Enpresak urte eta erdiko kartzela zigorra onartu du eta 30.000 euroko kalte ordaina ordainduko du. Fiskaltzaren, akusazio partikularraren eta defentsaren arteko akordio baten ondorioz amaitu da auzibidea.</t>
    </r>
  </si>
  <si>
    <t xml:space="preserve">2020ko otsailaren 29an, 24 urteko langile bat hil zen Murgako Zorroza Gestion de Residuos enpresan lan istripu baten ondorioz. Enpresak bere gain hartu du gertatutakoaren erantzukizuna, urte eta erdiko kartzela zigorra onartu du, eta 30.000 euroko kalte ordaina ordainduko du. Sindikatuak enpresaren lan baldintza gogorrak salatu ditu, eta "Guantanamo laboral" bat dela adierazi du.</t>
  </si>
  <si>
    <r>
      <rPr>
        <sz val="9"/>
        <color rgb="FF000000"/>
        <rFont val="Arial"/>
        <family val="0"/>
        <charset val="1"/>
      </rPr>
      <t xml:space="preserve">Erik Jaka eta Jon </t>
    </r>
    <r>
      <rPr>
        <strike val="true"/>
        <sz val="9"/>
        <color rgb="FF000000"/>
        <rFont val="Arial"/>
        <family val="0"/>
        <charset val="1"/>
      </rPr>
      <t xml:space="preserve">Mari Zearra</t>
    </r>
    <r>
      <rPr>
        <sz val="9"/>
        <color rgb="FF000000"/>
        <rFont val="Arial"/>
        <family val="0"/>
        <charset val="1"/>
      </rPr>
      <t xml:space="preserve"> (Mariezkurrena) indartsu dabiltza Binakako Txapelketan. Hiru partida jokatu dituzte, eta hirurak irabazi dituzte. Azken partidan, Danel Elezkano eta Julen Martija 9-22 garaitu dituzte, eta txapela janzteko hautagai nagusien artean daudela erakutsi dute. Mariezkurrena bolada onean dago eta atzean nagusitzen da, Jakak, berriz, aise amaitzen ditu tantoak. 16 tanto egin ditu Bizkaia pilotalekuan, zortzi ezker gantxoarekin.</t>
    </r>
  </si>
  <si>
    <r>
      <rPr>
        <sz val="9"/>
        <color rgb="FF666666"/>
        <rFont val="Arial"/>
        <family val="0"/>
        <charset val="1"/>
      </rPr>
      <t xml:space="preserve">Testuaren edukirik garrantzitsuena Erik Jaka eta Jon Mariezkurrena bikotearen indartsu ibilbidea da Binakako Txapelketan, hiru partida irabazita eta txapela janzteko hautagai nagusien artean kokatuta. Laburtutako testua:
</t>
    </r>
    <r>
      <rPr>
        <sz val="9"/>
        <color rgb="FF000000"/>
        <rFont val="Arial"/>
        <family val="0"/>
        <charset val="1"/>
      </rPr>
      <t xml:space="preserve">
Erik Jaka eta Jon Mariezkurrena bikotea indartsu dabiltza Binakako Txapelketan, hiru partida irabazi dituzte eta txapela janzteko hautagai nagusien artean daude. Mariezkurrena bolada bikainean dago eta nagusitu egiten da atzean, Jakak tantoak aise amaitzen ditu. </t>
    </r>
    <r>
      <rPr>
        <strike val="true"/>
        <sz val="9"/>
        <color rgb="FF000000"/>
        <rFont val="Arial"/>
        <family val="0"/>
        <charset val="1"/>
      </rPr>
      <t xml:space="preserve">Bikoteak 16 tanto egin ditu Bizkaia pilotalekuan</t>
    </r>
    <r>
      <rPr>
        <sz val="9"/>
        <color rgb="FF000000"/>
        <rFont val="Arial"/>
        <family val="0"/>
        <charset val="1"/>
      </rPr>
      <t xml:space="preserve">, eta Elordi-Rezustarekin batera, norgehiagoka guztiak irabazi dituen bikote bakarra da.</t>
    </r>
  </si>
  <si>
    <r>
      <rPr>
        <sz val="9"/>
        <color rgb="FF666666"/>
        <rFont val="Arial"/>
        <family val="0"/>
        <charset val="1"/>
      </rPr>
      <t xml:space="preserve">Hona 5W1H metodoaren aplikazioa testuari:
</t>
    </r>
    <r>
      <rPr>
        <sz val="9"/>
        <color rgb="FF000000"/>
        <rFont val="Arial"/>
        <family val="0"/>
        <charset val="1"/>
      </rPr>
      <t xml:space="preserve">
* **Zer**: Erik Jakak eta Jon Mariezkurrenak hiru partidak irabazi dituzte Binakako Txapelketan, eta txapela janzteko hautagai nagusiak dira.
* **Nork**: Erik Jaka eta Jon Mariezkurrena, batez ere, eta baita Danel Elezkano eta Julen Martija ere, haien aurkariak.
* **Noiz**: </t>
    </r>
    <r>
      <rPr>
        <sz val="9"/>
        <color rgb="FF666666"/>
        <rFont val="Arial"/>
        <family val="0"/>
        <charset val="1"/>
      </rPr>
      <t xml:space="preserve">Testuan ez da zehazten noiz gertatzen diren partidak, baina aipatzen da</t>
    </r>
    <r>
      <rPr>
        <sz val="9"/>
        <color rgb="FF000000"/>
        <rFont val="Arial"/>
        <family val="0"/>
        <charset val="1"/>
      </rPr>
      <t xml:space="preserve"> hiru partida jokatu dituztela.
* **Non**: </t>
    </r>
    <r>
      <rPr>
        <strike val="true"/>
        <sz val="9"/>
        <color rgb="FF000000"/>
        <rFont val="Arial"/>
        <family val="0"/>
        <charset val="1"/>
      </rPr>
      <t xml:space="preserve">Partidak Bizkaia pilotalekuan jokatzen ari dira.
</t>
    </r>
    <r>
      <rPr>
        <sz val="9"/>
        <color rgb="FF000000"/>
        <rFont val="Arial"/>
        <family val="0"/>
        <charset val="1"/>
      </rPr>
      <t xml:space="preserve">* **Zergatik**: </t>
    </r>
    <r>
      <rPr>
        <sz val="9"/>
        <color rgb="FF666666"/>
        <rFont val="Arial"/>
        <family val="0"/>
        <charset val="1"/>
      </rPr>
      <t xml:space="preserve">Ez da zehazten zergatik ari diren Jaka eta Mariezkurrena hain ongi jokatzen, baina aipatzen da</t>
    </r>
    <r>
      <rPr>
        <sz val="9"/>
        <color rgb="FF000000"/>
        <rFont val="Arial"/>
        <family val="0"/>
        <charset val="1"/>
      </rPr>
      <t xml:space="preserve"> Mariezkurrena bolada bikainean dagoela eta Jakak aise amaitzen dituela tantoak.
* **Nola**: Jaka eta Mariezkurrena bikote bikaina osatzen ari dira, Mariezkurrenak atzean nagusitzen delarik eta Jakak aurrean tantoak amaitzen dituelarik. </t>
    </r>
    <r>
      <rPr>
        <sz val="9"/>
        <color rgb="FF666666"/>
        <rFont val="Arial"/>
        <family val="0"/>
        <charset val="1"/>
      </rPr>
      <t xml:space="preserve">Aipatzen da ere </t>
    </r>
    <r>
      <rPr>
        <sz val="9"/>
        <color rgb="FF000000"/>
        <rFont val="Arial"/>
        <family val="0"/>
        <charset val="1"/>
      </rPr>
      <t xml:space="preserve">Jakak 16 tanto egin dituela, horietatik zortzi ezker gantxoa baliatuta.</t>
    </r>
  </si>
  <si>
    <t xml:space="preserve">Erik Jaka eta Jon Mariezkurrena bikoteak hiru partida irabazi ditu Binakako Txapelketan, eta txapela janzteko hautagai nagusien artean daude. Mariezkurrena bolada bikainean dago eta atzean nagusitzen da, Jakak tantoak aise amaitzen ditu. Bestalde, Danel Elezkano eta Julen Martija bikoteak hiru partida galdu ditu, eta laster hasi beharko dute irabazten lehen postuetatik urrundu ezartzeko.</t>
  </si>
  <si>
    <r>
      <rPr>
        <sz val="9"/>
        <color rgb="FF000000"/>
        <rFont val="Arial"/>
        <family val="0"/>
        <charset val="1"/>
      </rPr>
      <t xml:space="preserve">Gipuzkoako basozainak eta hainbat kolektibotako kideak elkartu dira Esnaurrieta txabolan, Ruraltxa proiektua ezagutaratzeko. Proiektu horren helburua da mendiaren eta mendiko abeltzaintza estentsiboaren erabilera tradizionalari balioa ematea. Joseba Insausti artzainak mendiko gazta egiten du txabolan, eta </t>
    </r>
    <r>
      <rPr>
        <strike val="true"/>
        <sz val="9"/>
        <color rgb="FF000000"/>
        <rFont val="Arial"/>
        <family val="0"/>
        <charset val="1"/>
      </rPr>
      <t xml:space="preserve">Gipuzkoako sukaldariak </t>
    </r>
    <r>
      <rPr>
        <sz val="9"/>
        <color rgb="FF000000"/>
        <rFont val="Arial"/>
        <family val="0"/>
        <charset val="1"/>
      </rPr>
      <t xml:space="preserve">bertaratzeko gonbidapena egin diete, artzaintzari eta ardiari gorazarre egiteko. Sukaldariek aukeratutako produktuak aurkeztu dituzte, eta artzaintzaren garrantzia azpimarratu dute gastronomian.</t>
    </r>
  </si>
  <si>
    <r>
      <rPr>
        <sz val="9"/>
        <color rgb="FF000000"/>
        <rFont val="Arial"/>
        <family val="0"/>
        <charset val="1"/>
      </rPr>
      <t xml:space="preserve">Testuaren edukirik garrantzitsuena Ruraltxa proiektua da, mendiko abeltzaintza estentsiboa berreskuratzeko eta balioa emateko asmoa duena. Proiektu hau Europar Batasuneko Next Generation funtsen bidez finantzatuta dago eta Hazi fundazioa, Coruñako eta Santiagoko unibertsitateak </t>
    </r>
    <r>
      <rPr>
        <strike val="true"/>
        <sz val="9"/>
        <color rgb="FF000000"/>
        <rFont val="Arial"/>
        <family val="0"/>
        <charset val="1"/>
      </rPr>
      <t xml:space="preserve">eta Gipuzkoako Parketxe Sarea</t>
    </r>
    <r>
      <rPr>
        <sz val="9"/>
        <color rgb="FF000000"/>
        <rFont val="Arial"/>
        <family val="0"/>
        <charset val="1"/>
      </rPr>
      <t xml:space="preserve"> dira proiektuko kideak.
Testu laburtua:
Ruraltxa proiektua abian jarri da, mendiko abeltzaintza estentsiboa berreskuratzeko eta balioa emateko asmoa duena. Proiektu hau Europar Batasuneko Next Generation funtsen bidez finantzatuta dago eta Hazi fundazioa, Coruñako eta Santiagoko unibertsitateak </t>
    </r>
    <r>
      <rPr>
        <strike val="true"/>
        <sz val="9"/>
        <color rgb="FF000000"/>
        <rFont val="Arial"/>
        <family val="0"/>
        <charset val="1"/>
      </rPr>
      <t xml:space="preserve">eta Gipuzkoako Parketxe Sarea</t>
    </r>
    <r>
      <rPr>
        <sz val="9"/>
        <color rgb="FF000000"/>
        <rFont val="Arial"/>
        <family val="0"/>
        <charset val="1"/>
      </rPr>
      <t xml:space="preserve"> dira proiektuko kideak. Proiektuaren helburua da mendiko abeltzaintza estentsiboaren erabilera tradizionalari berriz ere balioa ematea </t>
    </r>
    <r>
      <rPr>
        <strike val="true"/>
        <sz val="9"/>
        <color rgb="FF000000"/>
        <rFont val="Arial"/>
        <family val="0"/>
        <charset val="1"/>
      </rPr>
      <t xml:space="preserve">eta landako bioekonomia eta mendiko ekosistemen kudeaketa jasangarria sustatzea</t>
    </r>
    <r>
      <rPr>
        <sz val="9"/>
        <color rgb="FF000000"/>
        <rFont val="Arial"/>
        <family val="0"/>
        <charset val="1"/>
      </rPr>
      <t xml:space="preserve">.</t>
    </r>
  </si>
  <si>
    <r>
      <rPr>
        <sz val="9"/>
        <color rgb="FF000000"/>
        <rFont val="Arial"/>
        <family val="0"/>
        <charset val="1"/>
      </rPr>
      <t xml:space="preserve">Honako hau da 5W1H metodoaren bidezko testuaren laburpena:
* **Zer**: Ruraltxa proiektuaren aurkezpena </t>
    </r>
    <r>
      <rPr>
        <strike val="true"/>
        <sz val="9"/>
        <color rgb="FF000000"/>
        <rFont val="Arial"/>
        <family val="0"/>
        <charset val="1"/>
      </rPr>
      <t xml:space="preserve">eta mendiko gazta egitea</t>
    </r>
    <r>
      <rPr>
        <sz val="9"/>
        <color rgb="FF000000"/>
        <rFont val="Arial"/>
        <family val="0"/>
        <charset val="1"/>
      </rPr>
      <t xml:space="preserve">.
* **Nork**: Joseba Insausti artzaina, Mikel de Francisco arduraduna, Luis Mari Zaldua Parketxe Sareko zuzendaria, Roberto Ruiz Hika sukaldaria, Mikel Olano abeltzain gaztea, eta beste hainbat pertsona.
* **Noiz**: Egungo garaian, proiektua Europar Batasuneko Next Generation funtsen bidez finantzatuta dago.
* **Non**: Aralarko parke naturala, Enirio-Aralar mankomunitatea, Esnaurrieta txabola.
* **Zergatik**: Mendiaren eta mendiko abeltzaintza estentsiboaren erabilera tradizionalari berriz ere balioa ematea</t>
    </r>
    <r>
      <rPr>
        <strike val="true"/>
        <sz val="9"/>
        <color rgb="FF000000"/>
        <rFont val="Arial"/>
        <family val="0"/>
        <charset val="1"/>
      </rPr>
      <t xml:space="preserve">, eta landako bioekonomia eta mendiko ekosistemen kudeaketa jasangarria sustatzea.
</t>
    </r>
    <r>
      <rPr>
        <sz val="9"/>
        <color rgb="FF000000"/>
        <rFont val="Arial"/>
        <family val="0"/>
        <charset val="1"/>
      </rPr>
      <t xml:space="preserve">* **Nola**: Proiektuaren aurkezpena, mendiko gazta egitea, sukaldaritza, eta artzaintzari eta ardiari gorazarre egitea.</t>
    </r>
  </si>
  <si>
    <r>
      <rPr>
        <sz val="9"/>
        <color rgb="FF000000"/>
        <rFont val="Arial"/>
        <family val="0"/>
        <charset val="1"/>
      </rPr>
      <t xml:space="preserve">Ruraltxa proiektuak, Europar Batasuneko Next Generation funtsen bidez finantzatua, mendiko abeltzaintza estentsiboa sustatzea du helburu. Esnaurrieta txabolan, Gipuzkoako basozain, sukaldari eta beste hainbat lagun bildu dira proiektua ezagutaratzeko. Joseba Insausti artzainak mendiko gazta egiten du, eta sukaldariek menua prestatzen dute. </t>
    </r>
    <r>
      <rPr>
        <strike val="true"/>
        <sz val="9"/>
        <color rgb="FF000000"/>
        <rFont val="Arial"/>
        <family val="0"/>
        <charset val="1"/>
      </rPr>
      <t xml:space="preserve">Ekitaldiak mendiko ekosistemen kudeaketa jasangarria eta landako bioekonomia sustatzeko garrantzia azpimarratzen du</t>
    </r>
    <r>
      <rPr>
        <sz val="9"/>
        <color rgb="FF000000"/>
        <rFont val="Arial"/>
        <family val="0"/>
        <charset val="1"/>
      </rPr>
      <t xml:space="preserve">.</t>
    </r>
  </si>
  <si>
    <r>
      <rPr>
        <sz val="9"/>
        <color rgb="FF000000"/>
        <rFont val="Arial"/>
        <family val="0"/>
        <charset val="1"/>
      </rPr>
      <t xml:space="preserve">Euskal Herriko lau surflarik, Nadia Erostarbe, Janire Gonzalez-Etxabarri, Joan Duru eta Andy Criere, Parisko Olinpiar Jokoetarako sailkatu dira. Horiek </t>
    </r>
    <r>
      <rPr>
        <sz val="9"/>
        <color rgb="FF4A86E8"/>
        <rFont val="Arial"/>
        <family val="0"/>
        <charset val="1"/>
      </rPr>
      <t xml:space="preserve">2024ko</t>
    </r>
    <r>
      <rPr>
        <sz val="9"/>
        <color rgb="FF000000"/>
        <rFont val="Arial"/>
        <family val="0"/>
        <charset val="1"/>
      </rPr>
      <t xml:space="preserve"> uztailaren 27tik abuztuaren 4ra bitartean Tahitin (Teahupo’o) ospatuko den surf txapelketan parte hartuko dute.
Euskal surflariek Puerto Ricon ospatutako Munduko Txapelketan izandako lorpena ospatzeko, Eusko Jaurlaritzaren Basque Team fundazioak harrera egin die Erostarberi, Gonzalez-Etxabarriri eta Criereri Donostiako Aquariumean. Erostarbek laugarren postua lortu zuen, </t>
    </r>
    <r>
      <rPr>
        <strike val="true"/>
        <sz val="9"/>
        <color rgb="FF000000"/>
        <rFont val="Arial"/>
        <family val="0"/>
        <charset val="1"/>
      </rPr>
      <t xml:space="preserve">Criersek</t>
    </r>
    <r>
      <rPr>
        <sz val="9"/>
        <color rgb="FF000000"/>
        <rFont val="Arial"/>
        <family val="0"/>
        <charset val="1"/>
      </rPr>
      <t xml:space="preserve"> seigarrena, eta Gonzalez-Etxabarrik hamabosgarrena.
Surflariak pozik daude emaitza onekin eta Olinpiar Jokoetan parte hartzeko aukera dutelako. Crierek esan du gakoa familia bat izan dela eta elkarrekin egindako lana. Gonzalez-Etxabarrik, aldiz, aitortu du mina duela belaunean eta fisioterapeuta ikusiko du sendatzeko.
Teahupo’oko olatua oso berezia dela diote, eta han entrenatzea garrantzitsua izango da. Surflariek itxaropentsu daude eta badago aukera ondo aritzeko.</t>
    </r>
  </si>
  <si>
    <r>
      <rPr>
        <sz val="9"/>
        <color rgb="FF000000"/>
        <rFont val="Arial"/>
        <family val="0"/>
        <charset val="1"/>
      </rPr>
      <t xml:space="preserve">Testuaren edukirik garrantzitsuena da lau euskal surflarik (Nadia Erostarbe, Janire Gonzalez-Etxabarri, Joan Duru eta Andy Criere) Parisko Olinpiar Jokoetarako sailkatu direla. </t>
    </r>
    <r>
      <rPr>
        <strike val="true"/>
        <sz val="9"/>
        <color rgb="FF000000"/>
        <rFont val="Arial"/>
        <family val="0"/>
        <charset val="1"/>
      </rPr>
      <t xml:space="preserve">Honek esan nahi du Euskal Herriko surflariek historian sekula izan duten emaitzarik onena lortu dute.
</t>
    </r>
    <r>
      <rPr>
        <sz val="9"/>
        <color rgb="FF000000"/>
        <rFont val="Arial"/>
        <family val="0"/>
        <charset val="1"/>
      </rPr>
      <t xml:space="preserve">
Laburtutako testua:
Lau euskal surflarik, Nadia Erostarbe, Janire Gonzalez-Etxabarri, Joan Duru eta Andy Criere, Parisko Olinpiar Jokoetarako sailkatu dira. </t>
    </r>
    <r>
      <rPr>
        <strike val="true"/>
        <sz val="9"/>
        <color rgb="FF000000"/>
        <rFont val="Arial"/>
        <family val="0"/>
        <charset val="1"/>
      </rPr>
      <t xml:space="preserve">Horrela, Euskal Herriko surflariek inoiz izan duten emaitzarik onena lortu dute.</t>
    </r>
    <r>
      <rPr>
        <sz val="9"/>
        <color rgb="FF000000"/>
        <rFont val="Arial"/>
        <family val="0"/>
        <charset val="1"/>
      </rPr>
      <t xml:space="preserve"> Surflariak uztailaren 27tik abuztuaren 4ra Teahupo'onen (Tahiti) lehiatuko dira Olinpiar Jokoetako surf txapelketan.</t>
    </r>
  </si>
  <si>
    <t xml:space="preserve">Hurrengo da 5W1H metodoren aplikazioa:
* **Zer**: Euskal Herriko surflariek olatu ederra harrapatu dute Arecibon (Puerto Rico) Munduko Txapelketan, eta lau surflari sailkatu dira Parisko Olinpiar Jokoetarako.
* **Nork**: Euskal Herriko surflariak, hauen artean Nadia Erostarbe, Janire Gonzalez-Etxabarri, Joan Duru eta Andy Criere.
* **Noiz**: Uztailaren 27tik abuztuaren 4ra Teahupo'on (Tahiti) Olinpiar Jokoetako surfeko lehiaren data da.
* **Non**: Arecibo (Puerto Rico) eta Teahupo'o (Tahiti).
* **Zergatik**: Euskal Herriko surflariek olatu ederra harrapatu dutelako eta sailkatu direlako Olinpiar Jokoetarako.
* **Nola**: Euskal surflariek elkarrekin lan egin dute, familia bat osatuz, eta elkar babestu dute, eta horrek indar handia eman die.</t>
  </si>
  <si>
    <r>
      <rPr>
        <sz val="9"/>
        <color rgb="FF000000"/>
        <rFont val="Arial"/>
        <family val="0"/>
        <charset val="1"/>
      </rPr>
      <t xml:space="preserve">Euskal Herriko lau surflarik, Nadia Erostarbe, Janire Gonzalez-Etxabarri, Joan Duru eta Andy Criere, sailkatu dira Parisko Olinpiar Jokoetarako, uztailaren 27tik abuztuaren 4ra Teahupo'onen (Tahiti) izango den surfeko lehiarako. Euskal surflariek Munduko Txapelketa </t>
    </r>
    <r>
      <rPr>
        <strike val="true"/>
        <sz val="9"/>
        <color rgb="FF000000"/>
        <rFont val="Arial"/>
        <family val="0"/>
        <charset val="1"/>
      </rPr>
      <t xml:space="preserve">irabazi dute</t>
    </r>
    <r>
      <rPr>
        <sz val="9"/>
        <color rgb="FF000000"/>
        <rFont val="Arial"/>
        <family val="0"/>
        <charset val="1"/>
      </rPr>
      <t xml:space="preserve"> Arecibon (Puerto Rico), eta Eusko Jaurlaritzaren Basque Team fundazioak harrera egin die Donostiako Aquariumean. Surflariek oso pozik daude eta itxaropentsuak daude Olinpiar Jokoetan ondo aritzeko.</t>
    </r>
  </si>
  <si>
    <r>
      <rPr>
        <sz val="9"/>
        <color rgb="FF000000"/>
        <rFont val="Arial"/>
        <family val="0"/>
        <charset val="1"/>
      </rPr>
      <t xml:space="preserve">Iñigo Satrustegi idazle nafarrak Egile Berrientzako Iruñeko Literatur Lehiaketa irabazi du narrazioan, "Oheak gordetzen duena" lanarekin, eta aipamen berezia lortu du poesian, "Ebakiduraariketak" lanarekin. Satrustegik adierazi du literatura beti izan duela bere lagun, baina harreman gorabeheratsua izan du irakurketarekin. Itzulpengintza ikasi zuen unibertsitatean eta literaturarekin zuen harremana berreskuratu zuen. 
</t>
    </r>
    <r>
      <rPr>
        <strike val="true"/>
        <sz val="9"/>
        <color rgb="FF000000"/>
        <rFont val="Arial"/>
        <family val="0"/>
        <charset val="1"/>
      </rPr>
      <t xml:space="preserve">
Itzulpengintzak eragin handia du haren idazteko eran</t>
    </r>
    <r>
      <rPr>
        <sz val="9"/>
        <color rgb="FF000000"/>
        <rFont val="Arial"/>
        <family val="0"/>
        <charset val="1"/>
      </rPr>
      <t xml:space="preserve">, eta "Oheak gordetzen duena" lanaren bitartez heriotzaren ondorioz sortzen diren egoerak aztertzen ditu. Zaintza ere gai garrantzitsua da kontakizunean, eta Satrustegik azpimarratu du emakumeek agindu dutela beti bere inguruan eta </t>
    </r>
    <r>
      <rPr>
        <strike val="true"/>
        <sz val="9"/>
        <color rgb="FF000000"/>
        <rFont val="Arial"/>
        <family val="0"/>
        <charset val="1"/>
      </rPr>
      <t xml:space="preserve">horregatik</t>
    </r>
    <r>
      <rPr>
        <sz val="9"/>
        <color rgb="FF000000"/>
        <rFont val="Arial"/>
        <family val="0"/>
        <charset val="1"/>
      </rPr>
      <t xml:space="preserve"> istorioa oso feminizatuta dago. Protagonistaren generoa ez da ezaguna, eta horrek aukera ematen du istorioa bi modutara irakurtzeko.</t>
    </r>
  </si>
  <si>
    <r>
      <rPr>
        <sz val="9"/>
        <color rgb="FF666666"/>
        <rFont val="Arial"/>
        <family val="0"/>
        <charset val="1"/>
      </rPr>
      <t xml:space="preserve">Testuaren edukirik garrantzitsuena Iñigo Satrustegi idazlearen elkarrizketa da, non bere literatura estiloa, itzulpengintzaren eragina bere idazteko eran, eta bere lanaren gaiak, hala nola heriotza eta zaintza, aztertzen dituen.
Laburtutako testua:
</t>
    </r>
    <r>
      <rPr>
        <sz val="9"/>
        <color rgb="FF000000"/>
        <rFont val="Arial"/>
        <family val="0"/>
        <charset val="1"/>
      </rPr>
      <t xml:space="preserve">Iñigo Satrustegi idazleak elkarrizketa bat ematen du, non bere literatura estiloa eta itzulpengintzaren eragina bere idazteko eran aztertzen dituen. </t>
    </r>
    <r>
      <rPr>
        <strike val="true"/>
        <sz val="9"/>
        <color rgb="FF000000"/>
        <rFont val="Arial"/>
        <family val="0"/>
        <charset val="1"/>
      </rPr>
      <t xml:space="preserve">Bere lanak, hala nola</t>
    </r>
    <r>
      <rPr>
        <sz val="9"/>
        <color rgb="FF000000"/>
        <rFont val="Arial"/>
        <family val="0"/>
        <charset val="1"/>
      </rPr>
      <t xml:space="preserve"> "Oheak gordetzen duena", heriotza eta zaintzaren gaiak jorratzen ditu, eta emakumeen papera eta zaintzaren garrantzia azpimarratzen du. Idazleak poesian eta narrazioan idazten du, baina poesian sentitzen dela erosoen. Elkarrizketan, idazleak sariak eta literatura mundua ere aipatzen ditu, eta bere ikuspegi kritikoa agertzen du.</t>
    </r>
  </si>
  <si>
    <r>
      <rPr>
        <sz val="9"/>
        <color rgb="FF000000"/>
        <rFont val="Arial"/>
        <family val="0"/>
        <charset val="1"/>
      </rPr>
      <t xml:space="preserve">Hona 5W1H metodoa erabiliz laburtutako testua:
* **Zer**: Iñigo Satrustegik "Oheak gordetzen duena" lanarekin Egile Berrientzako Iruñeko Literatur Lehiaketa irabazi du, eta poesia sailean aipamen berezia lortu du "Ebakiduraariketak" lanarekin.
* **Nork**: Iñigo Satrustegik.
* **Noiz**: Ez dago zehaztuta, baina unibertsitatean Itzulpengintza ikasten ari zela hasi zen literaturarekin harremanetan.
* **Non**: Iruñea.
* **Zergatik**: Literatura beti izan du lagun, eta </t>
    </r>
    <r>
      <rPr>
        <strike val="true"/>
        <sz val="9"/>
        <color rgb="FF000000"/>
        <rFont val="Arial"/>
        <family val="0"/>
        <charset val="1"/>
      </rPr>
      <t xml:space="preserve">itzulpengintzak eragina du haren idazteko eran</t>
    </r>
    <r>
      <rPr>
        <sz val="9"/>
        <color rgb="FF000000"/>
        <rFont val="Arial"/>
        <family val="0"/>
        <charset val="1"/>
      </rPr>
      <t xml:space="preserve">.
* **Nola**: Itzulpengintza ariketa bat da sortzaile izan nahi duenarentzat, eta haren lanetan zaintza eta heriotza gaia landu du, sentsorialki eta familia instituzioaren ikuspegitik.</t>
    </r>
  </si>
  <si>
    <r>
      <rPr>
        <sz val="9"/>
        <color rgb="FF000000"/>
        <rFont val="Arial"/>
        <family val="0"/>
        <charset val="1"/>
      </rPr>
      <t xml:space="preserve">Iñigo Satrustegi idazle nafarrak Egile Berrientzako Iruñeko Literatur Lehiaketa irabazi du "Oheak gordetzen duena" lanarekin, eta aipamen berezia jaso du poesian "Ebakiduraariketak" lanarekin. Idazleak adierazi du literaturarekin harreman konplexua duela, </t>
    </r>
    <r>
      <rPr>
        <strike val="true"/>
        <sz val="9"/>
        <color rgb="FF000000"/>
        <rFont val="Arial"/>
        <family val="0"/>
        <charset val="1"/>
      </rPr>
      <t xml:space="preserve">eta itzulpengintzak eragin handia izan duela bere idazteko estiloan</t>
    </r>
    <r>
      <rPr>
        <sz val="9"/>
        <color rgb="FF000000"/>
        <rFont val="Arial"/>
        <family val="0"/>
        <charset val="1"/>
      </rPr>
      <t xml:space="preserve">. </t>
    </r>
    <r>
      <rPr>
        <strike val="true"/>
        <sz val="9"/>
        <color rgb="FF000000"/>
        <rFont val="Arial"/>
        <family val="0"/>
        <charset val="1"/>
      </rPr>
      <t xml:space="preserve">Bere lanetan</t>
    </r>
    <r>
      <rPr>
        <sz val="9"/>
        <color rgb="FF000000"/>
        <rFont val="Arial"/>
        <family val="0"/>
        <charset val="1"/>
      </rPr>
      <t xml:space="preserve">, heriotza, zaintza eta familia harremanak aztertzen ditu, eta generoaren eta identitatearen gaia ere jorratzen du.</t>
    </r>
  </si>
  <si>
    <r>
      <rPr>
        <sz val="9"/>
        <color rgb="FF000000"/>
        <rFont val="Arial"/>
        <family val="0"/>
        <charset val="1"/>
      </rPr>
      <t xml:space="preserve">Maitane Azurmendi margolariak Durangaldeko hamabost emakumeren erretratuak egin ditu, WikiEmakumeok proiektuaren eskariz. </t>
    </r>
    <r>
      <rPr>
        <strike val="true"/>
        <sz val="9"/>
        <color rgb="FF000000"/>
        <rFont val="Arial"/>
        <family val="0"/>
        <charset val="1"/>
      </rPr>
      <t xml:space="preserve">Emakume horiek ezagunak ez direnez, </t>
    </r>
    <r>
      <rPr>
        <sz val="9"/>
        <color rgb="FF000000"/>
        <rFont val="Arial"/>
        <family val="0"/>
        <charset val="1"/>
      </rPr>
      <t xml:space="preserve">zuri-beltzezko marrazkiak egin ditu haien aurpegiak irudikatzeko. Azurmendik dio emakume hauei aurpegia jartzeak garrantzi handia duela, bisualak baitira eta jendeak aurpegiak atxikitzea gustatzen zaio. Erakusketan, emakume aitzindarien erretratuak ikus daitezke, hala nola Elbira Inurrieta, </t>
    </r>
    <r>
      <rPr>
        <strike val="true"/>
        <sz val="9"/>
        <color rgb="FF000000"/>
        <rFont val="Arial"/>
        <family val="0"/>
        <charset val="1"/>
      </rPr>
      <t xml:space="preserve">erraketista eta</t>
    </r>
    <r>
      <rPr>
        <sz val="9"/>
        <color rgb="FF000000"/>
        <rFont val="Arial"/>
        <family val="0"/>
        <charset val="1"/>
      </rPr>
      <t xml:space="preserve"> emagina. Azurmendik dio emakume hauen istorioekin haluzinatu egin </t>
    </r>
    <r>
      <rPr>
        <strike val="true"/>
        <sz val="9"/>
        <color rgb="FF000000"/>
        <rFont val="Arial"/>
        <family val="0"/>
        <charset val="1"/>
      </rPr>
      <t xml:space="preserve">dela</t>
    </r>
    <r>
      <rPr>
        <sz val="9"/>
        <color rgb="FF000000"/>
        <rFont val="Arial"/>
        <family val="0"/>
        <charset val="1"/>
      </rPr>
      <t xml:space="preserve"> eta haien omenezko erretratuak egitea merezi dutela. Erretratuak zuri-beltzean egin ditu, </t>
    </r>
    <r>
      <rPr>
        <strike val="true"/>
        <sz val="9"/>
        <color rgb="FF000000"/>
        <rFont val="Arial"/>
        <family val="0"/>
        <charset val="1"/>
      </rPr>
      <t xml:space="preserve">koloreek arreta gal ez dezaten</t>
    </r>
    <r>
      <rPr>
        <sz val="9"/>
        <color rgb="FF000000"/>
        <rFont val="Arial"/>
        <family val="0"/>
        <charset val="1"/>
      </rPr>
      <t xml:space="preserve">. Azurmendik marrazten duela dio, eta hori da bere adierazpen eta komunikazio modua.</t>
    </r>
  </si>
  <si>
    <t xml:space="preserve">Edukirik garrantzitsuena honakoa da: Maitane Azurmendi margolariak Durangaldeko hamabost emakumeren erretratuak egin ditu, WikiEmakumeok proiektuko kideek proposatuta, eta erakusketa Durangoko Arte eta Historia Museoan ikusgai dago. Erretratuetan agertzen diren emakumeak dira Lorpen handiak egin arren inon agertzen ez diren emakumeak, eta haien istorioak bisualki kontatzen ditu Azurmendik.
Testu laburtua:
Maitane Azurmendi margolariak Durangaldeko 15 emakume aitzindariren erretratuak egin ditu, haien istorioak bisualki kontatuz. Erakusketa Durangoko Arte eta Historia Museoan ikusgai dago. Azurmendik dioenez, emakume horiek "inon agertzen ez diren" arren, haien lorpenak garrantzitsuak dira, eta haien istorioak kontatzea du helburu.</t>
  </si>
  <si>
    <t xml:space="preserve">5W1H metodoa erabiliz, hurrengo informazioa atera daiteke:
* **Zer**: Maitane Azurmendi margolariak Durangaldeko 15 emakumeren erretratuak egin ditu, WikiEmakumeok proiektuak proposatuta.
* **Nork**: Maitane Azurmendi margolariak egin ditu erretratuak, WikiEmakumeok proiektuak proposatuta.
* **Noiz**: Erakusketa ostiraletik ikusgai dago Durangoko Arte eta Historia Museoan (Bizkaia).
* **Non**: Erakusketa Durangoko Arte eta Historia Museoan (Bizkaia) dago ikusgai.
* **Zergatik**: Historiako emakume aitzindariei aurpegia jarri die, zuri-beltzeko marrazkien bidez, eta euskal herriko istorioetan arreta jartzen du.
* **Nola**: Maitane Azurmendi margolariak marrazkiak egiten ditu, hitzekin baino hobea delako, eta istorioak irudien bidez kontatzen ditu.</t>
  </si>
  <si>
    <t xml:space="preserve">Maitane Azurmendi margolariak Durangaldeko 15 emakumeren erretratuak egin ditu, WikiEmakumeok proiektuaren eskariz. Emakume horiek historian agertzen ez diren arren, lorpen handiak egin zituzten, eta margolariak haien aurpegiak marraztu ditu, zuri-beltzean. Erakusketa Durangoko Arte eta Historia Museoan ikusgai dago. Margolariaren ustez, emakume horiei aurpegiak jarri dizkie, jendeak haien istorioak ezagut ditzan eta txalotu ditzan.</t>
  </si>
  <si>
    <r>
      <rPr>
        <sz val="9"/>
        <color rgb="FF000000"/>
        <rFont val="Arial"/>
        <family val="0"/>
        <charset val="1"/>
      </rPr>
      <t xml:space="preserve">Labion (Nafarroa) 55 urteko semea hil zuen 83 urteko aitari etxeko atxiloaldia ezarri dio epaileak. </t>
    </r>
    <r>
      <rPr>
        <strike val="true"/>
        <sz val="9"/>
        <color rgb="FF000000"/>
        <rFont val="Arial"/>
        <family val="0"/>
        <charset val="1"/>
      </rPr>
      <t xml:space="preserve">Aitak 200 euroak eskatu zizkion semeari mehatxuak egin ostean</t>
    </r>
    <r>
      <rPr>
        <sz val="9"/>
        <color rgb="FF000000"/>
        <rFont val="Arial"/>
        <family val="0"/>
        <charset val="1"/>
      </rPr>
      <t xml:space="preserve">, eta aitak uko egin zionean, semea hil zuen tiroz. Epaileak ez dio komunikatzeko eskubiderik mugatu eta ez dio bermerik ezarri, baina etxeko atxiloaldia ezarri dio osasun egoera txarra duelako eta ihes egiteko arriskua dagoelako.</t>
    </r>
  </si>
  <si>
    <t xml:space="preserve">Edukirik garrantzitsuena da 83 urteko aitari etxeko atxiloaldia ezarri diola semea hil zuen kasuan. Epaileak ezarritako neurri honek aitaren osasun egoera eta adina kontuan hartuta dago, eta ez dio komunikatzeko eskubiderik mugatu edo bermerik ezarri. Aitak semea tiroz hil zuen bere etxean, eta fiskalak behin-behineko espetxe arindua eskatu zuen, baina epaileak etxeko atxiloaldia hobetsi du.</t>
  </si>
  <si>
    <r>
      <rPr>
        <sz val="9"/>
        <color rgb="FF000000"/>
        <rFont val="Arial"/>
        <family val="0"/>
        <charset val="1"/>
      </rPr>
      <t xml:space="preserve">Hurrengo da 5W1H metodoaren aplikazioa testuari:
* **Zer**: 83 urteko aita batek semea hil du tiroz, eta epaileak etxeko atxiloaldia ezarri dio.
* **Nork**: 83 urteko aita, semeari tiro egin diona, eta epaileak, epaiketa egin duena.
* **Noiz**: </t>
    </r>
    <r>
      <rPr>
        <strike val="true"/>
        <sz val="9"/>
        <color rgb="FF000000"/>
        <rFont val="Arial"/>
        <family val="0"/>
        <charset val="1"/>
      </rPr>
      <t xml:space="preserve">Igandean</t>
    </r>
    <r>
      <rPr>
        <sz val="9"/>
        <color rgb="FF000000"/>
        <rFont val="Arial"/>
        <family val="0"/>
        <charset val="1"/>
      </rPr>
      <t xml:space="preserve">, semea hil ondoren, eta gaur, epailearen aurrean pasatu da.
* **Non**: Labion (Nafarroa), aitaren etxean, non semea hil zen.
* **Zergatik**: Epaileak uste du ihes egiteko arriskua dagoela, eta aitaren ekintza "bereziki bortitza" izan zelako. Aitak semea hil zuen, 200 euroak emateari uko egin ondoren.
* **Nola**: Aitak eskopeta erabili zuen semeari tiro egiteko, hiru kartutxo kargatuta, eta bihotzaren parean eta aurpegian jo zuen.</t>
    </r>
  </si>
  <si>
    <t xml:space="preserve">83 urteko gizon bati etxeko atxiloaldia ezarri dio epaileak Labion (Nafarroa) semea hil zuen kasuan. Epaileak uste du ihes egiteko arriskua dagoela eta aitaren ekintza "bereziki bortitza" izan zela. Fiskalak espetxe arindua eskatu zuen, baina epaileak etxeko atxiloaldia aukeratu du aitaren osasun egoera eta adina kontuan hartuta.</t>
  </si>
  <si>
    <t xml:space="preserve">Azaroaren 21ean, Siemens Gamesak urteko emaitzak eta etorkizuneko plan estrategikoa aurkeztuko ditu. Enpresak eta sektoreak arazoak dituzte kostuen igoeraren, teknologia lasterketaren eta Txinako enpresen lehia desleialaren ondorioz. Siemens Gamesak lanpostu galera handi bat iragarriko ote duen beldur dira, eta sektorea arriskuan dagoela ikusten dute. Reuters agentziak jakinarazi du Siemens taldea aztertzen ari dela Siemens Gamesako fabrika eta bulegoak saltzea, eta horrek energia eolikoko atala Asiako lehiakideen esku utziko lukeela. ELA sindikatuak sektorea babesteko eskatu du, parkeak adjudikatzerakoan tokiko produkzioa lehenetsiz, eta babes neurriek deslokalizazioaren aurkako baldintzak jaso beharko lituzketela. Siemens Gamesak Hego Euskal Herrian 2.900 laguni ematen die lana, eta Nafarroako Gobernuari eta Eusko Jaurlaritzari eskatu diote sektore estrategikoa babes dezatela.</t>
  </si>
  <si>
    <t xml:space="preserve">Testuaren edukirik garrantzitsuena Siemens Gamesa enpresaren etorkizunari buruzko kezkak dira, kostuen igoera, teknologia lasterketa eta Txinako enpresen lehia desleialaren ondorioz. Enpresak lanpostu galera handi bat iragarriko ote duen beldur dira, eta sektorea bera arriskuan dagoela ikusten dute.
Laburtutako testua:
Siemens Gamesak azaroaren 21ean urteko emaitzak eta etorkizuneko plan estrategikoa aurkeztuko ditu. Enpresak kostuen igoera, teknologia lasterketa eta Txinako enpresen lehia desleialaren ondorioz errentagarritasun arazo larriak ditu. Lanpostu galera handi bat iragarriko ote duen beldur dira, eta sektorea bera arriskuan dagoela ikusten dute. ELAk babes neurriak eskatu ditu, parkeak adjudikatzerakoan tokiko produkzioa lehenetsiz, eta deslokalizazioaren aurkako baldintzak jaso beharko lituzketela.</t>
  </si>
  <si>
    <r>
      <rPr>
        <sz val="9"/>
        <color rgb="FF000000"/>
        <rFont val="Arial"/>
        <family val="0"/>
        <charset val="1"/>
      </rPr>
      <t xml:space="preserve">5W1H metodoa erabiliz, honela laburtu daiteke testua:
* **Zer**: Siemens Gamesak urteko emaitzak eta etorkizuneko plan estrategikoa aurkeztuko ditu azaroaren 21ean, eta lanpostu galera handi bat iragarri dezake.
* **Nork**: Siemens Gamesa, ELA </t>
    </r>
    <r>
      <rPr>
        <strike val="true"/>
        <sz val="9"/>
        <color rgb="FF000000"/>
        <rFont val="Arial"/>
        <family val="0"/>
        <charset val="1"/>
      </rPr>
      <t xml:space="preserve">(Langile Komisioak)</t>
    </r>
    <r>
      <rPr>
        <sz val="9"/>
        <color rgb="FF000000"/>
        <rFont val="Arial"/>
        <family val="0"/>
        <charset val="1"/>
      </rPr>
      <t xml:space="preserve"> eta Siemens taldea.
* **Noiz**: Azaroaren 21ean, eta aurreko bi urteetan sektoreak errentagarritasun arazo larriak izan ditu.
* **Non**: Hego Euskal Herrian, Siemens Gamesak 2.900 laguni ematen die lana.
* **Zergatik**: Kostuen igoera, sektoreko lasterketa teknologikoa eta Txinako enpresen lehia desleialaren ondorioz.
* **Nola**: Siemens Gamesak fabrika eta bulegoak saltzea aztertzen ari da, eta Asiako lehiakideen esku utziko luke atal hori. ELAk babes neurriak eskatzen ditu sektorea babesteko, eta tokiko produkzioa lehenetsi nahi du parkeak adjudikatzerakoan.</t>
    </r>
  </si>
  <si>
    <t xml:space="preserve">Siemens Gamesak, enpresa eolikoa, azaroaren 21ean urteko emaitzak eta etorkizuneko plan estrategikoa aurkeztuko ditu. Enpresak, kostuen igoera, teknologia lasterketa eta Txinako enpresen lehia desleialaren ondorioz, errentagarritasun arazoak ditu. Siemens taldeak aztertzen ari dela Siemens Gamesako fabrika eta bulegoak saltzea jakin da, eta horrek lanpostu galera handi bat ekarriko lukeela beldur dira. ELA sindikatuak sektorea babesteko eskatu du, eta Nafarroako Gobernuari eta Eusko Jaurlaritzari eskatu diote sektore estrategikoa babes dezatela.</t>
  </si>
  <si>
    <t xml:space="preserve">Idoia Torregarai (Usurbil, 1974) kazetari eta idazlea da. Twitterren hasi zen bere ibilbide literarioa, bertan bere umorea eta estiloa zabalduz. Han idatzitako mikroipuin asko Mikroipuinak liburuan batu ditu, Zaldieroaren marrazkiekin. Liburua Elkar argitaletxeak plazaratu du eta 150 istorio labur biltzen ditu, eguneroko gaiak jorratuz, umore eta lirismoz.</t>
  </si>
  <si>
    <r>
      <rPr>
        <sz val="9"/>
        <color rgb="FF000000"/>
        <rFont val="Arial"/>
        <family val="0"/>
        <charset val="1"/>
      </rPr>
      <t xml:space="preserve">Testuaren edukirik garrantzitsuena </t>
    </r>
    <r>
      <rPr>
        <strike val="true"/>
        <sz val="9"/>
        <color rgb="FF000000"/>
        <rFont val="Arial"/>
        <family val="0"/>
        <charset val="1"/>
      </rPr>
      <t xml:space="preserve">Idia</t>
    </r>
    <r>
      <rPr>
        <sz val="9"/>
        <color rgb="FF000000"/>
        <rFont val="Arial"/>
        <family val="0"/>
        <charset val="1"/>
      </rPr>
      <t xml:space="preserve"> Torregarai kazetari eta idazlearen liburua da, "Mikroipuinak", Patxi Uharte Zaldieroaren ilustrazioekin. Liburua Twitterren idatzi zituen txioetan oinarrituta dago, eta 150 istorio labur biltzen ditu, umorea eta lirismoa uztartzen dituena.
Laburpena:
</t>
    </r>
    <r>
      <rPr>
        <strike val="true"/>
        <sz val="9"/>
        <color rgb="FF000000"/>
        <rFont val="Arial"/>
        <family val="0"/>
        <charset val="1"/>
      </rPr>
      <t xml:space="preserve">Idia</t>
    </r>
    <r>
      <rPr>
        <sz val="9"/>
        <color rgb="FF000000"/>
        <rFont val="Arial"/>
        <family val="0"/>
        <charset val="1"/>
      </rPr>
      <t xml:space="preserve"> Torregarai kazetari eta idazleak "Mikroipuinak" liburua plazaratu du, Patxi Uharte Zaldieroaren ilustrazioekin. Liburua Twitterren idatzi zituen txioetan oinarrituta dago, eta 150 istorio labur biltzen ditu, umorea eta lirismoa uztartzen dituena. Torregarai kazetaritza ikasi zuen idazteko, eta Twitterren hasi zen idazten, 140 karaktereko mugak sormena askatzen lagundu zion. Liburua Elkar argitaletxeak plazaratu du.</t>
    </r>
  </si>
  <si>
    <t xml:space="preserve">Hurrengo da 5W1H metodoaren arabera idatzitako laburpena:
**Zer:** Idazle eta kazetari Idoia Torregarai eta ilustratzaile Patxi Uharte Zaldieroak elkarlanean idatzitako "Mikroipuinak" liburua.
**Nork:** Idoia Torregarai eta Patxi Uharte Zaldieroak.
**Noiz:** Liburua Elkar argitaletxeak plazaratu du, baina zehazki noiz plazaratu zen ez da esaten.
**Non:** Euskal Herrian.
**Zergatik:** Xabier Mendiguren editorearen arabera, Torregarairen txioek eguneroko errealitatea erretratatzeko gaitasuna dute, baina ez modu kostunbristan, ifrentzua erakutsiz baizik. Zaldieroak, bestalde, Torregarairen txioei arreta jarri zien eta horietariko batzuk bere espaziora eraman zituen, eta hortik sortu zen liburua.
**Nola:** Torregaraik Twitterren hasi zen idazten, eta han sortu zituen mikroipuinak. Zaldieroak, bestalde, ilustrazioak egin zituen mikroipuin horietarako. Liburua ontzeko, biak elkarlanean aritu ziren, eta hiruzpalau aldiz pasatu zuten bahea aukeraketa egiteko.</t>
  </si>
  <si>
    <t xml:space="preserve">Idoia Torregarai kazetari eta idazleak Mikroipuinak liburua plazaratu du, non Twitterren idatzitako txioak biltzen dituen. Liburuan 150 istorio daude, eta haietan eguneroko gaiak eta obsesioak jorratzen ditu, umorea eta lirismoa erabiliz. Liburua Elkar argitaletxeak plazaratu du, eta Patxi Uharte Zaldieroak ilustratua du. Torregaraik dioenez, Twitterrek idazteko bidea zabaldu zion, eta sare sozialetako moztasunak sormena askatzen lagundu zion.</t>
  </si>
  <si>
    <t xml:space="preserve">Guardia Zibilak Euskal Herrian "Europako speed laborategirik handiena" desegin duela jakinarazi du. Operazioan 800 kilo speed, 8 kilo MDMA eta 180.000 euro konfiskatu dituzte, eta zortzi atxilotu dituzte Nafarroan, Gipuzkoan, Leonen eta Madrilen. Harrapatutako drogaren balioa 55 milioi eurokoa da.</t>
  </si>
  <si>
    <t xml:space="preserve">Edukirik garrantzitsuena: Europako speed laborategirik handiena deseginda, 800 kg speed eta 8 kg MDMA konfiskatu eta 8 pertsona atxilotu.
Laburtutako testua:
Guardia Zibilak eta Espainiako Gobernuaren Nafarroako ordezkariak jakinarazi dute Europako speed laborategirik handiena desegin dutela Euskal Herrian. 800 kg speed, 8 kg MDMA eta 180.000 euro eskudirutan konfiskatu dituzte, eta 8 gizonezko atxilotu dituzte Nafarroan, Gipuzkoan, Leonen eta Madrilen. Harrapatutako drogaren balioa 55 milioi euro baino gehiago izango luke merkatuan.</t>
  </si>
  <si>
    <t xml:space="preserve">Hurrengo informazioa atera daiteke 5W1H metodoaren bidez:
- **Zer**: Droga operazioa, speed laborategi bat desegitea eta droga eta dirua konfiskatzea.
- **Nork**: Guardia Zibila eta Espainiako Gobernuaren Nafarroako ordezkariak.
- **Noiz**: Iazko ekainean hasi zen operazioa, eta gaur jakinarazi dute.
- **Non**: Nafarroan, Gipuzkoan, Leonen, Madrilen eta Euskal Herrian.
- **Zergatik**: Droga sarearen aurkako operazioa da, eta 55 milioi euro baino gehiagoko balioa du merkatuan.
- **Nola**: Barrandatzeak eta jarraitzeak egin ondoren, laborategiraino heldu dira, eta atxiloketa eta konfiskazioak egin dituzte.</t>
  </si>
  <si>
    <t xml:space="preserve">Guardia Zibilak eta Espainiako Gobernuaren Nafarroako ordezkariak jakinarazi dute "Europako speed laborategirik handiena" desegin dutela Euskal Herrian. 800 kilo speed, 8 kilo MDMA eta 180.000 euro eskudirutan konfiskatu dituzte, eta zortzi gizonezko atxilotu dituzte Nafarroan, Gipuzkoan, Leonen eta Madrilen. Harrapatu duten drogaren balioa 55 milioi euro baino gehiago izango luke merkatuan.</t>
  </si>
  <si>
    <t xml:space="preserve">PROMPTS</t>
  </si>
  <si>
    <t xml:space="preserve">Resume el siguiente texto.\n\n{text}</t>
  </si>
  <si>
    <t xml:space="preserve">Piensa bien cuál es el contenido más relevante en el siguiente texto y resúmelo usando el contenido más relevante.\n\n{text}</t>
  </si>
  <si>
    <t xml:space="preserve">Resume el siguiente texto usando el método de las 5W1H (qué, quién, cuándo, dónde, por qué, cómo).\n\n{text}</t>
  </si>
  <si>
    <t xml:space="preserve">{text}\n\ntldr:</t>
  </si>
  <si>
    <t xml:space="preserve">HUMAN SUMMARIES</t>
  </si>
  <si>
    <t xml:space="preserve">Human-generated XLSum-like summary (i.e., the heading of the article)</t>
  </si>
  <si>
    <t xml:space="preserve">Jeremy</t>
  </si>
  <si>
    <t xml:space="preserve">Summary generated manually by Jeremy</t>
  </si>
  <si>
    <t xml:space="preserve">Begoña</t>
  </si>
  <si>
    <t xml:space="preserve">Summary generated manually by Begoña</t>
  </si>
  <si>
    <t xml:space="preserve">Alba</t>
  </si>
  <si>
    <t xml:space="preserve">Summary generated manually by Alba</t>
  </si>
  <si>
    <t xml:space="preserve">Summary generated manually by Naiara</t>
  </si>
  <si>
    <t xml:space="preserve">ANNOTATION GUIDELINES</t>
  </si>
  <si>
    <t xml:space="preserve">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</si>
  <si>
    <t xml:space="preserve">The factual alignment between the summary and the summarized source. A factually consistent summary contains only statements that are entailed by the source document. Annotators were also asked to penalize summaries that contained hallucinated facts.</t>
  </si>
  <si>
    <t xml:space="preserve">The quality of individual sentences. Drawing again from the DUC quality guidelines, sentences in the summary "should have no formatting problems, capitalization errors or obviously ungrammatical sentences (e.g., fragments, missing components) that make the text difficult to read."</t>
  </si>
  <si>
    <t xml:space="preserve">Selection of important content from the source. The summary should include only important information from the source document.</t>
  </si>
  <si>
    <t xml:space="preserve">Selection of important content from the source. The summary should include ALL the important information from the source document (the important information being the 5W1H in the source).</t>
  </si>
  <si>
    <t xml:space="preserve">TEXT ANNOTATION KEY</t>
  </si>
  <si>
    <t xml:space="preserve">text</t>
  </si>
  <si>
    <t xml:space="preserve">model hallucination (penalizes consistency)</t>
  </si>
  <si>
    <t xml:space="preserve">model "hallucination" that introduces correct information</t>
  </si>
  <si>
    <t xml:space="preserve">"conversational" or "metalinguistic" model output that is not to be considered as part of the summary (e.g., "Here is the summary:", "This text is about...") </t>
  </si>
  <si>
    <t xml:space="preserve">what</t>
  </si>
  <si>
    <t xml:space="preserve">who</t>
  </si>
  <si>
    <t xml:space="preserve">when</t>
  </si>
  <si>
    <t xml:space="preserve">where</t>
  </si>
  <si>
    <t xml:space="preserve">why</t>
  </si>
  <si>
    <t xml:space="preserve">how</t>
  </si>
  <si>
    <t xml:space="preserve"> model key</t>
  </si>
  <si>
    <t xml:space="preserve">prompt key</t>
  </si>
</sst>
</file>

<file path=xl/styles.xml><?xml version="1.0" encoding="utf-8"?>
<styleSheet xmlns="http://schemas.openxmlformats.org/spreadsheetml/2006/main">
  <numFmts count="5">
    <numFmt numFmtId="164" formatCode="General"/>
    <numFmt numFmtId="165" formatCode="0.00"/>
    <numFmt numFmtId="166" formatCode="0\ %"/>
    <numFmt numFmtId="167" formatCode="#,##0.00"/>
    <numFmt numFmtId="168" formatCode="General"/>
  </numFmts>
  <fonts count="33">
    <font>
      <sz val="10"/>
      <color rgb="FF000000"/>
      <name val="Arial"/>
      <family val="0"/>
      <charset val="1"/>
    </font>
    <font>
      <sz val="10"/>
      <name val="Arial"/>
      <family val="0"/>
    </font>
    <font>
      <sz val="10"/>
      <name val="Arial"/>
      <family val="0"/>
    </font>
    <font>
      <sz val="10"/>
      <name val="Arial"/>
      <family val="0"/>
    </font>
    <font>
      <b val="true"/>
      <sz val="11"/>
      <color theme="1"/>
      <name val="Arial"/>
      <family val="0"/>
      <charset val="1"/>
    </font>
    <font>
      <sz val="11"/>
      <color theme="1"/>
      <name val="Arial"/>
      <family val="0"/>
      <charset val="1"/>
    </font>
    <font>
      <b val="true"/>
      <sz val="11"/>
      <color rgb="FFFFFFFF"/>
      <name val="Arial"/>
      <family val="0"/>
      <charset val="1"/>
    </font>
    <font>
      <u val="single"/>
      <sz val="11"/>
      <color rgb="FF0000FF"/>
      <name val="Cambria"/>
      <family val="0"/>
      <charset val="1"/>
    </font>
    <font>
      <sz val="9"/>
      <color rgb="FF4285F4"/>
      <name val="Arial"/>
      <family val="0"/>
      <charset val="1"/>
    </font>
    <font>
      <sz val="10"/>
      <name val="Arial"/>
      <family val="2"/>
    </font>
    <font>
      <b val="true"/>
      <sz val="9"/>
      <color rgb="FF000000"/>
      <name val="Arial"/>
      <family val="0"/>
      <charset val="1"/>
    </font>
    <font>
      <b val="true"/>
      <sz val="9"/>
      <color theme="1"/>
      <name val="Arial"/>
      <family val="0"/>
      <charset val="1"/>
    </font>
    <font>
      <b val="true"/>
      <u val="single"/>
      <sz val="11"/>
      <color rgb="FF0000FF"/>
      <name val="Cambria"/>
      <family val="0"/>
      <charset val="1"/>
    </font>
    <font>
      <sz val="9"/>
      <color rgb="FF000000"/>
      <name val="Arial"/>
      <family val="0"/>
      <charset val="1"/>
    </font>
    <font>
      <i val="true"/>
      <sz val="9"/>
      <color rgb="FF000000"/>
      <name val="Arial"/>
      <family val="0"/>
      <charset val="1"/>
    </font>
    <font>
      <strike val="true"/>
      <sz val="9"/>
      <color rgb="FF000000"/>
      <name val="Arial"/>
      <family val="0"/>
      <charset val="1"/>
    </font>
    <font>
      <sz val="9"/>
      <color rgb="FF666666"/>
      <name val="Arial"/>
      <family val="0"/>
      <charset val="1"/>
    </font>
    <font>
      <sz val="9"/>
      <color rgb="FF4A86E8"/>
      <name val="Arial"/>
      <family val="0"/>
      <charset val="1"/>
    </font>
    <font>
      <sz val="9"/>
      <color rgb="FFFF0000"/>
      <name val="Arial"/>
      <family val="0"/>
      <charset val="1"/>
    </font>
    <font>
      <b val="true"/>
      <u val="single"/>
      <sz val="11"/>
      <color rgb="FF1155CC"/>
      <name val="Arial"/>
      <family val="0"/>
      <charset val="1"/>
    </font>
    <font>
      <strike val="true"/>
      <sz val="9"/>
      <color rgb="FF666666"/>
      <name val="Arial"/>
      <family val="0"/>
      <charset val="1"/>
    </font>
    <font>
      <sz val="9"/>
      <color rgb="FF999999"/>
      <name val="Arial"/>
      <family val="0"/>
      <charset val="1"/>
    </font>
    <font>
      <b val="true"/>
      <strike val="true"/>
      <sz val="11"/>
      <color theme="1"/>
      <name val="Arial"/>
      <family val="0"/>
      <charset val="1"/>
    </font>
    <font>
      <b val="true"/>
      <u val="single"/>
      <sz val="11"/>
      <color theme="1"/>
      <name val="Arial"/>
      <family val="0"/>
      <charset val="1"/>
    </font>
    <font>
      <b val="true"/>
      <sz val="11"/>
      <color rgb="FF999999"/>
      <name val="Arial"/>
      <family val="0"/>
      <charset val="1"/>
    </font>
    <font>
      <b val="true"/>
      <sz val="11"/>
      <color rgb="FF38761D"/>
      <name val="Arial"/>
      <family val="0"/>
      <charset val="1"/>
    </font>
    <font>
      <b val="true"/>
      <sz val="11"/>
      <color rgb="FFFF0000"/>
      <name val="Arial"/>
      <family val="0"/>
      <charset val="1"/>
    </font>
    <font>
      <b val="true"/>
      <sz val="11"/>
      <color rgb="FF4A86E8"/>
      <name val="Arial"/>
      <family val="0"/>
      <charset val="1"/>
    </font>
    <font>
      <b val="true"/>
      <sz val="11"/>
      <color rgb="FFFF9900"/>
      <name val="Arial"/>
      <family val="0"/>
      <charset val="1"/>
    </font>
    <font>
      <b val="true"/>
      <sz val="11"/>
      <color rgb="FF674EA7"/>
      <name val="Arial"/>
      <family val="0"/>
      <charset val="1"/>
    </font>
    <font>
      <b val="true"/>
      <sz val="11"/>
      <color rgb="FFBF9000"/>
      <name val="Arial"/>
      <family val="0"/>
      <charset val="1"/>
    </font>
    <font>
      <u val="single"/>
      <sz val="11"/>
      <color rgb="FF1155CC"/>
      <name val="Arial"/>
      <family val="0"/>
      <charset val="1"/>
    </font>
    <font>
      <i val="true"/>
      <sz val="11"/>
      <color theme="1"/>
      <name val="Arial"/>
      <family val="0"/>
      <charset val="1"/>
    </font>
  </fonts>
  <fills count="67">
    <fill>
      <patternFill patternType="none"/>
    </fill>
    <fill>
      <patternFill patternType="gray125"/>
    </fill>
    <fill>
      <patternFill patternType="solid">
        <fgColor rgb="FF000000"/>
        <bgColor rgb="FF0000FF"/>
      </patternFill>
    </fill>
    <fill>
      <patternFill patternType="solid">
        <fgColor rgb="FFFFFCFC"/>
        <bgColor rgb="FFFFFDFD"/>
      </patternFill>
    </fill>
    <fill>
      <patternFill patternType="solid">
        <fgColor rgb="FFFFFFFF"/>
        <bgColor rgb="FFFFFEFE"/>
      </patternFill>
    </fill>
    <fill>
      <patternFill patternType="solid">
        <fgColor rgb="FFFFFAFA"/>
        <bgColor rgb="FFFEF9F9"/>
      </patternFill>
    </fill>
    <fill>
      <patternFill patternType="solid">
        <fgColor rgb="FFFDF2F1"/>
        <bgColor rgb="FFFDF1F0"/>
      </patternFill>
    </fill>
    <fill>
      <patternFill patternType="solid">
        <fgColor rgb="FFFDF4F3"/>
        <bgColor rgb="FFFDF3F3"/>
      </patternFill>
    </fill>
    <fill>
      <patternFill patternType="solid">
        <fgColor rgb="FFFCEEED"/>
        <bgColor rgb="FFFCEDEC"/>
      </patternFill>
    </fill>
    <fill>
      <patternFill patternType="solid">
        <fgColor rgb="FFF9DCDA"/>
        <bgColor rgb="FFF9DBD8"/>
      </patternFill>
    </fill>
    <fill>
      <patternFill patternType="solid">
        <fgColor rgb="FFFEF9F9"/>
        <bgColor rgb="FFFEF8F8"/>
      </patternFill>
    </fill>
    <fill>
      <patternFill patternType="solid">
        <fgColor rgb="FFFCEBEA"/>
        <bgColor rgb="FFFCECEB"/>
      </patternFill>
    </fill>
    <fill>
      <patternFill patternType="solid">
        <fgColor rgb="FFFDF3F3"/>
        <bgColor rgb="FFFDF4F3"/>
      </patternFill>
    </fill>
    <fill>
      <patternFill patternType="solid">
        <fgColor rgb="FFFBE4E2"/>
        <bgColor rgb="FFFBE5E3"/>
      </patternFill>
    </fill>
    <fill>
      <patternFill patternType="solid">
        <fgColor rgb="FFFDEFEE"/>
        <bgColor rgb="FFFDF0EF"/>
      </patternFill>
    </fill>
    <fill>
      <patternFill patternType="solid">
        <fgColor rgb="FFFBE5E3"/>
        <bgColor rgb="FFFBE4E2"/>
      </patternFill>
    </fill>
    <fill>
      <patternFill patternType="solid">
        <fgColor rgb="FFFDF0EF"/>
        <bgColor rgb="FFFDF1F0"/>
      </patternFill>
    </fill>
    <fill>
      <patternFill patternType="solid">
        <fgColor rgb="FFF7CFCC"/>
        <bgColor rgb="FFF7D3CF"/>
      </patternFill>
    </fill>
    <fill>
      <patternFill patternType="solid">
        <fgColor rgb="FFF4C4C0"/>
        <bgColor rgb="FFF4C2BE"/>
      </patternFill>
    </fill>
    <fill>
      <patternFill patternType="solid">
        <fgColor rgb="FFF6CBC7"/>
        <bgColor rgb="FFF7CFCC"/>
      </patternFill>
    </fill>
    <fill>
      <patternFill patternType="solid">
        <fgColor rgb="FFF9DBD8"/>
        <bgColor rgb="FFF9DAD7"/>
      </patternFill>
    </fill>
    <fill>
      <patternFill patternType="solid">
        <fgColor rgb="FFF4C2BE"/>
        <bgColor rgb="FFF4C4C0"/>
      </patternFill>
    </fill>
    <fill>
      <patternFill patternType="solid">
        <fgColor rgb="FFFAE0DE"/>
        <bgColor rgb="FFFAE1DF"/>
      </patternFill>
    </fill>
    <fill>
      <patternFill patternType="darkGray">
        <fgColor rgb="FFF8D8D5"/>
        <bgColor rgb="FFF8D6D3"/>
      </patternFill>
    </fill>
    <fill>
      <patternFill patternType="solid">
        <fgColor rgb="FFFEF6F6"/>
        <bgColor rgb="FFFEF5F5"/>
      </patternFill>
    </fill>
    <fill>
      <patternFill patternType="solid">
        <fgColor rgb="FFFAE1DF"/>
        <bgColor rgb="FFFAE0DE"/>
      </patternFill>
    </fill>
    <fill>
      <patternFill patternType="solid">
        <fgColor rgb="FFFADFDD"/>
        <bgColor rgb="FFFAE0DE"/>
      </patternFill>
    </fill>
    <fill>
      <patternFill patternType="solid">
        <fgColor rgb="FFFDF1F0"/>
        <bgColor rgb="FFFDF2F1"/>
      </patternFill>
    </fill>
    <fill>
      <patternFill patternType="darkGray">
        <fgColor rgb="FFF0ACA7"/>
        <bgColor rgb="FFF3B7B2"/>
      </patternFill>
    </fill>
    <fill>
      <patternFill patternType="solid">
        <fgColor rgb="FFF3BDB8"/>
        <bgColor rgb="FFF3BBB6"/>
      </patternFill>
    </fill>
    <fill>
      <patternFill patternType="solid">
        <fgColor rgb="FFFCEDEC"/>
        <bgColor rgb="FFFCEEED"/>
      </patternFill>
    </fill>
    <fill>
      <patternFill patternType="solid">
        <fgColor rgb="FFF0ACA7"/>
        <bgColor rgb="FFF3B7B2"/>
      </patternFill>
    </fill>
    <fill>
      <patternFill patternType="solid">
        <fgColor rgb="FFF8D6D3"/>
        <bgColor rgb="FFF8D8D5"/>
      </patternFill>
    </fill>
    <fill>
      <patternFill patternType="solid">
        <fgColor rgb="FFFBE8E7"/>
        <bgColor rgb="FFFBE9E8"/>
      </patternFill>
    </fill>
    <fill>
      <patternFill patternType="solid">
        <fgColor rgb="FFEB9189"/>
        <bgColor rgb="FFED9A93"/>
      </patternFill>
    </fill>
    <fill>
      <patternFill patternType="darkGray">
        <fgColor rgb="FFF7CFCC"/>
        <bgColor rgb="FFF7D3CF"/>
      </patternFill>
    </fill>
    <fill>
      <patternFill patternType="solid">
        <fgColor rgb="FFF3B7B2"/>
        <bgColor rgb="FFF3BBB6"/>
      </patternFill>
    </fill>
    <fill>
      <patternFill patternType="darkGray">
        <fgColor rgb="FFED9A93"/>
        <bgColor rgb="FFEB9189"/>
      </patternFill>
    </fill>
    <fill>
      <patternFill patternType="solid">
        <fgColor rgb="FFF8D8D5"/>
        <bgColor rgb="FFF8D6D3"/>
      </patternFill>
    </fill>
    <fill>
      <patternFill patternType="mediumGray">
        <fgColor rgb="FFFAE1DF"/>
        <bgColor rgb="FFFAE3E0"/>
      </patternFill>
    </fill>
    <fill>
      <patternFill patternType="solid">
        <fgColor rgb="FFFEF5F5"/>
        <bgColor rgb="FFFEF5F4"/>
      </patternFill>
    </fill>
    <fill>
      <patternFill patternType="solid">
        <fgColor rgb="FFFEF8F8"/>
        <bgColor rgb="FFFEF9F9"/>
      </patternFill>
    </fill>
    <fill>
      <patternFill patternType="solid">
        <fgColor rgb="FFFBE9E8"/>
        <bgColor rgb="FFFBE8E7"/>
      </patternFill>
    </fill>
    <fill>
      <patternFill patternType="solid">
        <fgColor rgb="FFF3BBB6"/>
        <bgColor rgb="FFF3BDB8"/>
      </patternFill>
    </fill>
    <fill>
      <patternFill patternType="darkGray">
        <fgColor rgb="FFFBE7E6"/>
        <bgColor rgb="FFFBE5E3"/>
      </patternFill>
    </fill>
    <fill>
      <patternFill patternType="solid">
        <fgColor rgb="FFFCECEB"/>
        <bgColor rgb="FFFCEBEA"/>
      </patternFill>
    </fill>
    <fill>
      <patternFill patternType="solid">
        <fgColor rgb="FFFEF7F7"/>
        <bgColor rgb="FFFEF6F6"/>
      </patternFill>
    </fill>
    <fill>
      <patternFill patternType="solid">
        <fgColor rgb="FFFEF5F4"/>
        <bgColor rgb="FFFEF5F5"/>
      </patternFill>
    </fill>
    <fill>
      <patternFill patternType="mediumGray">
        <fgColor rgb="FFF9DCDA"/>
        <bgColor rgb="FFF9DEDB"/>
      </patternFill>
    </fill>
    <fill>
      <patternFill patternType="solid">
        <fgColor rgb="FFED9A93"/>
        <bgColor rgb="FFEB9189"/>
      </patternFill>
    </fill>
    <fill>
      <patternFill patternType="solid">
        <fgColor rgb="FFFBE7E6"/>
        <bgColor rgb="FFFBE8E7"/>
      </patternFill>
    </fill>
    <fill>
      <patternFill patternType="darkGray">
        <fgColor rgb="FFF6CBC7"/>
        <bgColor rgb="FFF4C4C0"/>
      </patternFill>
    </fill>
    <fill>
      <patternFill patternType="darkGray">
        <fgColor rgb="FFF9DEDB"/>
        <bgColor rgb="FFF9DCDA"/>
      </patternFill>
    </fill>
    <fill>
      <patternFill patternType="solid">
        <fgColor rgb="FFF9DAD7"/>
        <bgColor rgb="FFF9DBD8"/>
      </patternFill>
    </fill>
    <fill>
      <patternFill patternType="darkGray">
        <fgColor rgb="FFF8D6D3"/>
        <bgColor rgb="FFF7D3CF"/>
      </patternFill>
    </fill>
    <fill>
      <patternFill patternType="darkGray">
        <fgColor rgb="FFF9DAD7"/>
        <bgColor rgb="FFF8D8D5"/>
      </patternFill>
    </fill>
    <fill>
      <patternFill patternType="darkGray">
        <fgColor rgb="FFF7D3CF"/>
        <bgColor rgb="FFF7CFCC"/>
      </patternFill>
    </fill>
    <fill>
      <patternFill patternType="mediumGray">
        <fgColor rgb="FFF3B7B2"/>
        <bgColor rgb="FFF3BBB6"/>
      </patternFill>
    </fill>
    <fill>
      <patternFill patternType="solid">
        <fgColor rgb="FFF0ACA7"/>
        <bgColor rgb="FFF3B7B2"/>
      </patternFill>
    </fill>
    <fill>
      <patternFill patternType="solid">
        <fgColor rgb="FFFAE3E0"/>
        <bgColor rgb="FFFBE4E2"/>
      </patternFill>
    </fill>
    <fill>
      <patternFill patternType="solid">
        <fgColor rgb="FFF7D3CF"/>
        <bgColor rgb="FFF8D6D3"/>
      </patternFill>
    </fill>
    <fill>
      <patternFill patternType="darkGray">
        <fgColor rgb="FFF7CFCC"/>
        <bgColor rgb="FFF6CBC7"/>
      </patternFill>
    </fill>
    <fill>
      <patternFill patternType="darkGray">
        <fgColor rgb="FFFAE3E0"/>
        <bgColor rgb="FFFAE1DF"/>
      </patternFill>
    </fill>
    <fill>
      <patternFill patternType="solid">
        <fgColor rgb="FFFCEAE8"/>
        <bgColor rgb="FFFBE9E8"/>
      </patternFill>
    </fill>
    <fill>
      <patternFill patternType="solid">
        <fgColor rgb="FFF9DEDB"/>
        <bgColor rgb="FFFADFDD"/>
      </patternFill>
    </fill>
    <fill>
      <patternFill patternType="solid">
        <fgColor rgb="FFFFFEFE"/>
        <bgColor rgb="FFFFFFFF"/>
      </patternFill>
    </fill>
    <fill>
      <patternFill patternType="solid">
        <fgColor rgb="FFFFFDFD"/>
        <bgColor rgb="FFFFFCFC"/>
      </patternFill>
    </fill>
  </fills>
  <borders count="16">
    <border diagonalUp="false" diagonalDown="false">
      <left/>
      <right/>
      <top/>
      <bottom/>
      <diagonal/>
    </border>
    <border diagonalUp="false" diagonalDown="false">
      <left style="thick"/>
      <right/>
      <top style="thick"/>
      <bottom/>
      <diagonal/>
    </border>
    <border diagonalUp="false" diagonalDown="false">
      <left/>
      <right/>
      <top style="thick"/>
      <bottom/>
      <diagonal/>
    </border>
    <border diagonalUp="false" diagonalDown="false">
      <left style="thick"/>
      <right style="thick"/>
      <top style="thick"/>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top/>
      <bottom style="thin"/>
      <diagonal/>
    </border>
    <border diagonalUp="false" diagonalDown="false">
      <left/>
      <right/>
      <top/>
      <bottom style="thin"/>
      <diagonal/>
    </border>
    <border diagonalUp="false" diagonalDown="false">
      <left style="thick"/>
      <right/>
      <top/>
      <bottom/>
      <diagonal/>
    </border>
    <border diagonalUp="false" diagonalDown="false">
      <left style="thick"/>
      <right style="thick"/>
      <top/>
      <bottom/>
      <diagonal/>
    </border>
    <border diagonalUp="false" diagonalDown="false">
      <left/>
      <right/>
      <top/>
      <bottom style="double"/>
      <diagonal/>
    </border>
    <border diagonalUp="false" diagonalDown="false">
      <left/>
      <right/>
      <top style="double"/>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center" vertical="top"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7"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8" fontId="5" fillId="0" borderId="0" xfId="0" applyFont="true" applyBorder="fals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center" vertical="bottom" textRotation="0" wrapText="false" indent="0" shrinkToFit="false"/>
      <protection locked="true" hidden="false"/>
    </xf>
    <xf numFmtId="164" fontId="6" fillId="2" borderId="2" xfId="0" applyFont="true" applyBorder="true" applyAlignment="true" applyProtection="true">
      <alignment horizontal="center" vertical="bottom" textRotation="0" wrapText="false" indent="0" shrinkToFit="false"/>
      <protection locked="true" hidden="false"/>
    </xf>
    <xf numFmtId="164" fontId="6" fillId="2" borderId="3" xfId="0" applyFont="true" applyBorder="true" applyAlignment="true" applyProtection="true">
      <alignment horizontal="center" vertical="bottom" textRotation="0" wrapText="false" indent="0" shrinkToFit="false"/>
      <protection locked="true" hidden="false"/>
    </xf>
    <xf numFmtId="168" fontId="7" fillId="0" borderId="4" xfId="0" applyFont="true" applyBorder="true" applyAlignment="true" applyProtection="true">
      <alignment horizontal="right" vertical="bottom" textRotation="0" wrapText="false" indent="0" shrinkToFit="false"/>
      <protection locked="true" hidden="false"/>
    </xf>
    <xf numFmtId="164" fontId="5" fillId="0" borderId="5" xfId="0" applyFont="true" applyBorder="true" applyAlignment="true" applyProtection="true">
      <alignment horizontal="center" vertical="bottom" textRotation="0" wrapText="false" indent="0" shrinkToFit="false"/>
      <protection locked="true" hidden="false"/>
    </xf>
    <xf numFmtId="164" fontId="5" fillId="0" borderId="5" xfId="0" applyFont="true" applyBorder="true" applyAlignment="true" applyProtection="true">
      <alignment horizontal="general" vertical="bottom" textRotation="0" wrapText="false" indent="0" shrinkToFit="false"/>
      <protection locked="true" hidden="false"/>
    </xf>
    <xf numFmtId="166" fontId="5" fillId="0" borderId="5" xfId="0" applyFont="true" applyBorder="true" applyAlignment="true" applyProtection="true">
      <alignment horizontal="general" vertical="bottom" textRotation="0" wrapText="false" indent="0" shrinkToFit="false"/>
      <protection locked="true" hidden="false"/>
    </xf>
    <xf numFmtId="167" fontId="5" fillId="0" borderId="5" xfId="0" applyFont="true" applyBorder="true" applyAlignment="true" applyProtection="true">
      <alignment horizontal="general" vertical="bottom" textRotation="0" wrapText="false" indent="0" shrinkToFit="false"/>
      <protection locked="true" hidden="false"/>
    </xf>
    <xf numFmtId="164" fontId="5" fillId="0" borderId="6" xfId="0" applyFont="true" applyBorder="true" applyAlignment="true" applyProtection="true">
      <alignment horizontal="general" vertical="bottom" textRotation="0" wrapText="false" indent="0" shrinkToFit="false"/>
      <protection locked="true" hidden="false"/>
    </xf>
    <xf numFmtId="168" fontId="7" fillId="0" borderId="7" xfId="0" applyFont="true" applyBorder="true" applyAlignment="true" applyProtection="true">
      <alignment horizontal="right" vertical="bottom" textRotation="0" wrapText="false" indent="0" shrinkToFit="false"/>
      <protection locked="true" hidden="false"/>
    </xf>
    <xf numFmtId="164" fontId="5" fillId="0" borderId="8" xfId="0" applyFont="true" applyBorder="true" applyAlignment="true" applyProtection="true">
      <alignment horizontal="general" vertical="bottom" textRotation="0" wrapText="false" indent="0" shrinkToFit="false"/>
      <protection locked="true" hidden="false"/>
    </xf>
    <xf numFmtId="164" fontId="5" fillId="0" borderId="7" xfId="0" applyFont="true" applyBorder="true" applyAlignment="true" applyProtection="true">
      <alignment horizontal="center" vertical="bottom" textRotation="0" wrapText="false" indent="0" shrinkToFit="false"/>
      <protection locked="true" hidden="false"/>
    </xf>
    <xf numFmtId="168" fontId="5" fillId="0" borderId="6" xfId="0" applyFont="true" applyBorder="true" applyAlignment="true" applyProtection="true">
      <alignment horizontal="center" vertical="bottom" textRotation="0" wrapText="false" indent="0" shrinkToFit="false"/>
      <protection locked="true" hidden="false"/>
    </xf>
    <xf numFmtId="168" fontId="5" fillId="0" borderId="8" xfId="0" applyFont="true" applyBorder="true" applyAlignment="true" applyProtection="true">
      <alignment horizontal="center" vertical="bottom" textRotation="0" wrapText="false" indent="0" shrinkToFit="false"/>
      <protection locked="true" hidden="false"/>
    </xf>
    <xf numFmtId="168" fontId="5" fillId="0" borderId="9" xfId="0"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5" xfId="0" applyFont="true" applyBorder="true" applyAlignment="true" applyProtection="true">
      <alignment horizontal="center" vertical="top" textRotation="0" wrapText="false" indent="0" shrinkToFit="false"/>
      <protection locked="true" hidden="false"/>
    </xf>
    <xf numFmtId="165" fontId="5" fillId="0" borderId="5" xfId="0" applyFont="true" applyBorder="true" applyAlignment="true" applyProtection="true">
      <alignment horizontal="general" vertical="bottom" textRotation="0" wrapText="false" indent="0" shrinkToFit="false"/>
      <protection locked="true" hidden="false"/>
    </xf>
    <xf numFmtId="164" fontId="5" fillId="0" borderId="7" xfId="0" applyFont="true" applyBorder="true" applyAlignment="true" applyProtection="true">
      <alignment horizontal="general" vertical="bottom" textRotation="0" wrapText="false" indent="0" shrinkToFit="false"/>
      <protection locked="true" hidden="false"/>
    </xf>
    <xf numFmtId="164" fontId="5" fillId="0" borderId="10" xfId="0" applyFont="true" applyBorder="true" applyAlignment="true" applyProtection="true">
      <alignment horizontal="general" vertical="bottom" textRotation="0" wrapText="false" indent="0" shrinkToFit="false"/>
      <protection locked="true" hidden="false"/>
    </xf>
    <xf numFmtId="164" fontId="5" fillId="0" borderId="11" xfId="0" applyFont="true" applyBorder="true" applyAlignment="true" applyProtection="true">
      <alignment horizontal="general" vertical="bottom" textRotation="0" wrapText="false" indent="0" shrinkToFit="false"/>
      <protection locked="true" hidden="false"/>
    </xf>
    <xf numFmtId="164" fontId="5" fillId="0" borderId="11" xfId="0" applyFont="true" applyBorder="true" applyAlignment="true" applyProtection="true">
      <alignment horizontal="center" vertical="top" textRotation="0" wrapText="false" indent="0" shrinkToFit="false"/>
      <protection locked="true" hidden="false"/>
    </xf>
    <xf numFmtId="166" fontId="5" fillId="0" borderId="11" xfId="0" applyFont="true" applyBorder="true" applyAlignment="true" applyProtection="true">
      <alignment horizontal="general" vertical="bottom" textRotation="0" wrapText="false" indent="0" shrinkToFit="false"/>
      <protection locked="true" hidden="false"/>
    </xf>
    <xf numFmtId="165" fontId="5" fillId="0" borderId="11" xfId="0" applyFont="true" applyBorder="true" applyAlignment="true" applyProtection="true">
      <alignment horizontal="general" vertical="bottom" textRotation="0" wrapText="false" indent="0" shrinkToFit="false"/>
      <protection locked="true" hidden="false"/>
    </xf>
    <xf numFmtId="164" fontId="6" fillId="2" borderId="12" xfId="0" applyFont="true" applyBorder="true" applyAlignment="true" applyProtection="true">
      <alignment horizontal="center" vertical="bottom" textRotation="0" wrapText="false" indent="0" shrinkToFit="false"/>
      <protection locked="true" hidden="false"/>
    </xf>
    <xf numFmtId="164" fontId="6" fillId="2" borderId="0" xfId="0" applyFont="true" applyBorder="false" applyAlignment="true" applyProtection="true">
      <alignment horizontal="center" vertical="bottom" textRotation="0" wrapText="false" indent="0" shrinkToFit="false"/>
      <protection locked="true" hidden="false"/>
    </xf>
    <xf numFmtId="164" fontId="6" fillId="2" borderId="13" xfId="0" applyFont="true" applyBorder="true" applyAlignment="true" applyProtection="true">
      <alignment horizontal="center" vertical="bottom" textRotation="0" wrapText="false" indent="0" shrinkToFit="false"/>
      <protection locked="true" hidden="false"/>
    </xf>
    <xf numFmtId="165" fontId="5" fillId="0" borderId="6" xfId="0" applyFont="true" applyBorder="true" applyAlignment="true" applyProtection="true">
      <alignment horizontal="general" vertical="bottom" textRotation="0" wrapText="false" indent="0" shrinkToFit="false"/>
      <protection locked="true" hidden="false"/>
    </xf>
    <xf numFmtId="165" fontId="5" fillId="0" borderId="8" xfId="0" applyFont="true" applyBorder="true" applyAlignment="true" applyProtection="true">
      <alignment horizontal="general" vertical="bottom" textRotation="0" wrapText="false" indent="0" shrinkToFit="false"/>
      <protection locked="true" hidden="false"/>
    </xf>
    <xf numFmtId="168" fontId="7" fillId="0" borderId="10" xfId="0" applyFont="true" applyBorder="true" applyAlignment="true" applyProtection="true">
      <alignment horizontal="right" vertical="bottom" textRotation="0" wrapText="false" indent="0" shrinkToFit="false"/>
      <protection locked="true" hidden="false"/>
    </xf>
    <xf numFmtId="164" fontId="5" fillId="0" borderId="11" xfId="0" applyFont="true" applyBorder="true" applyAlignment="true" applyProtection="true">
      <alignment horizontal="center" vertical="bottom" textRotation="0" wrapText="false" indent="0" shrinkToFit="false"/>
      <protection locked="true" hidden="false"/>
    </xf>
    <xf numFmtId="165" fontId="5" fillId="0" borderId="9"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center" vertical="top" textRotation="0" wrapText="true" indent="0" shrinkToFit="false"/>
      <protection locked="true" hidden="false"/>
    </xf>
    <xf numFmtId="164" fontId="11" fillId="0" borderId="0" xfId="0" applyFont="true" applyBorder="false" applyAlignment="true" applyProtection="true">
      <alignment horizontal="center" vertical="top" textRotation="0" wrapText="true" indent="0" shrinkToFit="false"/>
      <protection locked="true" hidden="false"/>
    </xf>
    <xf numFmtId="164" fontId="12" fillId="0" borderId="0" xfId="0" applyFont="true" applyBorder="true" applyAlignment="true" applyProtection="true">
      <alignment horizontal="center" vertical="center" textRotation="90" wrapText="true" indent="0" shrinkToFit="false"/>
      <protection locked="true" hidden="false"/>
    </xf>
    <xf numFmtId="164" fontId="5" fillId="0" borderId="0" xfId="0" applyFont="true" applyBorder="true" applyAlignment="true" applyProtection="true">
      <alignment horizontal="general" vertical="top" textRotation="0" wrapText="true" indent="0" shrinkToFit="false"/>
      <protection locked="true" hidden="false"/>
    </xf>
    <xf numFmtId="164" fontId="13" fillId="0" borderId="0" xfId="0" applyFont="true" applyBorder="false" applyAlignment="true" applyProtection="true">
      <alignment horizontal="general" vertical="top" textRotation="0" wrapText="true" indent="0" shrinkToFit="false"/>
      <protection locked="true" hidden="false"/>
    </xf>
    <xf numFmtId="166" fontId="5" fillId="3" borderId="0" xfId="0" applyFont="true" applyBorder="false" applyAlignment="true" applyProtection="true">
      <alignment horizontal="right" vertical="top" textRotation="0" wrapText="fals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6" fontId="5" fillId="4" borderId="0" xfId="0" applyFont="true" applyBorder="false" applyAlignment="true" applyProtection="true">
      <alignment horizontal="right" vertical="top" textRotation="0" wrapText="false" indent="0" shrinkToFit="false"/>
      <protection locked="true" hidden="false"/>
    </xf>
    <xf numFmtId="164" fontId="5" fillId="0" borderId="14" xfId="0" applyFont="true" applyBorder="true" applyAlignment="true" applyProtection="true">
      <alignment horizontal="general" vertical="top" textRotation="0" wrapText="false" indent="0" shrinkToFit="false"/>
      <protection locked="true" hidden="false"/>
    </xf>
    <xf numFmtId="164" fontId="12" fillId="0" borderId="15" xfId="0" applyFont="true" applyBorder="true" applyAlignment="true" applyProtection="true">
      <alignment horizontal="center" vertical="center" textRotation="90" wrapText="false" indent="0" shrinkToFit="false"/>
      <protection locked="true" hidden="false"/>
    </xf>
    <xf numFmtId="164" fontId="5" fillId="0" borderId="15" xfId="0" applyFont="true" applyBorder="true" applyAlignment="true" applyProtection="true">
      <alignment horizontal="general" vertical="top" textRotation="0" wrapText="true" indent="0" shrinkToFit="false"/>
      <protection locked="true" hidden="false"/>
    </xf>
    <xf numFmtId="164" fontId="5" fillId="0" borderId="15" xfId="0" applyFont="true" applyBorder="true" applyAlignment="true" applyProtection="true">
      <alignment horizontal="center" vertical="top" textRotation="0" wrapText="false" indent="0" shrinkToFit="false"/>
      <protection locked="true" hidden="false"/>
    </xf>
    <xf numFmtId="164" fontId="13" fillId="0" borderId="15" xfId="0" applyFont="true" applyBorder="true" applyAlignment="true" applyProtection="true">
      <alignment horizontal="general" vertical="top" textRotation="0" wrapText="true" indent="0" shrinkToFit="false"/>
      <protection locked="true" hidden="false"/>
    </xf>
    <xf numFmtId="166" fontId="5" fillId="5" borderId="0" xfId="0" applyFont="true" applyBorder="false" applyAlignment="true" applyProtection="true">
      <alignment horizontal="right" vertical="top" textRotation="0" wrapText="false" indent="0" shrinkToFit="false"/>
      <protection locked="true" hidden="false"/>
    </xf>
    <xf numFmtId="164" fontId="5" fillId="0" borderId="15" xfId="0" applyFont="true" applyBorder="true" applyAlignment="true" applyProtection="true">
      <alignment horizontal="general" vertical="top" textRotation="0" wrapText="false" indent="0" shrinkToFit="false"/>
      <protection locked="true" hidden="false"/>
    </xf>
    <xf numFmtId="166" fontId="5" fillId="6" borderId="0" xfId="0" applyFont="true" applyBorder="false" applyAlignment="true" applyProtection="true">
      <alignment horizontal="right" vertical="top" textRotation="0" wrapText="false" indent="0" shrinkToFit="false"/>
      <protection locked="true" hidden="false"/>
    </xf>
    <xf numFmtId="166" fontId="5" fillId="7" borderId="0" xfId="0" applyFont="true" applyBorder="false" applyAlignment="true" applyProtection="true">
      <alignment horizontal="right" vertical="top" textRotation="0" wrapText="false" indent="0" shrinkToFit="false"/>
      <protection locked="true" hidden="false"/>
    </xf>
    <xf numFmtId="166" fontId="5" fillId="8" borderId="0" xfId="0" applyFont="true" applyBorder="false" applyAlignment="true" applyProtection="true">
      <alignment horizontal="right" vertical="top" textRotation="0" wrapText="false" indent="0" shrinkToFit="false"/>
      <protection locked="true" hidden="false"/>
    </xf>
    <xf numFmtId="166" fontId="5" fillId="9" borderId="0" xfId="0" applyFont="true" applyBorder="false" applyAlignment="true" applyProtection="true">
      <alignment horizontal="right" vertical="top" textRotation="0" wrapText="false" indent="0" shrinkToFit="false"/>
      <protection locked="true" hidden="false"/>
    </xf>
    <xf numFmtId="166" fontId="5" fillId="10" borderId="0" xfId="0" applyFont="true" applyBorder="false" applyAlignment="true" applyProtection="true">
      <alignment horizontal="right" vertical="top" textRotation="0" wrapText="false" indent="0" shrinkToFit="false"/>
      <protection locked="true" hidden="false"/>
    </xf>
    <xf numFmtId="166" fontId="5" fillId="11" borderId="0" xfId="0" applyFont="true" applyBorder="false" applyAlignment="true" applyProtection="true">
      <alignment horizontal="right" vertical="top" textRotation="0" wrapText="false" indent="0" shrinkToFit="false"/>
      <protection locked="true" hidden="false"/>
    </xf>
    <xf numFmtId="166" fontId="5" fillId="12" borderId="0" xfId="0" applyFont="true" applyBorder="false" applyAlignment="true" applyProtection="true">
      <alignment horizontal="right" vertical="top" textRotation="0" wrapText="false" indent="0" shrinkToFit="false"/>
      <protection locked="true" hidden="false"/>
    </xf>
    <xf numFmtId="166" fontId="5" fillId="13" borderId="0" xfId="0" applyFont="true" applyBorder="false" applyAlignment="true" applyProtection="true">
      <alignment horizontal="right" vertical="top" textRotation="0" wrapText="false" indent="0" shrinkToFit="false"/>
      <protection locked="true" hidden="false"/>
    </xf>
    <xf numFmtId="166" fontId="5" fillId="14" borderId="0" xfId="0" applyFont="true" applyBorder="false" applyAlignment="true" applyProtection="true">
      <alignment horizontal="right" vertical="top" textRotation="0" wrapText="false" indent="0" shrinkToFit="false"/>
      <protection locked="true" hidden="false"/>
    </xf>
    <xf numFmtId="166" fontId="5" fillId="15" borderId="0" xfId="0" applyFont="true" applyBorder="false" applyAlignment="true" applyProtection="true">
      <alignment horizontal="right" vertical="top" textRotation="0" wrapText="false" indent="0" shrinkToFit="false"/>
      <protection locked="true" hidden="false"/>
    </xf>
    <xf numFmtId="166" fontId="5" fillId="16" borderId="0" xfId="0" applyFont="true" applyBorder="false" applyAlignment="true" applyProtection="true">
      <alignment horizontal="right" vertical="top" textRotation="0" wrapText="false" indent="0" shrinkToFit="false"/>
      <protection locked="true" hidden="false"/>
    </xf>
    <xf numFmtId="164" fontId="4" fillId="0" borderId="15" xfId="0" applyFont="true" applyBorder="true" applyAlignment="true" applyProtection="true">
      <alignment horizontal="center" vertical="center" textRotation="90" wrapText="false" indent="0" shrinkToFit="false"/>
      <protection locked="true" hidden="false"/>
    </xf>
    <xf numFmtId="166" fontId="5" fillId="17" borderId="15" xfId="0" applyFont="true" applyBorder="true" applyAlignment="true" applyProtection="true">
      <alignment horizontal="right" vertical="top" textRotation="0" wrapText="false" indent="0" shrinkToFit="false"/>
      <protection locked="true" hidden="false"/>
    </xf>
    <xf numFmtId="166" fontId="5" fillId="18" borderId="0" xfId="0" applyFont="true" applyBorder="false" applyAlignment="true" applyProtection="true">
      <alignment horizontal="right" vertical="top" textRotation="0" wrapText="false" indent="0" shrinkToFit="false"/>
      <protection locked="true" hidden="false"/>
    </xf>
    <xf numFmtId="166" fontId="5" fillId="19" borderId="0" xfId="0" applyFont="true" applyBorder="false" applyAlignment="true" applyProtection="true">
      <alignment horizontal="right" vertical="top" textRotation="0" wrapText="false" indent="0" shrinkToFit="false"/>
      <protection locked="true" hidden="false"/>
    </xf>
    <xf numFmtId="166" fontId="5" fillId="20" borderId="0" xfId="0" applyFont="true" applyBorder="false" applyAlignment="true" applyProtection="true">
      <alignment horizontal="right" vertical="top" textRotation="0" wrapText="false" indent="0" shrinkToFit="false"/>
      <protection locked="true" hidden="false"/>
    </xf>
    <xf numFmtId="166" fontId="5" fillId="21" borderId="0" xfId="0" applyFont="true" applyBorder="false" applyAlignment="true" applyProtection="true">
      <alignment horizontal="right" vertical="top" textRotation="0" wrapText="false" indent="0"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6" fontId="5" fillId="22" borderId="0" xfId="0" applyFont="true" applyBorder="false" applyAlignment="true" applyProtection="true">
      <alignment horizontal="right" vertical="top" textRotation="0" wrapText="false" indent="0" shrinkToFit="false"/>
      <protection locked="true" hidden="false"/>
    </xf>
    <xf numFmtId="166" fontId="5" fillId="23" borderId="0" xfId="0" applyFont="true" applyBorder="false" applyAlignment="true" applyProtection="true">
      <alignment horizontal="right" vertical="top" textRotation="0" wrapText="false" indent="0" shrinkToFit="false"/>
      <protection locked="true" hidden="false"/>
    </xf>
    <xf numFmtId="166" fontId="5" fillId="24" borderId="0" xfId="0" applyFont="true" applyBorder="false" applyAlignment="true" applyProtection="true">
      <alignment horizontal="right" vertical="top" textRotation="0" wrapText="false" indent="0" shrinkToFit="false"/>
      <protection locked="true" hidden="false"/>
    </xf>
    <xf numFmtId="166" fontId="5" fillId="25" borderId="0" xfId="0" applyFont="true" applyBorder="false" applyAlignment="true" applyProtection="true">
      <alignment horizontal="right" vertical="top" textRotation="0" wrapText="false" indent="0" shrinkToFit="false"/>
      <protection locked="true" hidden="false"/>
    </xf>
    <xf numFmtId="166" fontId="5" fillId="26" borderId="0" xfId="0" applyFont="true" applyBorder="false" applyAlignment="true" applyProtection="true">
      <alignment horizontal="right" vertical="top" textRotation="0" wrapText="false" indent="0" shrinkToFit="false"/>
      <protection locked="true" hidden="false"/>
    </xf>
    <xf numFmtId="166" fontId="5" fillId="27" borderId="0" xfId="0" applyFont="true" applyBorder="false" applyAlignment="true" applyProtection="true">
      <alignment horizontal="right" vertical="top" textRotation="0" wrapText="false" indent="0" shrinkToFit="false"/>
      <protection locked="true" hidden="false"/>
    </xf>
    <xf numFmtId="166" fontId="5" fillId="28" borderId="0" xfId="0" applyFont="true" applyBorder="false" applyAlignment="true" applyProtection="true">
      <alignment horizontal="right" vertical="top" textRotation="0" wrapText="false" indent="0" shrinkToFit="false"/>
      <protection locked="true" hidden="false"/>
    </xf>
    <xf numFmtId="166" fontId="5" fillId="29" borderId="0" xfId="0" applyFont="true" applyBorder="false" applyAlignment="true" applyProtection="true">
      <alignment horizontal="right" vertical="top" textRotation="0" wrapText="false" indent="0" shrinkToFit="false"/>
      <protection locked="true" hidden="false"/>
    </xf>
    <xf numFmtId="166" fontId="5" fillId="30" borderId="0" xfId="0" applyFont="true" applyBorder="false" applyAlignment="true" applyProtection="true">
      <alignment horizontal="right" vertical="top" textRotation="0" wrapText="false" indent="0" shrinkToFit="false"/>
      <protection locked="true" hidden="false"/>
    </xf>
    <xf numFmtId="166" fontId="5" fillId="31" borderId="0" xfId="0" applyFont="true" applyBorder="false" applyAlignment="true" applyProtection="true">
      <alignment horizontal="right" vertical="top" textRotation="0" wrapText="false" indent="0" shrinkToFit="false"/>
      <protection locked="true" hidden="false"/>
    </xf>
    <xf numFmtId="166" fontId="5" fillId="32" borderId="0" xfId="0" applyFont="true" applyBorder="false" applyAlignment="true" applyProtection="true">
      <alignment horizontal="right" vertical="top" textRotation="0" wrapText="false" indent="0" shrinkToFit="false"/>
      <protection locked="true" hidden="false"/>
    </xf>
    <xf numFmtId="166" fontId="5" fillId="33" borderId="0" xfId="0" applyFont="true" applyBorder="false" applyAlignment="true" applyProtection="true">
      <alignment horizontal="right" vertical="top" textRotation="0" wrapText="false" indent="0" shrinkToFit="false"/>
      <protection locked="true" hidden="false"/>
    </xf>
    <xf numFmtId="166" fontId="5" fillId="34" borderId="0" xfId="0" applyFont="true" applyBorder="false" applyAlignment="true" applyProtection="true">
      <alignment horizontal="right" vertical="top" textRotation="0" wrapText="false" indent="0" shrinkToFit="false"/>
      <protection locked="true" hidden="false"/>
    </xf>
    <xf numFmtId="166" fontId="5" fillId="35" borderId="0" xfId="0" applyFont="true" applyBorder="false" applyAlignment="true" applyProtection="true">
      <alignment horizontal="right" vertical="top" textRotation="0" wrapText="false" indent="0" shrinkToFit="false"/>
      <protection locked="true" hidden="false"/>
    </xf>
    <xf numFmtId="166" fontId="5" fillId="36" borderId="0" xfId="0" applyFont="true" applyBorder="false" applyAlignment="true" applyProtection="true">
      <alignment horizontal="right" vertical="top" textRotation="0" wrapText="false" indent="0" shrinkToFit="false"/>
      <protection locked="true" hidden="false"/>
    </xf>
    <xf numFmtId="164" fontId="13" fillId="0" borderId="15" xfId="0" applyFont="true" applyBorder="true" applyAlignment="true" applyProtection="true">
      <alignment horizontal="left" vertical="top" textRotation="0" wrapText="true" indent="0" shrinkToFit="false"/>
      <protection locked="true" hidden="false"/>
    </xf>
    <xf numFmtId="166" fontId="5" fillId="37" borderId="0" xfId="0" applyFont="true" applyBorder="false" applyAlignment="true" applyProtection="true">
      <alignment horizontal="right" vertical="top" textRotation="0" wrapText="false" indent="0" shrinkToFit="false"/>
      <protection locked="true" hidden="false"/>
    </xf>
    <xf numFmtId="166" fontId="5" fillId="38" borderId="0" xfId="0" applyFont="true" applyBorder="false" applyAlignment="true" applyProtection="true">
      <alignment horizontal="right" vertical="top" textRotation="0" wrapText="false" indent="0" shrinkToFit="false"/>
      <protection locked="true" hidden="false"/>
    </xf>
    <xf numFmtId="166" fontId="5" fillId="39" borderId="0" xfId="0" applyFont="true" applyBorder="false" applyAlignment="true" applyProtection="true">
      <alignment horizontal="right" vertical="top" textRotation="0" wrapText="false" indent="0" shrinkToFit="false"/>
      <protection locked="true" hidden="false"/>
    </xf>
    <xf numFmtId="166" fontId="5" fillId="40" borderId="0" xfId="0" applyFont="true" applyBorder="false" applyAlignment="true" applyProtection="true">
      <alignment horizontal="right" vertical="top" textRotation="0" wrapText="false" indent="0" shrinkToFit="false"/>
      <protection locked="true" hidden="false"/>
    </xf>
    <xf numFmtId="166" fontId="5" fillId="41" borderId="0" xfId="0" applyFont="true" applyBorder="false" applyAlignment="true" applyProtection="true">
      <alignment horizontal="right" vertical="top" textRotation="0" wrapText="false" indent="0" shrinkToFit="false"/>
      <protection locked="true" hidden="false"/>
    </xf>
    <xf numFmtId="164" fontId="19" fillId="0" borderId="15" xfId="0" applyFont="true" applyBorder="true" applyAlignment="true" applyProtection="true">
      <alignment horizontal="center" vertical="bottom" textRotation="90" wrapText="false" indent="0" shrinkToFit="false"/>
      <protection locked="true" hidden="false"/>
    </xf>
    <xf numFmtId="166" fontId="5" fillId="42" borderId="0" xfId="0" applyFont="true" applyBorder="false" applyAlignment="true" applyProtection="true">
      <alignment horizontal="right" vertical="top" textRotation="0" wrapText="false" indent="0" shrinkToFit="false"/>
      <protection locked="true" hidden="false"/>
    </xf>
    <xf numFmtId="166" fontId="5" fillId="43" borderId="0" xfId="0" applyFont="true" applyBorder="false" applyAlignment="true" applyProtection="true">
      <alignment horizontal="right" vertical="top" textRotation="0" wrapText="false" indent="0" shrinkToFit="false"/>
      <protection locked="true" hidden="false"/>
    </xf>
    <xf numFmtId="166" fontId="5" fillId="17" borderId="0" xfId="0" applyFont="true" applyBorder="false" applyAlignment="true" applyProtection="true">
      <alignment horizontal="right" vertical="top" textRotation="0" wrapText="false" indent="0" shrinkToFit="false"/>
      <protection locked="true" hidden="false"/>
    </xf>
    <xf numFmtId="164" fontId="15" fillId="0" borderId="0" xfId="0" applyFont="true" applyBorder="false" applyAlignment="true" applyProtection="true">
      <alignment horizontal="general" vertical="top" textRotation="0" wrapText="true" indent="0" shrinkToFit="false"/>
      <protection locked="true" hidden="false"/>
    </xf>
    <xf numFmtId="164" fontId="15" fillId="0" borderId="15" xfId="0" applyFont="true" applyBorder="true" applyAlignment="true" applyProtection="true">
      <alignment horizontal="general" vertical="top" textRotation="0" wrapText="tru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true">
      <alignment horizontal="general" vertical="top" textRotation="0" wrapText="true" indent="0" shrinkToFit="false"/>
      <protection locked="true" hidden="false"/>
    </xf>
    <xf numFmtId="164" fontId="6" fillId="2" borderId="0" xfId="0" applyFont="true" applyBorder="false" applyAlignment="true" applyProtection="true">
      <alignment horizontal="general" vertical="top"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center" vertical="bottom" textRotation="0" wrapText="false" indent="0" shrinkToFit="false"/>
      <protection locked="true" hidden="false"/>
    </xf>
    <xf numFmtId="164" fontId="23" fillId="0" borderId="0" xfId="0" applyFont="true" applyBorder="false" applyAlignment="true" applyProtection="true">
      <alignment horizontal="center" vertical="bottom" textRotation="0" wrapText="false" indent="0" shrinkToFit="false"/>
      <protection locked="true" hidden="false"/>
    </xf>
    <xf numFmtId="164" fontId="24" fillId="0" borderId="0" xfId="0" applyFont="true" applyBorder="false" applyAlignment="true" applyProtection="true">
      <alignment horizontal="center" vertical="bottom" textRotation="0" wrapText="false" indent="0" shrinkToFit="false"/>
      <protection locked="true" hidden="false"/>
    </xf>
    <xf numFmtId="164" fontId="25" fillId="0" borderId="0" xfId="0" applyFont="true" applyBorder="fals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center" vertical="bottom" textRotation="0" wrapText="false" indent="0" shrinkToFit="false"/>
      <protection locked="true" hidden="false"/>
    </xf>
    <xf numFmtId="164" fontId="27" fillId="0" borderId="0" xfId="0" applyFont="true" applyBorder="false" applyAlignment="true" applyProtection="true">
      <alignment horizontal="center" vertical="bottom" textRotation="0" wrapText="false" indent="0" shrinkToFit="false"/>
      <protection locked="true" hidden="false"/>
    </xf>
    <xf numFmtId="164" fontId="28" fillId="0" borderId="0" xfId="0" applyFont="true" applyBorder="false" applyAlignment="true" applyProtection="true">
      <alignment horizontal="center" vertical="bottom" textRotation="0" wrapText="false" indent="0" shrinkToFit="false"/>
      <protection locked="true" hidden="false"/>
    </xf>
    <xf numFmtId="164" fontId="29" fillId="0" borderId="0" xfId="0" applyFont="true" applyBorder="false" applyAlignment="true" applyProtection="true">
      <alignment horizontal="center" vertical="bottom" textRotation="0" wrapText="false" indent="0" shrinkToFit="false"/>
      <protection locked="true" hidden="false"/>
    </xf>
    <xf numFmtId="164" fontId="30" fillId="0" borderId="0" xfId="0" applyFont="true" applyBorder="false" applyAlignment="true" applyProtection="true">
      <alignment horizontal="center" vertical="bottom" textRotation="0" wrapText="false" indent="0" shrinkToFit="false"/>
      <protection locked="true" hidden="false"/>
    </xf>
    <xf numFmtId="168" fontId="31" fillId="0" borderId="0" xfId="0" applyFont="true" applyBorder="false" applyAlignment="true" applyProtection="true">
      <alignment horizontal="right" vertical="bottom" textRotation="0" wrapText="false" indent="0" shrinkToFit="false"/>
      <protection locked="true" hidden="false"/>
    </xf>
    <xf numFmtId="168" fontId="5" fillId="0" borderId="0" xfId="0" applyFont="true" applyBorder="false" applyAlignment="true" applyProtection="true">
      <alignment horizontal="center" vertical="top" textRotation="0" wrapText="false" indent="0" shrinkToFit="false"/>
      <protection locked="true" hidden="false"/>
    </xf>
    <xf numFmtId="166" fontId="5" fillId="44" borderId="0" xfId="0" applyFont="true" applyBorder="false" applyAlignment="true" applyProtection="true">
      <alignment horizontal="center" vertical="bottom" textRotation="0" wrapText="false" indent="0" shrinkToFit="false"/>
      <protection locked="true" hidden="false"/>
    </xf>
    <xf numFmtId="164" fontId="32" fillId="0" borderId="0" xfId="0" applyFont="true" applyBorder="false" applyAlignment="true" applyProtection="true">
      <alignment horizontal="center" vertical="bottom" textRotation="0" wrapText="false" indent="0" shrinkToFit="false"/>
      <protection locked="true" hidden="false"/>
    </xf>
    <xf numFmtId="166" fontId="5" fillId="33" borderId="0" xfId="0" applyFont="true" applyBorder="false" applyAlignment="true" applyProtection="true">
      <alignment horizontal="center" vertical="bottom" textRotation="0" wrapText="false" indent="0" shrinkToFit="false"/>
      <protection locked="true" hidden="false"/>
    </xf>
    <xf numFmtId="166" fontId="5" fillId="13" borderId="0" xfId="0" applyFont="true" applyBorder="false" applyAlignment="true" applyProtection="true">
      <alignment horizontal="center" vertical="bottom" textRotation="0" wrapText="false" indent="0" shrinkToFit="false"/>
      <protection locked="true" hidden="false"/>
    </xf>
    <xf numFmtId="166" fontId="5" fillId="45" borderId="0" xfId="0" applyFont="true" applyBorder="false" applyAlignment="true" applyProtection="true">
      <alignment horizontal="center" vertical="bottom" textRotation="0" wrapText="false" indent="0" shrinkToFit="false"/>
      <protection locked="true" hidden="false"/>
    </xf>
    <xf numFmtId="166" fontId="5" fillId="11" borderId="0" xfId="0" applyFont="true" applyBorder="false" applyAlignment="true" applyProtection="true">
      <alignment horizontal="center" vertical="bottom" textRotation="0" wrapText="false" indent="0" shrinkToFit="false"/>
      <protection locked="true" hidden="false"/>
    </xf>
    <xf numFmtId="166" fontId="5" fillId="27" borderId="0" xfId="0" applyFont="true" applyBorder="false" applyAlignment="true" applyProtection="true">
      <alignment horizontal="center" vertical="bottom" textRotation="0" wrapText="false" indent="0" shrinkToFit="false"/>
      <protection locked="true" hidden="false"/>
    </xf>
    <xf numFmtId="166" fontId="5" fillId="7" borderId="0" xfId="0" applyFont="true" applyBorder="false" applyAlignment="true" applyProtection="true">
      <alignment horizontal="center" vertical="bottom" textRotation="0" wrapText="false" indent="0" shrinkToFit="false"/>
      <protection locked="true" hidden="false"/>
    </xf>
    <xf numFmtId="166" fontId="5" fillId="12" borderId="0" xfId="0" applyFont="true" applyBorder="false" applyAlignment="true" applyProtection="true">
      <alignment horizontal="center" vertical="bottom" textRotation="0" wrapText="false" indent="0" shrinkToFit="false"/>
      <protection locked="true" hidden="false"/>
    </xf>
    <xf numFmtId="166" fontId="5" fillId="40" borderId="0" xfId="0" applyFont="true" applyBorder="false" applyAlignment="true" applyProtection="true">
      <alignment horizontal="center" vertical="bottom" textRotation="0" wrapText="false" indent="0" shrinkToFit="false"/>
      <protection locked="true" hidden="false"/>
    </xf>
    <xf numFmtId="166" fontId="5" fillId="15" borderId="0" xfId="0" applyFont="true" applyBorder="false" applyAlignment="true" applyProtection="true">
      <alignment horizontal="center" vertical="bottom" textRotation="0" wrapText="false" indent="0" shrinkToFit="false"/>
      <protection locked="true" hidden="false"/>
    </xf>
    <xf numFmtId="166" fontId="5" fillId="39" borderId="0" xfId="0" applyFont="true" applyBorder="false" applyAlignment="true" applyProtection="true">
      <alignment horizontal="center" vertical="bottom" textRotation="0" wrapText="false" indent="0" shrinkToFit="false"/>
      <protection locked="true" hidden="false"/>
    </xf>
    <xf numFmtId="166" fontId="5" fillId="46" borderId="0" xfId="0" applyFont="true" applyBorder="false" applyAlignment="true" applyProtection="true">
      <alignment horizontal="center" vertical="bottom" textRotation="0" wrapText="false" indent="0" shrinkToFit="false"/>
      <protection locked="true" hidden="false"/>
    </xf>
    <xf numFmtId="166" fontId="5" fillId="47" borderId="0" xfId="0" applyFont="true" applyBorder="false" applyAlignment="true" applyProtection="true">
      <alignment horizontal="center" vertical="bottom" textRotation="0" wrapText="false" indent="0" shrinkToFit="false"/>
      <protection locked="true" hidden="false"/>
    </xf>
    <xf numFmtId="166" fontId="5" fillId="48" borderId="0" xfId="0" applyFont="true" applyBorder="false" applyAlignment="true" applyProtection="true">
      <alignment horizontal="center" vertical="bottom" textRotation="0" wrapText="false" indent="0" shrinkToFit="false"/>
      <protection locked="true" hidden="false"/>
    </xf>
    <xf numFmtId="166" fontId="5" fillId="19" borderId="0" xfId="0" applyFont="true" applyBorder="false" applyAlignment="true" applyProtection="true">
      <alignment horizontal="center" vertical="bottom" textRotation="0" wrapText="false" indent="0" shrinkToFit="false"/>
      <protection locked="true" hidden="false"/>
    </xf>
    <xf numFmtId="166" fontId="5" fillId="21" borderId="0" xfId="0" applyFont="true" applyBorder="false" applyAlignment="true" applyProtection="true">
      <alignment horizontal="center" vertical="bottom" textRotation="0" wrapText="false" indent="0" shrinkToFit="false"/>
      <protection locked="true" hidden="false"/>
    </xf>
    <xf numFmtId="166" fontId="5" fillId="49" borderId="0" xfId="0" applyFont="true" applyBorder="false" applyAlignment="true" applyProtection="true">
      <alignment horizontal="center" vertical="bottom" textRotation="0" wrapText="false" indent="0" shrinkToFit="false"/>
      <protection locked="true" hidden="false"/>
    </xf>
    <xf numFmtId="166" fontId="5" fillId="17" borderId="0" xfId="0" applyFont="true" applyBorder="false" applyAlignment="true" applyProtection="true">
      <alignment horizontal="center" vertical="bottom" textRotation="0" wrapText="false" indent="0" shrinkToFit="false"/>
      <protection locked="true" hidden="false"/>
    </xf>
    <xf numFmtId="166" fontId="5" fillId="14" borderId="0" xfId="0" applyFont="true" applyBorder="false" applyAlignment="true" applyProtection="true">
      <alignment horizontal="center" vertical="bottom" textRotation="0" wrapText="false" indent="0" shrinkToFit="false"/>
      <protection locked="true" hidden="false"/>
    </xf>
    <xf numFmtId="166" fontId="5" fillId="30" borderId="0" xfId="0" applyFont="true" applyBorder="false" applyAlignment="true" applyProtection="true">
      <alignment horizontal="center" vertical="bottom" textRotation="0" wrapText="false" indent="0" shrinkToFit="false"/>
      <protection locked="true" hidden="false"/>
    </xf>
    <xf numFmtId="166" fontId="5" fillId="50" borderId="0" xfId="0" applyFont="true" applyBorder="false" applyAlignment="true" applyProtection="true">
      <alignment horizontal="center" vertical="bottom" textRotation="0" wrapText="false" indent="0" shrinkToFit="false"/>
      <protection locked="true" hidden="false"/>
    </xf>
    <xf numFmtId="166" fontId="5" fillId="6" borderId="0" xfId="0" applyFont="true" applyBorder="false" applyAlignment="true" applyProtection="true">
      <alignment horizontal="center" vertical="bottom" textRotation="0" wrapText="false" indent="0" shrinkToFit="false"/>
      <protection locked="true" hidden="false"/>
    </xf>
    <xf numFmtId="166" fontId="5" fillId="24" borderId="0" xfId="0" applyFont="true" applyBorder="false" applyAlignment="true" applyProtection="true">
      <alignment horizontal="center" vertical="bottom" textRotation="0" wrapText="false" indent="0" shrinkToFit="false"/>
      <protection locked="true" hidden="false"/>
    </xf>
    <xf numFmtId="166" fontId="5" fillId="22" borderId="0" xfId="0" applyFont="true" applyBorder="false" applyAlignment="true" applyProtection="true">
      <alignment horizontal="center" vertical="bottom" textRotation="0" wrapText="false" indent="0" shrinkToFit="false"/>
      <protection locked="true" hidden="false"/>
    </xf>
    <xf numFmtId="166" fontId="5" fillId="41" borderId="0" xfId="0" applyFont="true" applyBorder="false" applyAlignment="true" applyProtection="true">
      <alignment horizontal="center" vertical="bottom" textRotation="0" wrapText="false" indent="0" shrinkToFit="false"/>
      <protection locked="true" hidden="false"/>
    </xf>
    <xf numFmtId="166" fontId="5" fillId="9" borderId="0" xfId="0" applyFont="true" applyBorder="false" applyAlignment="true" applyProtection="true">
      <alignment horizontal="center" vertical="bottom" textRotation="0" wrapText="false" indent="0" shrinkToFit="false"/>
      <protection locked="true" hidden="false"/>
    </xf>
    <xf numFmtId="166" fontId="5" fillId="51" borderId="0" xfId="0" applyFont="true" applyBorder="false" applyAlignment="true" applyProtection="true">
      <alignment horizontal="center" vertical="bottom" textRotation="0" wrapText="false" indent="0" shrinkToFit="false"/>
      <protection locked="true" hidden="false"/>
    </xf>
    <xf numFmtId="166" fontId="5" fillId="8" borderId="0" xfId="0" applyFont="true" applyBorder="false" applyAlignment="true" applyProtection="true">
      <alignment horizontal="center" vertical="bottom" textRotation="0" wrapText="false" indent="0" shrinkToFit="false"/>
      <protection locked="true" hidden="false"/>
    </xf>
    <xf numFmtId="166" fontId="5" fillId="16" borderId="0" xfId="0" applyFont="true" applyBorder="false" applyAlignment="true" applyProtection="true">
      <alignment horizontal="center" vertical="bottom" textRotation="0" wrapText="false" indent="0" shrinkToFit="false"/>
      <protection locked="true" hidden="false"/>
    </xf>
    <xf numFmtId="166" fontId="5" fillId="52" borderId="0" xfId="0" applyFont="true" applyBorder="false" applyAlignment="true" applyProtection="true">
      <alignment horizontal="center" vertical="bottom" textRotation="0" wrapText="false" indent="0" shrinkToFit="false"/>
      <protection locked="true" hidden="false"/>
    </xf>
    <xf numFmtId="166" fontId="5" fillId="29" borderId="0" xfId="0" applyFont="true" applyBorder="false" applyAlignment="true" applyProtection="true">
      <alignment horizontal="center" vertical="bottom" textRotation="0" wrapText="false" indent="0" shrinkToFit="false"/>
      <protection locked="true" hidden="false"/>
    </xf>
    <xf numFmtId="166" fontId="5" fillId="18" borderId="0" xfId="0" applyFont="true" applyBorder="false" applyAlignment="true" applyProtection="true">
      <alignment horizontal="center" vertical="bottom" textRotation="0" wrapText="false" indent="0" shrinkToFit="false"/>
      <protection locked="true" hidden="false"/>
    </xf>
    <xf numFmtId="166" fontId="5" fillId="34" borderId="0" xfId="0" applyFont="true" applyBorder="false" applyAlignment="true" applyProtection="true">
      <alignment horizontal="center" vertical="bottom" textRotation="0" wrapText="false" indent="0" shrinkToFit="false"/>
      <protection locked="true" hidden="false"/>
    </xf>
    <xf numFmtId="166" fontId="5" fillId="53" borderId="0" xfId="0" applyFont="true" applyBorder="false" applyAlignment="true" applyProtection="true">
      <alignment horizontal="center" vertical="bottom" textRotation="0" wrapText="false" indent="0" shrinkToFit="false"/>
      <protection locked="true" hidden="false"/>
    </xf>
    <xf numFmtId="166" fontId="5" fillId="5" borderId="0" xfId="0" applyFont="true" applyBorder="false" applyAlignment="true" applyProtection="true">
      <alignment horizontal="center" vertical="bottom" textRotation="0" wrapText="false" indent="0" shrinkToFit="false"/>
      <protection locked="true" hidden="false"/>
    </xf>
    <xf numFmtId="166" fontId="5" fillId="54" borderId="0" xfId="0" applyFont="true" applyBorder="false" applyAlignment="true" applyProtection="true">
      <alignment horizontal="center" vertical="bottom" textRotation="0" wrapText="false" indent="0" shrinkToFit="false"/>
      <protection locked="true" hidden="false"/>
    </xf>
    <xf numFmtId="166" fontId="5" fillId="26" borderId="0" xfId="0" applyFont="true" applyBorder="false" applyAlignment="true" applyProtection="true">
      <alignment horizontal="center" vertical="bottom" textRotation="0" wrapText="false" indent="0" shrinkToFit="false"/>
      <protection locked="true" hidden="false"/>
    </xf>
    <xf numFmtId="166" fontId="5" fillId="55" borderId="0" xfId="0" applyFont="true" applyBorder="false" applyAlignment="true" applyProtection="true">
      <alignment horizontal="center" vertical="bottom" textRotation="0" wrapText="false" indent="0" shrinkToFit="false"/>
      <protection locked="true" hidden="false"/>
    </xf>
    <xf numFmtId="166" fontId="5" fillId="10" borderId="0" xfId="0" applyFont="true" applyBorder="false" applyAlignment="true" applyProtection="true">
      <alignment horizontal="center" vertical="bottom" textRotation="0" wrapText="false" indent="0" shrinkToFit="false"/>
      <protection locked="true" hidden="false"/>
    </xf>
    <xf numFmtId="166" fontId="5" fillId="42" borderId="0" xfId="0" applyFont="true" applyBorder="false" applyAlignment="true" applyProtection="true">
      <alignment horizontal="center" vertical="bottom" textRotation="0" wrapText="false" indent="0" shrinkToFit="false"/>
      <protection locked="true" hidden="false"/>
    </xf>
    <xf numFmtId="166" fontId="5" fillId="56" borderId="0" xfId="0" applyFont="true" applyBorder="false" applyAlignment="true" applyProtection="true">
      <alignment horizontal="center" vertical="bottom" textRotation="0" wrapText="false" indent="0" shrinkToFit="false"/>
      <protection locked="true" hidden="false"/>
    </xf>
    <xf numFmtId="166" fontId="5" fillId="20" borderId="0" xfId="0" applyFont="true" applyBorder="false" applyAlignment="true" applyProtection="true">
      <alignment horizontal="center" vertical="bottom" textRotation="0" wrapText="false" indent="0" shrinkToFit="false"/>
      <protection locked="true" hidden="false"/>
    </xf>
    <xf numFmtId="166" fontId="5" fillId="43" borderId="0" xfId="0" applyFont="true" applyBorder="false" applyAlignment="true" applyProtection="true">
      <alignment horizontal="center" vertical="bottom" textRotation="0" wrapText="false" indent="0" shrinkToFit="false"/>
      <protection locked="true" hidden="false"/>
    </xf>
    <xf numFmtId="166" fontId="5" fillId="57" borderId="0" xfId="0" applyFont="true" applyBorder="false" applyAlignment="true" applyProtection="true">
      <alignment horizontal="center" vertical="bottom" textRotation="0" wrapText="false" indent="0" shrinkToFit="false"/>
      <protection locked="true" hidden="false"/>
    </xf>
    <xf numFmtId="166" fontId="5" fillId="58" borderId="0" xfId="0" applyFont="true" applyBorder="false" applyAlignment="true" applyProtection="true">
      <alignment horizontal="center" vertical="bottom" textRotation="0" wrapText="false" indent="0" shrinkToFit="false"/>
      <protection locked="true" hidden="false"/>
    </xf>
    <xf numFmtId="166" fontId="5" fillId="32" borderId="0" xfId="0" applyFont="true" applyBorder="false" applyAlignment="true" applyProtection="true">
      <alignment horizontal="center" vertical="bottom" textRotation="0" wrapText="false" indent="0" shrinkToFit="false"/>
      <protection locked="true" hidden="false"/>
    </xf>
    <xf numFmtId="166" fontId="5" fillId="25" borderId="0" xfId="0" applyFont="true" applyBorder="false" applyAlignment="true" applyProtection="true">
      <alignment horizontal="center" vertical="bottom" textRotation="0" wrapText="false" indent="0" shrinkToFit="false"/>
      <protection locked="true" hidden="false"/>
    </xf>
    <xf numFmtId="166" fontId="5" fillId="59" borderId="0" xfId="0" applyFont="true" applyBorder="false" applyAlignment="true" applyProtection="true">
      <alignment horizontal="center" vertical="bottom" textRotation="0" wrapText="false" indent="0" shrinkToFit="false"/>
      <protection locked="true" hidden="false"/>
    </xf>
    <xf numFmtId="166" fontId="5" fillId="60" borderId="0" xfId="0" applyFont="true" applyBorder="false" applyAlignment="true" applyProtection="true">
      <alignment horizontal="center" vertical="bottom" textRotation="0" wrapText="false" indent="0" shrinkToFit="false"/>
      <protection locked="true" hidden="false"/>
    </xf>
    <xf numFmtId="166" fontId="5" fillId="61" borderId="0" xfId="0" applyFont="true" applyBorder="false" applyAlignment="true" applyProtection="true">
      <alignment horizontal="center" vertical="bottom" textRotation="0" wrapText="false" indent="0" shrinkToFit="false"/>
      <protection locked="true" hidden="false"/>
    </xf>
    <xf numFmtId="166" fontId="5" fillId="62" borderId="0" xfId="0" applyFont="true" applyBorder="false" applyAlignment="true" applyProtection="true">
      <alignment horizontal="center" vertical="bottom" textRotation="0" wrapText="false" indent="0" shrinkToFit="false"/>
      <protection locked="true" hidden="false"/>
    </xf>
    <xf numFmtId="166" fontId="5" fillId="63" borderId="0" xfId="0" applyFont="true" applyBorder="false" applyAlignment="true" applyProtection="true">
      <alignment horizontal="center" vertical="bottom" textRotation="0" wrapText="false" indent="0" shrinkToFit="false"/>
      <protection locked="true" hidden="false"/>
    </xf>
    <xf numFmtId="166" fontId="5" fillId="23" borderId="0" xfId="0" applyFont="true" applyBorder="false" applyAlignment="true" applyProtection="true">
      <alignment horizontal="center" vertical="bottom" textRotation="0" wrapText="false" indent="0" shrinkToFit="false"/>
      <protection locked="true" hidden="false"/>
    </xf>
    <xf numFmtId="166" fontId="5" fillId="64" borderId="0" xfId="0" applyFont="true" applyBorder="false" applyAlignment="true" applyProtection="true">
      <alignment horizontal="center" vertical="bottom" textRotation="0" wrapText="false" indent="0" shrinkToFit="false"/>
      <protection locked="true" hidden="false"/>
    </xf>
    <xf numFmtId="168" fontId="5" fillId="0" borderId="0" xfId="0" applyFont="true" applyBorder="false" applyAlignment="true" applyProtection="true">
      <alignment horizontal="center" vertical="bottom" textRotation="0" wrapText="false" indent="0" shrinkToFit="false"/>
      <protection locked="true" hidden="false"/>
    </xf>
    <xf numFmtId="166" fontId="5" fillId="3" borderId="0" xfId="0" applyFont="true" applyBorder="false" applyAlignment="true" applyProtection="true">
      <alignment horizontal="center" vertical="bottom" textRotation="0" wrapText="false" indent="0" shrinkToFit="false"/>
      <protection locked="true" hidden="false"/>
    </xf>
    <xf numFmtId="166" fontId="5" fillId="65" borderId="0" xfId="0" applyFont="true" applyBorder="false" applyAlignment="true" applyProtection="true">
      <alignment horizontal="center" vertical="bottom" textRotation="0" wrapText="false" indent="0" shrinkToFit="false"/>
      <protection locked="true" hidden="false"/>
    </xf>
    <xf numFmtId="166" fontId="5" fillId="66" borderId="0" xfId="0" applyFont="true" applyBorder="fals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5">
    <dxf>
      <fill>
        <patternFill patternType="solid">
          <bgColor rgb="FF000000"/>
        </patternFill>
      </fill>
    </dxf>
    <dxf>
      <fill>
        <patternFill patternType="solid">
          <fgColor rgb="FF000000"/>
          <bgColor rgb="FF000000"/>
        </patternFill>
      </fill>
    </dxf>
    <dxf>
      <fill>
        <patternFill patternType="solid">
          <fgColor rgb="FFEC9A93"/>
          <bgColor rgb="FF000000"/>
        </patternFill>
      </fill>
    </dxf>
    <dxf>
      <fill>
        <patternFill patternType="solid">
          <fgColor rgb="FFEEA19A"/>
          <bgColor rgb="FF000000"/>
        </patternFill>
      </fill>
    </dxf>
    <dxf>
      <fill>
        <patternFill patternType="solid">
          <fgColor rgb="FFF9DFDC"/>
          <bgColor rgb="FF000000"/>
        </patternFill>
      </fill>
    </dxf>
    <dxf>
      <fill>
        <patternFill patternType="solid">
          <fgColor rgb="FFFBE7E5"/>
          <bgColor rgb="FF000000"/>
        </patternFill>
      </fill>
    </dxf>
    <dxf>
      <fill>
        <patternFill patternType="solid">
          <fgColor rgb="FFFBE8E6"/>
          <bgColor rgb="FF000000"/>
        </patternFill>
      </fill>
    </dxf>
    <dxf>
      <fill>
        <patternFill patternType="solid">
          <fgColor rgb="FFFBE9E7"/>
          <bgColor rgb="FF000000"/>
        </patternFill>
      </fill>
    </dxf>
    <dxf>
      <fill>
        <patternFill patternType="solid">
          <fgColor rgb="FFFBEAE8"/>
          <bgColor rgb="FF000000"/>
        </patternFill>
      </fill>
    </dxf>
    <dxf>
      <fill>
        <patternFill patternType="solid">
          <fgColor rgb="FFFCECEB"/>
          <bgColor rgb="FF000000"/>
        </patternFill>
      </fill>
    </dxf>
    <dxf>
      <fill>
        <patternFill patternType="solid">
          <fgColor rgb="FFFCEDEB"/>
          <bgColor rgb="FF000000"/>
        </patternFill>
      </fill>
    </dxf>
    <dxf>
      <fill>
        <patternFill patternType="solid">
          <fgColor rgb="FFFCEEEC"/>
          <bgColor rgb="FF000000"/>
        </patternFill>
      </fill>
    </dxf>
    <dxf>
      <fill>
        <patternFill patternType="solid">
          <fgColor rgb="FFFDF0EF"/>
          <bgColor rgb="FF000000"/>
        </patternFill>
      </fill>
    </dxf>
    <dxf>
      <fill>
        <patternFill patternType="solid">
          <fgColor rgb="FFFDF2F1"/>
          <bgColor rgb="FF000000"/>
        </patternFill>
      </fill>
    </dxf>
    <dxf>
      <fill>
        <patternFill patternType="solid">
          <fgColor rgb="FFFDF3F2"/>
          <bgColor rgb="FF000000"/>
        </patternFill>
      </fill>
    </dxf>
    <dxf>
      <fill>
        <patternFill patternType="solid">
          <fgColor rgb="FFFDF5F4"/>
          <bgColor rgb="FF000000"/>
        </patternFill>
      </fill>
    </dxf>
    <dxf>
      <fill>
        <patternFill patternType="solid">
          <fgColor rgb="FFFEF5F4"/>
          <bgColor rgb="FF000000"/>
        </patternFill>
      </fill>
    </dxf>
    <dxf>
      <fill>
        <patternFill patternType="solid">
          <fgColor rgb="FFFEF5F5"/>
          <bgColor rgb="FF000000"/>
        </patternFill>
      </fill>
    </dxf>
    <dxf>
      <fill>
        <patternFill patternType="solid">
          <fgColor rgb="FFFEF6F5"/>
          <bgColor rgb="FF000000"/>
        </patternFill>
      </fill>
    </dxf>
    <dxf>
      <fill>
        <patternFill patternType="solid">
          <fgColor rgb="FFFEF6F6"/>
          <bgColor rgb="FF000000"/>
        </patternFill>
      </fill>
    </dxf>
    <dxf>
      <fill>
        <patternFill patternType="solid">
          <fgColor rgb="FFFEF8F7"/>
          <bgColor rgb="FF000000"/>
        </patternFill>
      </fill>
    </dxf>
    <dxf>
      <fill>
        <patternFill patternType="solid">
          <fgColor rgb="FFCBD4C4"/>
          <bgColor rgb="FF000000"/>
        </patternFill>
      </fill>
    </dxf>
    <dxf>
      <fill>
        <patternFill patternType="solid">
          <fgColor rgb="FFCFD5C0"/>
          <bgColor rgb="FF000000"/>
        </patternFill>
      </fill>
    </dxf>
    <dxf>
      <fill>
        <patternFill patternType="solid">
          <fgColor rgb="FFD4D7BC"/>
          <bgColor rgb="FF000000"/>
        </patternFill>
      </fill>
    </dxf>
    <dxf>
      <fill>
        <patternFill patternType="solid">
          <fgColor rgb="FFD9D9B8"/>
          <bgColor rgb="FF000000"/>
        </patternFill>
      </fill>
    </dxf>
    <dxf>
      <fill>
        <patternFill patternType="solid">
          <fgColor rgb="FFDEDAB4"/>
          <bgColor rgb="FF000000"/>
        </patternFill>
      </fill>
    </dxf>
    <dxf>
      <fill>
        <patternFill patternType="solid">
          <fgColor rgb="FFE3DCB0"/>
          <bgColor rgb="FF000000"/>
        </patternFill>
      </fill>
    </dxf>
    <dxf>
      <fill>
        <patternFill patternType="solid">
          <fgColor rgb="FFECDFA8"/>
          <bgColor rgb="FF000000"/>
        </patternFill>
      </fill>
    </dxf>
    <dxf>
      <fill>
        <patternFill patternType="solid">
          <fgColor rgb="FFF3BB99"/>
          <bgColor rgb="FF000000"/>
        </patternFill>
      </fill>
    </dxf>
    <dxf>
      <fill>
        <patternFill patternType="solid">
          <fgColor rgb="FFF5C299"/>
          <bgColor rgb="FF000000"/>
        </patternFill>
      </fill>
    </dxf>
    <dxf>
      <fill>
        <patternFill patternType="solid">
          <fgColor rgb="FFF9D299"/>
          <bgColor rgb="FF000000"/>
        </patternFill>
      </fill>
    </dxf>
    <dxf>
      <fill>
        <patternFill patternType="solid">
          <fgColor rgb="FFFBD999"/>
          <bgColor rgb="FF000000"/>
        </patternFill>
      </fill>
    </dxf>
    <dxf>
      <fill>
        <patternFill patternType="solid">
          <fgColor rgb="FFFDE199"/>
          <bgColor rgb="FF000000"/>
        </patternFill>
      </fill>
    </dxf>
    <dxf>
      <fill>
        <patternFill patternType="solid">
          <fgColor rgb="FFFFE599"/>
          <bgColor rgb="FF000000"/>
        </patternFill>
      </fill>
    </dxf>
    <dxf>
      <fill>
        <patternFill patternType="solid">
          <fgColor rgb="FFA4C7E4"/>
          <bgColor rgb="FF000000"/>
        </patternFill>
      </fill>
    </dxf>
    <dxf>
      <fill>
        <patternFill patternType="solid">
          <fgColor rgb="FFA9C9E0"/>
          <bgColor rgb="FF000000"/>
        </patternFill>
      </fill>
    </dxf>
    <dxf>
      <fill>
        <patternFill patternType="solid">
          <fgColor rgb="FFAECADC"/>
          <bgColor rgb="FF000000"/>
        </patternFill>
      </fill>
    </dxf>
    <dxf>
      <fill>
        <patternFill patternType="solid">
          <fgColor rgb="FFB3CCD8"/>
          <bgColor rgb="FF000000"/>
        </patternFill>
      </fill>
    </dxf>
    <dxf>
      <fill>
        <patternFill patternType="solid">
          <fgColor rgb="FFB7CDD4"/>
          <bgColor rgb="FF000000"/>
        </patternFill>
      </fill>
    </dxf>
    <dxf>
      <fill>
        <patternFill patternType="solid">
          <fgColor rgb="FFBCCFD0"/>
          <bgColor rgb="FF000000"/>
        </patternFill>
      </fill>
    </dxf>
    <dxf>
      <fill>
        <patternFill patternType="solid">
          <fgColor rgb="FFC6D2C8"/>
          <bgColor rgb="FF000000"/>
        </patternFill>
      </fill>
    </dxf>
    <dxf>
      <fill>
        <patternFill patternType="solid">
          <fgColor rgb="FFE7DDAC"/>
          <bgColor rgb="FF000000"/>
        </patternFill>
      </fill>
    </dxf>
    <dxf>
      <fill>
        <patternFill patternType="solid">
          <fgColor rgb="FFF2B799"/>
          <bgColor rgb="FF000000"/>
        </patternFill>
      </fill>
    </dxf>
    <dxf>
      <fill>
        <patternFill patternType="solid">
          <fgColor rgb="FFF6C699"/>
          <bgColor rgb="FF000000"/>
        </patternFill>
      </fill>
    </dxf>
    <dxf>
      <fill>
        <patternFill patternType="solid">
          <fgColor rgb="FFFAD599"/>
          <bgColor rgb="FF000000"/>
        </patternFill>
      </fill>
    </dxf>
    <dxf>
      <fill>
        <patternFill patternType="solid">
          <fgColor rgb="FFFCDD99"/>
          <bgColor rgb="FF000000"/>
        </patternFill>
      </fill>
    </dxf>
    <dxf>
      <fill>
        <patternFill patternType="solid">
          <fgColor rgb="FFC1D1CC"/>
          <bgColor rgb="FF000000"/>
        </patternFill>
      </fill>
    </dxf>
    <dxf>
      <fill>
        <patternFill patternType="solid">
          <fgColor rgb="FFF8CE99"/>
          <bgColor rgb="FF000000"/>
        </patternFill>
      </fill>
    </dxf>
    <dxf>
      <fill>
        <patternFill patternType="solid">
          <fgColor rgb="FFF1E1A4"/>
          <bgColor rgb="FF000000"/>
        </patternFill>
      </fill>
    </dxf>
    <dxf>
      <fill>
        <patternFill patternType="solid">
          <fgColor rgb="FFF7CA99"/>
          <bgColor rgb="FF000000"/>
        </patternFill>
      </fill>
    </dxf>
    <dxf>
      <fill>
        <patternFill patternType="solid">
          <fgColor rgb="FFC8D3C6"/>
          <bgColor rgb="FF000000"/>
        </patternFill>
      </fill>
    </dxf>
    <dxf>
      <fill>
        <patternFill patternType="solid">
          <fgColor rgb="FFC9D3C6"/>
          <bgColor rgb="FF000000"/>
        </patternFill>
      </fill>
    </dxf>
    <dxf>
      <fill>
        <patternFill patternType="solid">
          <fgColor rgb="FFCAD4C5"/>
          <bgColor rgb="FF000000"/>
        </patternFill>
      </fill>
    </dxf>
    <dxf>
      <fill>
        <patternFill patternType="solid">
          <fgColor rgb="FFCCD4C3"/>
          <bgColor rgb="FF000000"/>
        </patternFill>
      </fill>
    </dxf>
    <dxf>
      <fill>
        <patternFill patternType="solid">
          <fgColor rgb="FFCED5C2"/>
          <bgColor rgb="FF000000"/>
        </patternFill>
      </fill>
    </dxf>
    <dxf>
      <fill>
        <patternFill patternType="solid">
          <fgColor rgb="FFD6D8BA"/>
          <bgColor rgb="FF000000"/>
        </patternFill>
      </fill>
    </dxf>
    <dxf>
      <fill>
        <patternFill patternType="solid">
          <fgColor rgb="FFD8D8B9"/>
          <bgColor rgb="FF000000"/>
        </patternFill>
      </fill>
    </dxf>
    <dxf>
      <fill>
        <patternFill patternType="solid">
          <fgColor rgb="FFDDDAB5"/>
          <bgColor rgb="FF000000"/>
        </patternFill>
      </fill>
    </dxf>
    <dxf>
      <fill>
        <patternFill patternType="solid">
          <fgColor rgb="FFE0DBB3"/>
          <bgColor rgb="FF000000"/>
        </patternFill>
      </fill>
    </dxf>
    <dxf>
      <fill>
        <patternFill patternType="solid">
          <fgColor rgb="FFE2DCB1"/>
          <bgColor rgb="FF000000"/>
        </patternFill>
      </fill>
    </dxf>
    <dxf>
      <fill>
        <patternFill patternType="solid">
          <fgColor rgb="FFEA9999"/>
          <bgColor rgb="FF000000"/>
        </patternFill>
      </fill>
    </dxf>
    <dxf>
      <fill>
        <patternFill patternType="solid">
          <fgColor rgb="FFFCDA99"/>
          <bgColor rgb="FF000000"/>
        </patternFill>
      </fill>
    </dxf>
    <dxf>
      <fill>
        <patternFill patternType="solid">
          <fgColor rgb="FFFEE199"/>
          <bgColor rgb="FF000000"/>
        </patternFill>
      </fill>
    </dxf>
    <dxf>
      <fill>
        <patternFill patternType="solid">
          <fgColor rgb="FFFEE59A"/>
          <bgColor rgb="FF000000"/>
        </patternFill>
      </fill>
    </dxf>
    <dxf>
      <font>
        <b val="1"/>
      </font>
    </dxf>
  </dxfs>
  <colors>
    <indexedColors>
      <rgbColor rgb="FF000000"/>
      <rgbColor rgb="FFFFFFFF"/>
      <rgbColor rgb="FFFF0000"/>
      <rgbColor rgb="FFFAE3E0"/>
      <rgbColor rgb="FF0000FF"/>
      <rgbColor rgb="FFF8D8D5"/>
      <rgbColor rgb="FFFCEAE8"/>
      <rgbColor rgb="FFFBE9E8"/>
      <rgbColor rgb="FFFEF6F6"/>
      <rgbColor rgb="FFFBE8E7"/>
      <rgbColor rgb="FFFFFCFC"/>
      <rgbColor rgb="FFF9DBD8"/>
      <rgbColor rgb="FFFDF1F0"/>
      <rgbColor rgb="FFFAE1DF"/>
      <rgbColor rgb="FFF3BDB8"/>
      <rgbColor rgb="FFF7CFCC"/>
      <rgbColor rgb="FFF3B7B2"/>
      <rgbColor rgb="FFFADFDD"/>
      <rgbColor rgb="FFFEF5F4"/>
      <rgbColor rgb="FFFEF9F9"/>
      <rgbColor rgb="FFFEF5F5"/>
      <rgbColor rgb="FFE67C73"/>
      <rgbColor rgb="FFFBE7E6"/>
      <rgbColor rgb="FFF7D3CF"/>
      <rgbColor rgb="FFFFFDFD"/>
      <rgbColor rgb="FFFCEBEA"/>
      <rgbColor rgb="FFF9DAD7"/>
      <rgbColor rgb="FFFCEEED"/>
      <rgbColor rgb="FFFDF2F1"/>
      <rgbColor rgb="FFFEF7F7"/>
      <rgbColor rgb="FFFBE4E2"/>
      <rgbColor rgb="FFFFFAFA"/>
      <rgbColor rgb="FFF9DEDB"/>
      <rgbColor rgb="FFFFFEFE"/>
      <rgbColor rgb="FFFDF4F3"/>
      <rgbColor rgb="FFFDEFEE"/>
      <rgbColor rgb="FFF6CBC7"/>
      <rgbColor rgb="FFF0ACA7"/>
      <rgbColor rgb="FFED9A93"/>
      <rgbColor rgb="FFF4C4C0"/>
      <rgbColor rgb="FF2372EB"/>
      <rgbColor rgb="FFF8D6D3"/>
      <rgbColor rgb="FFF4C2BE"/>
      <rgbColor rgb="FFF3BBB6"/>
      <rgbColor rgb="FFF29500"/>
      <rgbColor rgb="FFEB9189"/>
      <rgbColor rgb="FF5D6559"/>
      <rgbColor rgb="FF78AA92"/>
      <rgbColor rgb="FFFDF3F3"/>
      <rgbColor rgb="FFF9DCDA"/>
      <rgbColor rgb="FFFEF8F8"/>
      <rgbColor rgb="FFFDF0EF"/>
      <rgbColor rgb="FFFBE5E3"/>
      <rgbColor rgb="FFFAE0DE"/>
      <rgbColor rgb="FFFCECEB"/>
      <rgbColor rgb="FFFCEDEC"/>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berria.eus/ekonomia/urte-eta-erdiko-kartzela-zigorra-eta-30000-euroko-kalte-ordainak-zorroza-gestion-enpresan-hil-zen-langileagatik_2124960_102.html" TargetMode="External"/><Relationship Id="rId3" Type="http://schemas.openxmlformats.org/officeDocument/2006/relationships/hyperlink" Target="https://www.berria.eus/kirola/hirutik-hiru-jaka-mariezkurrenarentzat_2117677_102.html" TargetMode="External"/><Relationship Id="rId4" Type="http://schemas.openxmlformats.org/officeDocument/2006/relationships/hyperlink" Target="https://www.berria.eus/bizigiro/larreen-eta-larrabereen-balioaz_2126273_102.html" TargetMode="External"/><Relationship Id="rId5" Type="http://schemas.openxmlformats.org/officeDocument/2006/relationships/hyperlink" Target="https://www.berria.eus/kirola/olatua-hartuta-parisera_2121856_102.html" TargetMode="External"/><Relationship Id="rId6" Type="http://schemas.openxmlformats.org/officeDocument/2006/relationships/hyperlink" Target="https://www.berria.eus/bizigiro/badago-ezkutuan-dagoen-sektore-bat-sarietatik-kanpo-idazten-ari-dena_2119644_102.html" TargetMode="External"/><Relationship Id="rId7" Type="http://schemas.openxmlformats.org/officeDocument/2006/relationships/hyperlink" Target="https://www.berria.eus/bizigiro/istorioak-irudien-bidez-kontatzen-ditut-oso-hizkuntza-unibertsala-da_2121576_102.html" TargetMode="External"/><Relationship Id="rId8" Type="http://schemas.openxmlformats.org/officeDocument/2006/relationships/hyperlink" Target="https://www.berria.eus/euskal-herria/etxeko-atxiloaldia-ezarri-diote-labioko-hiltzaileari_2124515_102.html" TargetMode="External"/><Relationship Id="rId9" Type="http://schemas.openxmlformats.org/officeDocument/2006/relationships/hyperlink" Target="https://www.berria.eus/ekonomia/sektore-eolikoa-eta-milaka-lanpostu-desagertzeko-arriskuaz-ohartarazi-du-elak_233844_102.html" TargetMode="External"/><Relationship Id="rId10" Type="http://schemas.openxmlformats.org/officeDocument/2006/relationships/hyperlink" Target="https://www.berria.eus/kultura/mikroipuinak-txikiak-baina-ez-hutsalak_2121931_102.html" TargetMode="External"/><Relationship Id="rId11" Type="http://schemas.openxmlformats.org/officeDocument/2006/relationships/hyperlink" Target="https://www.berria.eus/euskal-herria/guardia-zibilak-dio-europako-speed-laborategi-handiena-aurkitu-duela-euskal-herrian_2125543_102.html" TargetMode="External"/><Relationship Id="rId1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berria.eus/ekonomia/urte-eta-erdiko-kartzela-zigorra-eta-30000-euroko-kalte-ordainak-zorroza-gestion-enpresan-hil-zen-langileagatik_2124960_102.html" TargetMode="External"/><Relationship Id="rId3" Type="http://schemas.openxmlformats.org/officeDocument/2006/relationships/hyperlink" Target="https://www.berria.eus/kirola/hirutik-hiru-jaka-mariezkurrenarentzat_2117677_102.html" TargetMode="External"/><Relationship Id="rId4" Type="http://schemas.openxmlformats.org/officeDocument/2006/relationships/hyperlink" Target="https://www.berria.eus/bizigiro/larreen-eta-larrabereen-balioaz_2126273_102.html" TargetMode="External"/><Relationship Id="rId5" Type="http://schemas.openxmlformats.org/officeDocument/2006/relationships/hyperlink" Target="https://www.berria.eus/kirola/olatua-hartuta-parisera_2121856_102.html" TargetMode="External"/><Relationship Id="rId6" Type="http://schemas.openxmlformats.org/officeDocument/2006/relationships/hyperlink" Target="https://www.berria.eus/bizigiro/badago-ezkutuan-dagoen-sektore-bat-sarietatik-kanpo-idazten-ari-dena_2119644_102.html" TargetMode="External"/><Relationship Id="rId7" Type="http://schemas.openxmlformats.org/officeDocument/2006/relationships/hyperlink" Target="https://www.berria.eus/bizigiro/istorioak-irudien-bidez-kontatzen-ditut-oso-hizkuntza-unibertsala-da_2121576_102.html" TargetMode="External"/><Relationship Id="rId8" Type="http://schemas.openxmlformats.org/officeDocument/2006/relationships/hyperlink" Target="https://www.berria.eus/euskal-herria/etxeko-atxiloaldia-ezarri-diote-labioko-hiltzaileari_2124515_102.html" TargetMode="External"/><Relationship Id="rId9" Type="http://schemas.openxmlformats.org/officeDocument/2006/relationships/hyperlink" Target="https://www.berria.eus/ekonomia/sektore-eolikoa-eta-milaka-lanpostu-desagertzeko-arriskuaz-ohartarazi-du-elak_233844_102.html" TargetMode="External"/><Relationship Id="rId10" Type="http://schemas.openxmlformats.org/officeDocument/2006/relationships/hyperlink" Target="https://www.berria.eus/kultura/mikroipuinak-txikiak-baina-ez-hutsalak_2121931_102.html" TargetMode="External"/><Relationship Id="rId11" Type="http://schemas.openxmlformats.org/officeDocument/2006/relationships/hyperlink" Target="https://www.berria.eus/euskal-herria/guardia-zibilak-dio-europako-speed-laborategi-handiena-aurkitu-duela-euskal-herrian_2125543_102.html" TargetMode="External"/><Relationship Id="rId1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berria.eus/ekonomia/urte-eta-erdiko-kartzela-zigorra-eta-30000-euroko-kalte-ordainak-zorroza-gestion-enpresan-hil-zen-langileagatik_2124960_102.html" TargetMode="External"/><Relationship Id="rId3" Type="http://schemas.openxmlformats.org/officeDocument/2006/relationships/hyperlink" Target="https://www.berria.eus/kirola/hirutik-hiru-jaka-mariezkurrenarentzat_2117677_102.html" TargetMode="External"/><Relationship Id="rId4" Type="http://schemas.openxmlformats.org/officeDocument/2006/relationships/hyperlink" Target="https://www.berria.eus/bizigiro/larreen-eta-larrabereen-balioaz_2126273_102.html" TargetMode="External"/><Relationship Id="rId5" Type="http://schemas.openxmlformats.org/officeDocument/2006/relationships/hyperlink" Target="https://www.berria.eus/kirola/olatua-hartuta-parisera_2121856_102.html" TargetMode="External"/><Relationship Id="rId6" Type="http://schemas.openxmlformats.org/officeDocument/2006/relationships/hyperlink" Target="https://www.berria.eus/bizigiro/badago-ezkutuan-dagoen-sektore-bat-sarietatik-kanpo-idazten-ari-dena_2119644_102.html" TargetMode="External"/><Relationship Id="rId7" Type="http://schemas.openxmlformats.org/officeDocument/2006/relationships/hyperlink" Target="https://www.berria.eus/bizigiro/istorioak-irudien-bidez-kontatzen-ditut-oso-hizkuntza-unibertsala-da_2121576_102.html" TargetMode="External"/><Relationship Id="rId8" Type="http://schemas.openxmlformats.org/officeDocument/2006/relationships/hyperlink" Target="https://www.berria.eus/euskal-herria/etxeko-atxiloaldia-ezarri-diote-labioko-hiltzaileari_2124515_102.html" TargetMode="External"/><Relationship Id="rId9" Type="http://schemas.openxmlformats.org/officeDocument/2006/relationships/hyperlink" Target="https://www.berria.eus/ekonomia/sektore-eolikoa-eta-milaka-lanpostu-desagertzeko-arriskuaz-ohartarazi-du-elak_233844_102.html" TargetMode="External"/><Relationship Id="rId10" Type="http://schemas.openxmlformats.org/officeDocument/2006/relationships/hyperlink" Target="https://www.berria.eus/kultura/mikroipuinak-txikiak-baina-ez-hutsalak_2121931_102.html" TargetMode="External"/><Relationship Id="rId11" Type="http://schemas.openxmlformats.org/officeDocument/2006/relationships/hyperlink" Target="https://www.berria.eus/euskal-herria/guardia-zibilak-dio-europako-speed-laborategi-handiena-aurkitu-duela-euskal-herrian_2125543_102.html" TargetMode="External"/><Relationship Id="rId12"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berria.eus/ekonomia/urte-eta-erdiko-kartzela-zigorra-eta-30000-euroko-kalte-ordainak-zorroza-gestion-enpresan-hil-zen-langileagatik_2124960_102.html" TargetMode="External"/><Relationship Id="rId3" Type="http://schemas.openxmlformats.org/officeDocument/2006/relationships/hyperlink" Target="https://www.berria.eus/kirola/hirutik-hiru-jaka-mariezkurrenarentzat_2117677_102.html" TargetMode="External"/><Relationship Id="rId4" Type="http://schemas.openxmlformats.org/officeDocument/2006/relationships/hyperlink" Target="https://www.berria.eus/bizigiro/larreen-eta-larrabereen-balioaz_2126273_102.html" TargetMode="External"/><Relationship Id="rId5" Type="http://schemas.openxmlformats.org/officeDocument/2006/relationships/hyperlink" Target="https://www.berria.eus/kirola/olatua-hartuta-parisera_2121856_102.html" TargetMode="External"/><Relationship Id="rId6" Type="http://schemas.openxmlformats.org/officeDocument/2006/relationships/hyperlink" Target="https://www.berria.eus/bizigiro/badago-ezkutuan-dagoen-sektore-bat-sarietatik-kanpo-idazten-ari-dena_2119644_102.html" TargetMode="External"/><Relationship Id="rId7" Type="http://schemas.openxmlformats.org/officeDocument/2006/relationships/hyperlink" Target="https://www.berria.eus/bizigiro/istorioak-irudien-bidez-kontatzen-ditut-oso-hizkuntza-unibertsala-da_2121576_102.html" TargetMode="External"/><Relationship Id="rId8" Type="http://schemas.openxmlformats.org/officeDocument/2006/relationships/hyperlink" Target="https://www.berria.eus/euskal-herria/etxeko-atxiloaldia-ezarri-diote-labioko-hiltzaileari_2124515_102.html" TargetMode="External"/><Relationship Id="rId9" Type="http://schemas.openxmlformats.org/officeDocument/2006/relationships/hyperlink" Target="https://www.berria.eus/ekonomia/sektore-eolikoa-eta-milaka-lanpostu-desagertzeko-arriskuaz-ohartarazi-du-elak_233844_102.html" TargetMode="External"/><Relationship Id="rId10" Type="http://schemas.openxmlformats.org/officeDocument/2006/relationships/hyperlink" Target="https://www.berria.eus/kultura/mikroipuinak-txikiak-baina-ez-hutsalak_2121931_102.html" TargetMode="External"/><Relationship Id="rId11" Type="http://schemas.openxmlformats.org/officeDocument/2006/relationships/hyperlink" Target="https://www.berria.eus/euskal-herria/guardia-zibilak-dio-europako-speed-laborategi-handiena-aurkitu-duela-euskal-herrian_2125543_102.html" TargetMode="External"/><Relationship Id="rId12"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berria.eus/ekonomia/urte-eta-erdiko-kartzela-zigorra-eta-30000-euroko-kalte-ordainak-zorroza-gestion-enpresan-hil-zen-langileagatik_2124960_102.html" TargetMode="External"/><Relationship Id="rId3" Type="http://schemas.openxmlformats.org/officeDocument/2006/relationships/hyperlink" Target="https://www.berria.eus/kirola/hirutik-hiru-jaka-mariezkurrenarentzat_2117677_102.html" TargetMode="External"/><Relationship Id="rId4" Type="http://schemas.openxmlformats.org/officeDocument/2006/relationships/hyperlink" Target="https://www.berria.eus/bizigiro/larreen-eta-larrabereen-balioaz_2126273_102.html" TargetMode="External"/><Relationship Id="rId5" Type="http://schemas.openxmlformats.org/officeDocument/2006/relationships/hyperlink" Target="https://www.berria.eus/kirola/olatua-hartuta-parisera_2121856_102.html" TargetMode="External"/><Relationship Id="rId6" Type="http://schemas.openxmlformats.org/officeDocument/2006/relationships/hyperlink" Target="https://www.berria.eus/bizigiro/badago-ezkutuan-dagoen-sektore-bat-sarietatik-kanpo-idazten-ari-dena_2119644_102.html" TargetMode="External"/><Relationship Id="rId7" Type="http://schemas.openxmlformats.org/officeDocument/2006/relationships/hyperlink" Target="https://www.berria.eus/bizigiro/istorioak-irudien-bidez-kontatzen-ditut-oso-hizkuntza-unibertsala-da_2121576_102.html" TargetMode="External"/><Relationship Id="rId8" Type="http://schemas.openxmlformats.org/officeDocument/2006/relationships/hyperlink" Target="https://www.berria.eus/euskal-herria/etxeko-atxiloaldia-ezarri-diote-labioko-hiltzaileari_2124515_102.html" TargetMode="External"/><Relationship Id="rId9" Type="http://schemas.openxmlformats.org/officeDocument/2006/relationships/hyperlink" Target="https://www.berria.eus/ekonomia/sektore-eolikoa-eta-milaka-lanpostu-desagertzeko-arriskuaz-ohartarazi-du-elak_233844_102.html" TargetMode="External"/><Relationship Id="rId10" Type="http://schemas.openxmlformats.org/officeDocument/2006/relationships/hyperlink" Target="https://www.berria.eus/kultura/mikroipuinak-txikiak-baina-ez-hutsalak_2121931_102.html" TargetMode="External"/><Relationship Id="rId11" Type="http://schemas.openxmlformats.org/officeDocument/2006/relationships/hyperlink" Target="https://www.berria.eus/euskal-herria/guardia-zibilak-dio-europako-speed-laborategi-handiena-aurkitu-duela-euskal-herrian_2125543_102.html" TargetMode="External"/><Relationship Id="rId12"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berria.eus/ekonomia/urte-eta-erdiko-kartzela-zigorra-eta-30000-euroko-kalte-ordainak-zorroza-gestion-enpresan-hil-zen-langileagatik_2124960_102.html" TargetMode="External"/><Relationship Id="rId3" Type="http://schemas.openxmlformats.org/officeDocument/2006/relationships/hyperlink" Target="https://www.berria.eus/kirola/hirutik-hiru-jaka-mariezkurrenarentzat_2117677_102.html" TargetMode="External"/><Relationship Id="rId4" Type="http://schemas.openxmlformats.org/officeDocument/2006/relationships/hyperlink" Target="https://www.berria.eus/bizigiro/larreen-eta-larrabereen-balioaz_2126273_102.html" TargetMode="External"/><Relationship Id="rId5" Type="http://schemas.openxmlformats.org/officeDocument/2006/relationships/hyperlink" Target="https://www.berria.eus/kirola/olatua-hartuta-parisera_2121856_102.html" TargetMode="External"/><Relationship Id="rId6" Type="http://schemas.openxmlformats.org/officeDocument/2006/relationships/hyperlink" Target="https://www.berria.eus/bizigiro/badago-ezkutuan-dagoen-sektore-bat-sarietatik-kanpo-idazten-ari-dena_2119644_102.html" TargetMode="External"/><Relationship Id="rId7" Type="http://schemas.openxmlformats.org/officeDocument/2006/relationships/hyperlink" Target="https://www.berria.eus/bizigiro/istorioak-irudien-bidez-kontatzen-ditut-oso-hizkuntza-unibertsala-da_2121576_102.html" TargetMode="External"/><Relationship Id="rId8" Type="http://schemas.openxmlformats.org/officeDocument/2006/relationships/hyperlink" Target="https://www.berria.eus/euskal-herria/etxeko-atxiloaldia-ezarri-diote-labioko-hiltzaileari_2124515_102.html" TargetMode="External"/><Relationship Id="rId9" Type="http://schemas.openxmlformats.org/officeDocument/2006/relationships/hyperlink" Target="https://www.berria.eus/ekonomia/sektore-eolikoa-eta-milaka-lanpostu-desagertzeko-arriskuaz-ohartarazi-du-elak_233844_102.html" TargetMode="External"/><Relationship Id="rId10" Type="http://schemas.openxmlformats.org/officeDocument/2006/relationships/hyperlink" Target="https://www.berria.eus/kultura/mikroipuinak-txikiak-baina-ez-hutsalak_2121931_102.html" TargetMode="External"/><Relationship Id="rId11" Type="http://schemas.openxmlformats.org/officeDocument/2006/relationships/hyperlink" Target="https://www.berria.eus/euskal-herria/guardia-zibilak-dio-europako-speed-laborategi-handiena-aurkitu-duela-euskal-herrian_2125543_102.html" TargetMode="External"/><Relationship Id="rId12" Type="http://schemas.openxmlformats.org/officeDocument/2006/relationships/vmlDrawing" Target="../drawings/vmlDrawing7.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8.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57BB8A"/>
    <pageSetUpPr fitToPage="false"/>
  </sheetPr>
  <dimension ref="A1:R10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D2" activeCellId="0" sqref="D2"/>
    </sheetView>
  </sheetViews>
  <sheetFormatPr defaultColWidth="12.6328125" defaultRowHeight="15.75" zeroHeight="false" outlineLevelRow="0" outlineLevelCol="0"/>
  <cols>
    <col collapsed="false" customWidth="true" hidden="false" outlineLevel="0" max="1" min="1" style="1" width="14.88"/>
    <col collapsed="false" customWidth="true" hidden="false" outlineLevel="0" max="2" min="2" style="1" width="17.75"/>
    <col collapsed="false" customWidth="true" hidden="false" outlineLevel="0" max="18" min="13" style="1" width="7.63"/>
  </cols>
  <sheetData>
    <row r="1" customFormat="false" ht="15.75" hidden="false" customHeight="false" outlineLevel="0" collapsed="false">
      <c r="A1" s="2" t="s">
        <v>0</v>
      </c>
      <c r="B1" s="2" t="s">
        <v>1</v>
      </c>
      <c r="C1" s="2" t="s">
        <v>2</v>
      </c>
      <c r="D1" s="2" t="s">
        <v>3</v>
      </c>
      <c r="E1" s="3" t="s">
        <v>4</v>
      </c>
      <c r="F1" s="3" t="s">
        <v>5</v>
      </c>
      <c r="G1" s="3" t="s">
        <v>6</v>
      </c>
      <c r="H1" s="3" t="s">
        <v>7</v>
      </c>
      <c r="I1" s="3" t="s">
        <v>8</v>
      </c>
      <c r="J1" s="2" t="s">
        <v>9</v>
      </c>
      <c r="K1" s="3" t="s">
        <v>10</v>
      </c>
      <c r="L1" s="4"/>
      <c r="M1" s="2"/>
      <c r="N1" s="5" t="s">
        <v>3</v>
      </c>
      <c r="O1" s="3" t="s">
        <v>11</v>
      </c>
      <c r="P1" s="3" t="s">
        <v>12</v>
      </c>
      <c r="Q1" s="3" t="s">
        <v>13</v>
      </c>
      <c r="R1" s="3" t="s">
        <v>14</v>
      </c>
    </row>
    <row r="2" customFormat="false" ht="15.75" hidden="false" customHeight="false" outlineLevel="0" collapsed="false">
      <c r="A2" s="4"/>
      <c r="B2" s="4" t="s">
        <v>15</v>
      </c>
      <c r="C2" s="6" t="s">
        <v>16</v>
      </c>
      <c r="D2" s="7" t="n">
        <f aca="false">IFERROR(__xludf.dummyfunction("AVERAGE(FILTER('__flatlist__'!D$2:D1012,('__flatlist__'!$B$2:$B1012=$B2),('__flatlist__'!$C$2:$C1012=$C2)))"),0.722663608108613)</f>
        <v>0.7226636081</v>
      </c>
      <c r="E2" s="8" t="n">
        <f aca="false">IFERROR(__xludf.dummyfunction("AVERAGE(FILTER('__flatlist__'!E$2:E1012,('__flatlist__'!$B$2:$B1012=$B2),('__flatlist__'!$C$2:$C1012=$C2)))"),3.6)</f>
        <v>3.6</v>
      </c>
      <c r="F2" s="8" t="n">
        <f aca="false">IFERROR(__xludf.dummyfunction("AVERAGE(FILTER('__flatlist__'!F$2:F1012,('__flatlist__'!$B$2:$B1012=$B2),('__flatlist__'!$C$2:$C1012=$C2)))"),4.9)</f>
        <v>4.9</v>
      </c>
      <c r="G2" s="8" t="n">
        <f aca="false">IFERROR(__xludf.dummyfunction("AVERAGE(FILTER('__flatlist__'!G$2:G1012,('__flatlist__'!$B$2:$B1012=$B2),('__flatlist__'!$C$2:$C1012=$C2)))"),4.9)</f>
        <v>4.9</v>
      </c>
      <c r="H2" s="8" t="n">
        <f aca="false">IFERROR(__xludf.dummyfunction("AVERAGE(FILTER('__flatlist__'!H$2:H1012,('__flatlist__'!$B$2:$B1012=$B2),('__flatlist__'!$C$2:$C1012=$C2)))"),4.5)</f>
        <v>4.5</v>
      </c>
      <c r="I2" s="8" t="n">
        <f aca="false">IFERROR(__xludf.dummyfunction("AVERAGE(FILTER('__flatlist__'!I$2:I1012,('__flatlist__'!$B$2:$B1012=$B2),('__flatlist__'!$C$2:$C1012=$C2)))"),2.3)</f>
        <v>2.3</v>
      </c>
      <c r="J2" s="8" t="n">
        <f aca="false">AVERAGE(E2:I2)</f>
        <v>4.04</v>
      </c>
      <c r="K2" s="9"/>
      <c r="M2" s="3" t="s">
        <v>11</v>
      </c>
      <c r="N2" s="10" t="n">
        <f aca="false">CORREL(__flatlist__!D:D,__flatlist__!E:E)</f>
        <v>-0.1761090269</v>
      </c>
      <c r="O2" s="10"/>
      <c r="P2" s="10"/>
      <c r="Q2" s="10"/>
      <c r="R2" s="10"/>
    </row>
    <row r="3" customFormat="false" ht="15.75" hidden="false" customHeight="false" outlineLevel="0" collapsed="false">
      <c r="A3" s="4"/>
      <c r="B3" s="4" t="s">
        <v>15</v>
      </c>
      <c r="C3" s="6"/>
      <c r="D3" s="7" t="n">
        <f aca="false">IFERROR(__xludf.dummyfunction("AVERAGE(FILTER('__flatlist__'!D$2:D1012,('__flatlist__'!$B$2:$B1012=$B3),('__flatlist__'!$C$2:$C1012=$C3)))"),0.776020801694727)</f>
        <v>0.7760208017</v>
      </c>
      <c r="E3" s="8" t="str">
        <f aca="false">IFERROR(__xludf.dummyfunction("AVERAGE(FILTER('__flatlist__'!E$2:E1012,('__flatlist__'!$B$2:$B1012=$B3),('__flatlist__'!$C$2:$C1012=$C3)))"),"#DIV/0!")</f>
        <v>#DIV/0!</v>
      </c>
      <c r="F3" s="8" t="str">
        <f aca="false">IFERROR(__xludf.dummyfunction("AVERAGE(FILTER('__flatlist__'!F$2:F1012,('__flatlist__'!$B$2:$B1012=$B3),('__flatlist__'!$C$2:$C1012=$C3)))"),"#DIV/0!")</f>
        <v>#DIV/0!</v>
      </c>
      <c r="G3" s="8" t="str">
        <f aca="false">IFERROR(__xludf.dummyfunction("AVERAGE(FILTER('__flatlist__'!G$2:G1012,('__flatlist__'!$B$2:$B1012=$B3),('__flatlist__'!$C$2:$C1012=$C3)))"),"#DIV/0!")</f>
        <v>#DIV/0!</v>
      </c>
      <c r="H3" s="8" t="str">
        <f aca="false">IFERROR(__xludf.dummyfunction("AVERAGE(FILTER('__flatlist__'!H$2:H1012,('__flatlist__'!$B$2:$B1012=$B3),('__flatlist__'!$C$2:$C1012=$C3)))"),"#DIV/0!")</f>
        <v>#DIV/0!</v>
      </c>
      <c r="I3" s="8" t="str">
        <f aca="false">IFERROR(__xludf.dummyfunction("AVERAGE(FILTER('__flatlist__'!I$2:I1012,('__flatlist__'!$B$2:$B1012=$B3),('__flatlist__'!$C$2:$C1012=$C3)))"),"#DIV/0!")</f>
        <v>#DIV/0!</v>
      </c>
      <c r="J3" s="11" t="e">
        <f aca="false">AVERAGE(E3:I3)</f>
        <v>#DIV/0!</v>
      </c>
      <c r="M3" s="2" t="s">
        <v>12</v>
      </c>
      <c r="N3" s="10" t="n">
        <f aca="false">CORREL(__flatlist__!D:D,__flatlist__!F:F)</f>
        <v>-0.2501284369</v>
      </c>
      <c r="O3" s="10" t="n">
        <f aca="false">CORREL(__flatlist__!E:E,__flatlist__!F:F)</f>
        <v>0.2472970891</v>
      </c>
      <c r="P3" s="10"/>
      <c r="Q3" s="10"/>
      <c r="R3" s="10"/>
    </row>
    <row r="4" customFormat="false" ht="15.75" hidden="false" customHeight="false" outlineLevel="0" collapsed="false">
      <c r="A4" s="4"/>
      <c r="B4" s="4" t="s">
        <v>17</v>
      </c>
      <c r="C4" s="6" t="s">
        <v>8</v>
      </c>
      <c r="D4" s="7" t="n">
        <f aca="false">IFERROR(__xludf.dummyfunction("AVERAGE(FILTER('__flatlist__'!D$2:D1012,('__flatlist__'!$B$2:$B1012=$B4),('__flatlist__'!$C$2:$C1012=$C4)))"),0.138228465136098)</f>
        <v>0.1382284651</v>
      </c>
      <c r="E4" s="8" t="n">
        <f aca="false">IFERROR(__xludf.dummyfunction("AVERAGE(FILTER('__flatlist__'!E$2:E1012,('__flatlist__'!$B$2:$B1012=$B4),('__flatlist__'!$C$2:$C1012=$C4)))"),2.7)</f>
        <v>2.7</v>
      </c>
      <c r="F4" s="8" t="n">
        <f aca="false">IFERROR(__xludf.dummyfunction("AVERAGE(FILTER('__flatlist__'!F$2:F1012,('__flatlist__'!$B$2:$B1012=$B4),('__flatlist__'!$C$2:$C1012=$C4)))"),4.1)</f>
        <v>4.1</v>
      </c>
      <c r="G4" s="8" t="n">
        <f aca="false">IFERROR(__xludf.dummyfunction("AVERAGE(FILTER('__flatlist__'!G$2:G1012,('__flatlist__'!$B$2:$B1012=$B4),('__flatlist__'!$C$2:$C1012=$C4)))"),4.6)</f>
        <v>4.6</v>
      </c>
      <c r="H4" s="8" t="n">
        <f aca="false">IFERROR(__xludf.dummyfunction("AVERAGE(FILTER('__flatlist__'!H$2:H1012,('__flatlist__'!$B$2:$B1012=$B4),('__flatlist__'!$C$2:$C1012=$C4)))"),3)</f>
        <v>3</v>
      </c>
      <c r="I4" s="8" t="n">
        <f aca="false">IFERROR(__xludf.dummyfunction("AVERAGE(FILTER('__flatlist__'!I$2:I1012,('__flatlist__'!$B$2:$B1012=$B4),('__flatlist__'!$C$2:$C1012=$C4)))"),4.7)</f>
        <v>4.7</v>
      </c>
      <c r="J4" s="8" t="n">
        <f aca="false">AVERAGE(E4:I4)</f>
        <v>3.82</v>
      </c>
      <c r="K4" s="9" t="n">
        <f aca="false">RANK(J4,$J$4:$J$23,FALSE())</f>
        <v>11</v>
      </c>
      <c r="M4" s="2" t="s">
        <v>13</v>
      </c>
      <c r="N4" s="10" t="n">
        <f aca="false">CORREL(__flatlist__!D:D,__flatlist__!G:G)</f>
        <v>-0.4261032537</v>
      </c>
      <c r="O4" s="10" t="n">
        <f aca="false">CORREL(__flatlist__!E:E,__flatlist__!G:G)</f>
        <v>0.2396792895</v>
      </c>
      <c r="P4" s="10" t="n">
        <f aca="false">CORREL(__flatlist__!F:F,__flatlist__!G:G)</f>
        <v>0.3068328762</v>
      </c>
      <c r="Q4" s="10"/>
      <c r="R4" s="10"/>
    </row>
    <row r="5" customFormat="false" ht="15.75" hidden="false" customHeight="false" outlineLevel="0" collapsed="false">
      <c r="A5" s="4"/>
      <c r="B5" s="4" t="s">
        <v>17</v>
      </c>
      <c r="C5" s="6" t="s">
        <v>18</v>
      </c>
      <c r="D5" s="7" t="n">
        <f aca="false">IFERROR(__xludf.dummyfunction("AVERAGE(FILTER('__flatlist__'!D$2:D1012,('__flatlist__'!$B$2:$B1012=$B5),('__flatlist__'!$C$2:$C1012=$C5)))"),0.183827197748175)</f>
        <v>0.1838271977</v>
      </c>
      <c r="E5" s="8" t="n">
        <f aca="false">IFERROR(__xludf.dummyfunction("AVERAGE(FILTER('__flatlist__'!E$2:E1012,('__flatlist__'!$B$2:$B1012=$B5),('__flatlist__'!$C$2:$C1012=$C5)))"),3.4)</f>
        <v>3.4</v>
      </c>
      <c r="F5" s="8" t="n">
        <f aca="false">IFERROR(__xludf.dummyfunction("AVERAGE(FILTER('__flatlist__'!F$2:F1012,('__flatlist__'!$B$2:$B1012=$B5),('__flatlist__'!$C$2:$C1012=$C5)))"),4.9)</f>
        <v>4.9</v>
      </c>
      <c r="G5" s="8" t="n">
        <f aca="false">IFERROR(__xludf.dummyfunction("AVERAGE(FILTER('__flatlist__'!G$2:G1012,('__flatlist__'!$B$2:$B1012=$B5),('__flatlist__'!$C$2:$C1012=$C5)))"),2.8)</f>
        <v>2.8</v>
      </c>
      <c r="H5" s="8" t="n">
        <f aca="false">IFERROR(__xludf.dummyfunction("AVERAGE(FILTER('__flatlist__'!H$2:H1012,('__flatlist__'!$B$2:$B1012=$B5),('__flatlist__'!$C$2:$C1012=$C5)))"),2.9)</f>
        <v>2.9</v>
      </c>
      <c r="I5" s="8" t="n">
        <f aca="false">IFERROR(__xludf.dummyfunction("AVERAGE(FILTER('__flatlist__'!I$2:I1012,('__flatlist__'!$B$2:$B1012=$B5),('__flatlist__'!$C$2:$C1012=$C5)))"),4.6)</f>
        <v>4.6</v>
      </c>
      <c r="J5" s="8" t="n">
        <f aca="false">AVERAGE(E5:I5)</f>
        <v>3.72</v>
      </c>
      <c r="K5" s="9" t="n">
        <f aca="false">RANK(J5,$J$4:$J$23,FALSE())</f>
        <v>12</v>
      </c>
      <c r="M5" s="2" t="s">
        <v>14</v>
      </c>
      <c r="N5" s="10" t="n">
        <f aca="false">CORREL(__flatlist__!D:D,__flatlist__!H:H)</f>
        <v>-0.6446381341</v>
      </c>
      <c r="O5" s="10" t="n">
        <f aca="false">CORREL(__flatlist__!E:E,__flatlist__!H:H)</f>
        <v>0.3870163691</v>
      </c>
      <c r="P5" s="10" t="n">
        <f aca="false">CORREL(__flatlist__!F:F,__flatlist__!H:H)</f>
        <v>0.3616573135</v>
      </c>
      <c r="Q5" s="10" t="n">
        <f aca="false">CORREL(__flatlist__!G:G,__flatlist__!H:H)</f>
        <v>0.3451297256</v>
      </c>
      <c r="R5" s="10"/>
    </row>
    <row r="6" customFormat="false" ht="15.75" hidden="false" customHeight="false" outlineLevel="0" collapsed="false">
      <c r="A6" s="4"/>
      <c r="B6" s="4" t="s">
        <v>17</v>
      </c>
      <c r="C6" s="6" t="s">
        <v>19</v>
      </c>
      <c r="D6" s="7" t="n">
        <f aca="false">IFERROR(__xludf.dummyfunction("AVERAGE(FILTER('__flatlist__'!D$2:D1012,('__flatlist__'!$B$2:$B1012=$B6),('__flatlist__'!$C$2:$C1012=$C6)))"),0.101813027614105)</f>
        <v>0.1018130276</v>
      </c>
      <c r="E6" s="8" t="n">
        <f aca="false">IFERROR(__xludf.dummyfunction("AVERAGE(FILTER('__flatlist__'!E$2:E1012,('__flatlist__'!$B$2:$B1012=$B6),('__flatlist__'!$C$2:$C1012=$C6)))"),3.6)</f>
        <v>3.6</v>
      </c>
      <c r="F6" s="8" t="n">
        <f aca="false">IFERROR(__xludf.dummyfunction("AVERAGE(FILTER('__flatlist__'!F$2:F1012,('__flatlist__'!$B$2:$B1012=$B6),('__flatlist__'!$C$2:$C1012=$C6)))"),4.7)</f>
        <v>4.7</v>
      </c>
      <c r="G6" s="8" t="n">
        <f aca="false">IFERROR(__xludf.dummyfunction("AVERAGE(FILTER('__flatlist__'!G$2:G1012,('__flatlist__'!$B$2:$B1012=$B6),('__flatlist__'!$C$2:$C1012=$C6)))"),4.5)</f>
        <v>4.5</v>
      </c>
      <c r="H6" s="8" t="n">
        <f aca="false">IFERROR(__xludf.dummyfunction("AVERAGE(FILTER('__flatlist__'!H$2:H1012,('__flatlist__'!$B$2:$B1012=$B6),('__flatlist__'!$C$2:$C1012=$C6)))"),3.8)</f>
        <v>3.8</v>
      </c>
      <c r="I6" s="8" t="n">
        <f aca="false">IFERROR(__xludf.dummyfunction("AVERAGE(FILTER('__flatlist__'!I$2:I1012,('__flatlist__'!$B$2:$B1012=$B6),('__flatlist__'!$C$2:$C1012=$C6)))"),4.1)</f>
        <v>4.1</v>
      </c>
      <c r="J6" s="8" t="n">
        <f aca="false">AVERAGE(E6:I6)</f>
        <v>4.14</v>
      </c>
      <c r="K6" s="9" t="n">
        <f aca="false">RANK(J6,$J$4:$J$23,FALSE())</f>
        <v>5</v>
      </c>
      <c r="M6" s="3" t="s">
        <v>8</v>
      </c>
      <c r="N6" s="10" t="n">
        <f aca="false">CORREL(__flatlist__!D:D,__flatlist__!I:I)</f>
        <v>0.2746731224</v>
      </c>
      <c r="O6" s="10" t="n">
        <f aca="false">CORREL(__flatlist__!E:E,__flatlist__!I:I)</f>
        <v>0.1614625698</v>
      </c>
      <c r="P6" s="10" t="n">
        <f aca="false">CORREL(__flatlist__!F:F,__flatlist__!I:I)</f>
        <v>0.2604913592</v>
      </c>
      <c r="Q6" s="10" t="n">
        <f aca="false">CORREL(__flatlist__!G:G,__flatlist__!I:I)</f>
        <v>0.04570013249</v>
      </c>
      <c r="R6" s="10" t="n">
        <f aca="false">CORREL(__flatlist__!H:H,__flatlist__!I:I)</f>
        <v>-0.03302370097</v>
      </c>
    </row>
    <row r="7" customFormat="false" ht="15.75" hidden="false" customHeight="false" outlineLevel="0" collapsed="false">
      <c r="A7" s="4"/>
      <c r="B7" s="4" t="s">
        <v>17</v>
      </c>
      <c r="C7" s="6" t="s">
        <v>20</v>
      </c>
      <c r="D7" s="7" t="n">
        <f aca="false">IFERROR(__xludf.dummyfunction("AVERAGE(FILTER('__flatlist__'!D$2:D1012,('__flatlist__'!$B$2:$B1012=$B7),('__flatlist__'!$C$2:$C1012=$C7)))"),0.11737945470192)</f>
        <v>0.1173794547</v>
      </c>
      <c r="E7" s="8" t="n">
        <f aca="false">IFERROR(__xludf.dummyfunction("AVERAGE(FILTER('__flatlist__'!E$2:E1012,('__flatlist__'!$B$2:$B1012=$B7),('__flatlist__'!$C$2:$C1012=$C7)))"),3.4)</f>
        <v>3.4</v>
      </c>
      <c r="F7" s="8" t="n">
        <f aca="false">IFERROR(__xludf.dummyfunction("AVERAGE(FILTER('__flatlist__'!F$2:F1012,('__flatlist__'!$B$2:$B1012=$B7),('__flatlist__'!$C$2:$C1012=$C7)))"),4.8)</f>
        <v>4.8</v>
      </c>
      <c r="G7" s="8" t="n">
        <f aca="false">IFERROR(__xludf.dummyfunction("AVERAGE(FILTER('__flatlist__'!G$2:G1012,('__flatlist__'!$B$2:$B1012=$B7),('__flatlist__'!$C$2:$C1012=$C7)))"),1.8)</f>
        <v>1.8</v>
      </c>
      <c r="H7" s="8" t="n">
        <f aca="false">IFERROR(__xludf.dummyfunction("AVERAGE(FILTER('__flatlist__'!H$2:H1012,('__flatlist__'!$B$2:$B1012=$B7),('__flatlist__'!$C$2:$C1012=$C7)))"),4)</f>
        <v>4</v>
      </c>
      <c r="I7" s="8" t="n">
        <f aca="false">IFERROR(__xludf.dummyfunction("AVERAGE(FILTER('__flatlist__'!I$2:I1012,('__flatlist__'!$B$2:$B1012=$B7),('__flatlist__'!$C$2:$C1012=$C7)))"),4.5)</f>
        <v>4.5</v>
      </c>
      <c r="J7" s="8" t="n">
        <f aca="false">AVERAGE(E7:I7)</f>
        <v>3.7</v>
      </c>
      <c r="K7" s="9" t="n">
        <f aca="false">RANK(J7,$J$4:$J$23,FALSE())</f>
        <v>13</v>
      </c>
    </row>
    <row r="8" customFormat="false" ht="15.75" hidden="false" customHeight="false" outlineLevel="0" collapsed="false">
      <c r="A8" s="4"/>
      <c r="B8" s="4" t="s">
        <v>21</v>
      </c>
      <c r="C8" s="6" t="s">
        <v>8</v>
      </c>
      <c r="D8" s="7" t="n">
        <f aca="false">IFERROR(__xludf.dummyfunction("AVERAGE(FILTER('__flatlist__'!D$2:D1012,('__flatlist__'!$B$2:$B1012=$B8),('__flatlist__'!$C$2:$C1012=$C8)))"),0.147340105446956)</f>
        <v>0.1473401054</v>
      </c>
      <c r="E8" s="8" t="n">
        <f aca="false">IFERROR(__xludf.dummyfunction("AVERAGE(FILTER('__flatlist__'!E$2:E1012,('__flatlist__'!$B$2:$B1012=$B8),('__flatlist__'!$C$2:$C1012=$C8)))"),2.1)</f>
        <v>2.1</v>
      </c>
      <c r="F8" s="8" t="n">
        <f aca="false">IFERROR(__xludf.dummyfunction("AVERAGE(FILTER('__flatlist__'!F$2:F1012,('__flatlist__'!$B$2:$B1012=$B8),('__flatlist__'!$C$2:$C1012=$C8)))"),3.5)</f>
        <v>3.5</v>
      </c>
      <c r="G8" s="8" t="n">
        <f aca="false">IFERROR(__xludf.dummyfunction("AVERAGE(FILTER('__flatlist__'!G$2:G1012,('__flatlist__'!$B$2:$B1012=$B8),('__flatlist__'!$C$2:$C1012=$C8)))"),2.8)</f>
        <v>2.8</v>
      </c>
      <c r="H8" s="8" t="n">
        <f aca="false">IFERROR(__xludf.dummyfunction("AVERAGE(FILTER('__flatlist__'!H$2:H1012,('__flatlist__'!$B$2:$B1012=$B8),('__flatlist__'!$C$2:$C1012=$C8)))"),3.4)</f>
        <v>3.4</v>
      </c>
      <c r="I8" s="8" t="n">
        <f aca="false">IFERROR(__xludf.dummyfunction("AVERAGE(FILTER('__flatlist__'!I$2:I1012,('__flatlist__'!$B$2:$B1012=$B8),('__flatlist__'!$C$2:$C1012=$C8)))"),3.4)</f>
        <v>3.4</v>
      </c>
      <c r="J8" s="8" t="n">
        <f aca="false">AVERAGE(E8:I8)</f>
        <v>3.04</v>
      </c>
      <c r="K8" s="9" t="n">
        <f aca="false">RANK(J8,$J$4:$J$23,FALSE())</f>
        <v>17</v>
      </c>
    </row>
    <row r="9" customFormat="false" ht="15.75" hidden="false" customHeight="false" outlineLevel="0" collapsed="false">
      <c r="A9" s="4"/>
      <c r="B9" s="4" t="s">
        <v>21</v>
      </c>
      <c r="C9" s="6" t="s">
        <v>18</v>
      </c>
      <c r="D9" s="7" t="n">
        <f aca="false">IFERROR(__xludf.dummyfunction("AVERAGE(FILTER('__flatlist__'!D$2:D1012,('__flatlist__'!$B$2:$B1012=$B9),('__flatlist__'!$C$2:$C1012=$C9)))"),0.190913425410565)</f>
        <v>0.1909134254</v>
      </c>
      <c r="E9" s="8" t="n">
        <f aca="false">IFERROR(__xludf.dummyfunction("AVERAGE(FILTER('__flatlist__'!E$2:E1012,('__flatlist__'!$B$2:$B1012=$B9),('__flatlist__'!$C$2:$C1012=$C9)))"),2.5)</f>
        <v>2.5</v>
      </c>
      <c r="F9" s="8" t="n">
        <f aca="false">IFERROR(__xludf.dummyfunction("AVERAGE(FILTER('__flatlist__'!F$2:F1012,('__flatlist__'!$B$2:$B1012=$B9),('__flatlist__'!$C$2:$C1012=$C9)))"),3)</f>
        <v>3</v>
      </c>
      <c r="G9" s="8" t="n">
        <f aca="false">IFERROR(__xludf.dummyfunction("AVERAGE(FILTER('__flatlist__'!G$2:G1012,('__flatlist__'!$B$2:$B1012=$B9),('__flatlist__'!$C$2:$C1012=$C9)))"),2.2)</f>
        <v>2.2</v>
      </c>
      <c r="H9" s="8" t="n">
        <f aca="false">IFERROR(__xludf.dummyfunction("AVERAGE(FILTER('__flatlist__'!H$2:H1012,('__flatlist__'!$B$2:$B1012=$B9),('__flatlist__'!$C$2:$C1012=$C9)))"),2.4)</f>
        <v>2.4</v>
      </c>
      <c r="I9" s="8" t="n">
        <f aca="false">IFERROR(__xludf.dummyfunction("AVERAGE(FILTER('__flatlist__'!I$2:I1012,('__flatlist__'!$B$2:$B1012=$B9),('__flatlist__'!$C$2:$C1012=$C9)))"),3.5)</f>
        <v>3.5</v>
      </c>
      <c r="J9" s="8" t="n">
        <f aca="false">AVERAGE(E9:I9)</f>
        <v>2.72</v>
      </c>
      <c r="K9" s="9" t="n">
        <f aca="false">RANK(J9,$J$4:$J$23,FALSE())</f>
        <v>19</v>
      </c>
    </row>
    <row r="10" customFormat="false" ht="15.75" hidden="false" customHeight="false" outlineLevel="0" collapsed="false">
      <c r="A10" s="4"/>
      <c r="B10" s="4" t="s">
        <v>21</v>
      </c>
      <c r="C10" s="6" t="s">
        <v>19</v>
      </c>
      <c r="D10" s="7" t="n">
        <f aca="false">IFERROR(__xludf.dummyfunction("AVERAGE(FILTER('__flatlist__'!D$2:D1012,('__flatlist__'!$B$2:$B1012=$B10),('__flatlist__'!$C$2:$C1012=$C10)))"),0.145587489598431)</f>
        <v>0.1455874896</v>
      </c>
      <c r="E10" s="8" t="n">
        <f aca="false">IFERROR(__xludf.dummyfunction("AVERAGE(FILTER('__flatlist__'!E$2:E1012,('__flatlist__'!$B$2:$B1012=$B10),('__flatlist__'!$C$2:$C1012=$C10)))"),1.9)</f>
        <v>1.9</v>
      </c>
      <c r="F10" s="8" t="n">
        <f aca="false">IFERROR(__xludf.dummyfunction("AVERAGE(FILTER('__flatlist__'!F$2:F1012,('__flatlist__'!$B$2:$B1012=$B10),('__flatlist__'!$C$2:$C1012=$C10)))"),3.5)</f>
        <v>3.5</v>
      </c>
      <c r="G10" s="8" t="n">
        <f aca="false">IFERROR(__xludf.dummyfunction("AVERAGE(FILTER('__flatlist__'!G$2:G1012,('__flatlist__'!$B$2:$B1012=$B10),('__flatlist__'!$C$2:$C1012=$C10)))"),2.6)</f>
        <v>2.6</v>
      </c>
      <c r="H10" s="8" t="n">
        <f aca="false">IFERROR(__xludf.dummyfunction("AVERAGE(FILTER('__flatlist__'!H$2:H1012,('__flatlist__'!$B$2:$B1012=$B10),('__flatlist__'!$C$2:$C1012=$C10)))"),2.2)</f>
        <v>2.2</v>
      </c>
      <c r="I10" s="8" t="n">
        <f aca="false">IFERROR(__xludf.dummyfunction("AVERAGE(FILTER('__flatlist__'!I$2:I1012,('__flatlist__'!$B$2:$B1012=$B10),('__flatlist__'!$C$2:$C1012=$C10)))"),2.4)</f>
        <v>2.4</v>
      </c>
      <c r="J10" s="8" t="n">
        <f aca="false">AVERAGE(E10:I10)</f>
        <v>2.52</v>
      </c>
      <c r="K10" s="9" t="n">
        <f aca="false">RANK(J10,$J$4:$J$23,FALSE())</f>
        <v>20</v>
      </c>
    </row>
    <row r="11" customFormat="false" ht="15.75" hidden="false" customHeight="false" outlineLevel="0" collapsed="false">
      <c r="A11" s="4"/>
      <c r="B11" s="4" t="s">
        <v>21</v>
      </c>
      <c r="C11" s="6" t="s">
        <v>20</v>
      </c>
      <c r="D11" s="7" t="n">
        <f aca="false">IFERROR(__xludf.dummyfunction("AVERAGE(FILTER('__flatlist__'!D$2:D1012,('__flatlist__'!$B$2:$B1012=$B11),('__flatlist__'!$C$2:$C1012=$C11)))"),0.25017149649033)</f>
        <v>0.2501714965</v>
      </c>
      <c r="E11" s="8" t="n">
        <f aca="false">IFERROR(__xludf.dummyfunction("AVERAGE(FILTER('__flatlist__'!E$2:E1012,('__flatlist__'!$B$2:$B1012=$B11),('__flatlist__'!$C$2:$C1012=$C11)))"),2.9)</f>
        <v>2.9</v>
      </c>
      <c r="F11" s="8" t="n">
        <f aca="false">IFERROR(__xludf.dummyfunction("AVERAGE(FILTER('__flatlist__'!F$2:F1012,('__flatlist__'!$B$2:$B1012=$B11),('__flatlist__'!$C$2:$C1012=$C11)))"),3.5)</f>
        <v>3.5</v>
      </c>
      <c r="G11" s="8" t="n">
        <f aca="false">IFERROR(__xludf.dummyfunction("AVERAGE(FILTER('__flatlist__'!G$2:G1012,('__flatlist__'!$B$2:$B1012=$B11),('__flatlist__'!$C$2:$C1012=$C11)))"),2.1)</f>
        <v>2.1</v>
      </c>
      <c r="H11" s="8" t="n">
        <f aca="false">IFERROR(__xludf.dummyfunction("AVERAGE(FILTER('__flatlist__'!H$2:H1012,('__flatlist__'!$B$2:$B1012=$B11),('__flatlist__'!$C$2:$C1012=$C11)))"),2.5)</f>
        <v>2.5</v>
      </c>
      <c r="I11" s="8" t="n">
        <f aca="false">IFERROR(__xludf.dummyfunction("AVERAGE(FILTER('__flatlist__'!I$2:I1012,('__flatlist__'!$B$2:$B1012=$B11),('__flatlist__'!$C$2:$C1012=$C11)))"),3.6)</f>
        <v>3.6</v>
      </c>
      <c r="J11" s="8" t="n">
        <f aca="false">AVERAGE(E11:I11)</f>
        <v>2.92</v>
      </c>
      <c r="K11" s="9" t="n">
        <f aca="false">RANK(J11,$J$4:$J$23,FALSE())</f>
        <v>18</v>
      </c>
    </row>
    <row r="12" customFormat="false" ht="15.75" hidden="false" customHeight="false" outlineLevel="0" collapsed="false">
      <c r="A12" s="4"/>
      <c r="B12" s="4" t="s">
        <v>22</v>
      </c>
      <c r="C12" s="6" t="s">
        <v>8</v>
      </c>
      <c r="D12" s="7" t="n">
        <f aca="false">IFERROR(__xludf.dummyfunction("AVERAGE(FILTER('__flatlist__'!D$2:D1012,('__flatlist__'!$B$2:$B1012=$B12),('__flatlist__'!$C$2:$C1012=$C12)))"),0.168488996432105)</f>
        <v>0.1684889964</v>
      </c>
      <c r="E12" s="8" t="n">
        <f aca="false">IFERROR(__xludf.dummyfunction("AVERAGE(FILTER('__flatlist__'!E$2:E1012,('__flatlist__'!$B$2:$B1012=$B12),('__flatlist__'!$C$2:$C1012=$C12)))"),3)</f>
        <v>3</v>
      </c>
      <c r="F12" s="8" t="n">
        <f aca="false">IFERROR(__xludf.dummyfunction("AVERAGE(FILTER('__flatlist__'!F$2:F1012,('__flatlist__'!$B$2:$B1012=$B12),('__flatlist__'!$C$2:$C1012=$C12)))"),4.2)</f>
        <v>4.2</v>
      </c>
      <c r="G12" s="8" t="n">
        <f aca="false">IFERROR(__xludf.dummyfunction("AVERAGE(FILTER('__flatlist__'!G$2:G1012,('__flatlist__'!$B$2:$B1012=$B12),('__flatlist__'!$C$2:$C1012=$C12)))"),4.5)</f>
        <v>4.5</v>
      </c>
      <c r="H12" s="8" t="n">
        <f aca="false">IFERROR(__xludf.dummyfunction("AVERAGE(FILTER('__flatlist__'!H$2:H1012,('__flatlist__'!$B$2:$B1012=$B12),('__flatlist__'!$C$2:$C1012=$C12)))"),3)</f>
        <v>3</v>
      </c>
      <c r="I12" s="8" t="n">
        <f aca="false">IFERROR(__xludf.dummyfunction("AVERAGE(FILTER('__flatlist__'!I$2:I1012,('__flatlist__'!$B$2:$B1012=$B12),('__flatlist__'!$C$2:$C1012=$C12)))"),4.8)</f>
        <v>4.8</v>
      </c>
      <c r="J12" s="8" t="n">
        <f aca="false">AVERAGE(E12:I12)</f>
        <v>3.9</v>
      </c>
      <c r="K12" s="9" t="n">
        <f aca="false">RANK(J12,$J$4:$J$23,FALSE())</f>
        <v>9</v>
      </c>
      <c r="M12" s="2"/>
      <c r="N12" s="10"/>
      <c r="O12" s="10"/>
      <c r="P12" s="10"/>
      <c r="Q12" s="10"/>
      <c r="R12" s="10"/>
    </row>
    <row r="13" customFormat="false" ht="15.75" hidden="false" customHeight="false" outlineLevel="0" collapsed="false">
      <c r="A13" s="4"/>
      <c r="B13" s="4" t="s">
        <v>22</v>
      </c>
      <c r="C13" s="6" t="s">
        <v>18</v>
      </c>
      <c r="D13" s="7" t="n">
        <f aca="false">IFERROR(__xludf.dummyfunction("AVERAGE(FILTER('__flatlist__'!D$2:D1012,('__flatlist__'!$B$2:$B1012=$B13),('__flatlist__'!$C$2:$C1012=$C13)))"),0.171876810371205)</f>
        <v>0.1718768104</v>
      </c>
      <c r="E13" s="8" t="n">
        <f aca="false">IFERROR(__xludf.dummyfunction("AVERAGE(FILTER('__flatlist__'!E$2:E1012,('__flatlist__'!$B$2:$B1012=$B13),('__flatlist__'!$C$2:$C1012=$C13)))"),3.9)</f>
        <v>3.9</v>
      </c>
      <c r="F13" s="8" t="n">
        <f aca="false">IFERROR(__xludf.dummyfunction("AVERAGE(FILTER('__flatlist__'!F$2:F1012,('__flatlist__'!$B$2:$B1012=$B13),('__flatlist__'!$C$2:$C1012=$C13)))"),4.5)</f>
        <v>4.5</v>
      </c>
      <c r="G13" s="8" t="n">
        <f aca="false">IFERROR(__xludf.dummyfunction("AVERAGE(FILTER('__flatlist__'!G$2:G1012,('__flatlist__'!$B$2:$B1012=$B13),('__flatlist__'!$C$2:$C1012=$C13)))"),4.6)</f>
        <v>4.6</v>
      </c>
      <c r="H13" s="8" t="n">
        <f aca="false">IFERROR(__xludf.dummyfunction("AVERAGE(FILTER('__flatlist__'!H$2:H1012,('__flatlist__'!$B$2:$B1012=$B13),('__flatlist__'!$C$2:$C1012=$C13)))"),2.7)</f>
        <v>2.7</v>
      </c>
      <c r="I13" s="8" t="n">
        <f aca="false">IFERROR(__xludf.dummyfunction("AVERAGE(FILTER('__flatlist__'!I$2:I1012,('__flatlist__'!$B$2:$B1012=$B13),('__flatlist__'!$C$2:$C1012=$C13)))"),4.9)</f>
        <v>4.9</v>
      </c>
      <c r="J13" s="8" t="n">
        <f aca="false">AVERAGE(E13:I13)</f>
        <v>4.12</v>
      </c>
      <c r="K13" s="9" t="n">
        <f aca="false">RANK(J13,$J$4:$J$23,FALSE())</f>
        <v>6</v>
      </c>
      <c r="M13" s="2"/>
      <c r="N13" s="10"/>
    </row>
    <row r="14" customFormat="false" ht="15.75" hidden="false" customHeight="false" outlineLevel="0" collapsed="false">
      <c r="A14" s="4"/>
      <c r="B14" s="4" t="s">
        <v>22</v>
      </c>
      <c r="C14" s="6" t="s">
        <v>19</v>
      </c>
      <c r="D14" s="7" t="n">
        <f aca="false">IFERROR(__xludf.dummyfunction("AVERAGE(FILTER('__flatlist__'!D$2:D1012,('__flatlist__'!$B$2:$B1012=$B14),('__flatlist__'!$C$2:$C1012=$C14)))"),0.0807189939025847)</f>
        <v>0.0807189939</v>
      </c>
      <c r="E14" s="8" t="n">
        <f aca="false">IFERROR(__xludf.dummyfunction("AVERAGE(FILTER('__flatlist__'!E$2:E1012,('__flatlist__'!$B$2:$B1012=$B14),('__flatlist__'!$C$2:$C1012=$C14)))"),3.9)</f>
        <v>3.9</v>
      </c>
      <c r="F14" s="8" t="n">
        <f aca="false">IFERROR(__xludf.dummyfunction("AVERAGE(FILTER('__flatlist__'!F$2:F1012,('__flatlist__'!$B$2:$B1012=$B14),('__flatlist__'!$C$2:$C1012=$C14)))"),4.6)</f>
        <v>4.6</v>
      </c>
      <c r="G14" s="8" t="n">
        <f aca="false">IFERROR(__xludf.dummyfunction("AVERAGE(FILTER('__flatlist__'!G$2:G1012,('__flatlist__'!$B$2:$B1012=$B14),('__flatlist__'!$C$2:$C1012=$C14)))"),4.5)</f>
        <v>4.5</v>
      </c>
      <c r="H14" s="8" t="n">
        <f aca="false">IFERROR(__xludf.dummyfunction("AVERAGE(FILTER('__flatlist__'!H$2:H1012,('__flatlist__'!$B$2:$B1012=$B14),('__flatlist__'!$C$2:$C1012=$C14)))"),4.5)</f>
        <v>4.5</v>
      </c>
      <c r="I14" s="8" t="n">
        <f aca="false">IFERROR(__xludf.dummyfunction("AVERAGE(FILTER('__flatlist__'!I$2:I1012,('__flatlist__'!$B$2:$B1012=$B14),('__flatlist__'!$C$2:$C1012=$C14)))"),4)</f>
        <v>4</v>
      </c>
      <c r="J14" s="8" t="n">
        <f aca="false">AVERAGE(E14:I14)</f>
        <v>4.3</v>
      </c>
      <c r="K14" s="9" t="n">
        <f aca="false">RANK(J14,$J$4:$J$23,FALSE())</f>
        <v>1</v>
      </c>
      <c r="M14" s="2"/>
      <c r="N14" s="10"/>
    </row>
    <row r="15" customFormat="false" ht="15.75" hidden="false" customHeight="false" outlineLevel="0" collapsed="false">
      <c r="A15" s="4"/>
      <c r="B15" s="4" t="s">
        <v>22</v>
      </c>
      <c r="C15" s="6" t="s">
        <v>20</v>
      </c>
      <c r="D15" s="7" t="n">
        <f aca="false">IFERROR(__xludf.dummyfunction("AVERAGE(FILTER('__flatlist__'!D$2:D1012,('__flatlist__'!$B$2:$B1012=$B15),('__flatlist__'!$C$2:$C1012=$C15)))"),0.0839847656607049)</f>
        <v>0.08398476566</v>
      </c>
      <c r="E15" s="8" t="n">
        <f aca="false">IFERROR(__xludf.dummyfunction("AVERAGE(FILTER('__flatlist__'!E$2:E1012,('__flatlist__'!$B$2:$B1012=$B15),('__flatlist__'!$C$2:$C1012=$C15)))"),3.8)</f>
        <v>3.8</v>
      </c>
      <c r="F15" s="8" t="n">
        <f aca="false">IFERROR(__xludf.dummyfunction("AVERAGE(FILTER('__flatlist__'!F$2:F1012,('__flatlist__'!$B$2:$B1012=$B15),('__flatlist__'!$C$2:$C1012=$C15)))"),4.4)</f>
        <v>4.4</v>
      </c>
      <c r="G15" s="8" t="n">
        <f aca="false">IFERROR(__xludf.dummyfunction("AVERAGE(FILTER('__flatlist__'!G$2:G1012,('__flatlist__'!$B$2:$B1012=$B15),('__flatlist__'!$C$2:$C1012=$C15)))"),4.2)</f>
        <v>4.2</v>
      </c>
      <c r="H15" s="8" t="n">
        <f aca="false">IFERROR(__xludf.dummyfunction("AVERAGE(FILTER('__flatlist__'!H$2:H1012,('__flatlist__'!$B$2:$B1012=$B15),('__flatlist__'!$C$2:$C1012=$C15)))"),4.6)</f>
        <v>4.6</v>
      </c>
      <c r="I15" s="8" t="n">
        <f aca="false">IFERROR(__xludf.dummyfunction("AVERAGE(FILTER('__flatlist__'!I$2:I1012,('__flatlist__'!$B$2:$B1012=$B15),('__flatlist__'!$C$2:$C1012=$C15)))"),4.5)</f>
        <v>4.5</v>
      </c>
      <c r="J15" s="8" t="n">
        <f aca="false">AVERAGE(E15:I15)</f>
        <v>4.3</v>
      </c>
      <c r="K15" s="9" t="n">
        <f aca="false">RANK(J15,$J$4:$J$23,FALSE())</f>
        <v>1</v>
      </c>
      <c r="M15" s="2"/>
      <c r="N15" s="10"/>
    </row>
    <row r="16" customFormat="false" ht="15.75" hidden="false" customHeight="false" outlineLevel="0" collapsed="false">
      <c r="A16" s="4"/>
      <c r="B16" s="4" t="s">
        <v>23</v>
      </c>
      <c r="C16" s="6" t="s">
        <v>8</v>
      </c>
      <c r="D16" s="7" t="n">
        <f aca="false">IFERROR(__xludf.dummyfunction("AVERAGE(FILTER('__flatlist__'!D$2:D1012,('__flatlist__'!$B$2:$B1012=$B16),('__flatlist__'!$C$2:$C1012=$C16)))"),0.106466599911904)</f>
        <v>0.1064665999</v>
      </c>
      <c r="E16" s="8" t="n">
        <f aca="false">IFERROR(__xludf.dummyfunction("AVERAGE(FILTER('__flatlist__'!E$2:E1012,('__flatlist__'!$B$2:$B1012=$B16),('__flatlist__'!$C$2:$C1012=$C16)))"),2.5)</f>
        <v>2.5</v>
      </c>
      <c r="F16" s="8" t="n">
        <f aca="false">IFERROR(__xludf.dummyfunction("AVERAGE(FILTER('__flatlist__'!F$2:F1012,('__flatlist__'!$B$2:$B1012=$B16),('__flatlist__'!$C$2:$C1012=$C16)))"),4.1)</f>
        <v>4.1</v>
      </c>
      <c r="G16" s="8" t="n">
        <f aca="false">IFERROR(__xludf.dummyfunction("AVERAGE(FILTER('__flatlist__'!G$2:G1012,('__flatlist__'!$B$2:$B1012=$B16),('__flatlist__'!$C$2:$C1012=$C16)))"),3.7)</f>
        <v>3.7</v>
      </c>
      <c r="H16" s="8" t="n">
        <f aca="false">IFERROR(__xludf.dummyfunction("AVERAGE(FILTER('__flatlist__'!H$2:H1012,('__flatlist__'!$B$2:$B1012=$B16),('__flatlist__'!$C$2:$C1012=$C16)))"),3.5)</f>
        <v>3.5</v>
      </c>
      <c r="I16" s="8" t="n">
        <f aca="false">IFERROR(__xludf.dummyfunction("AVERAGE(FILTER('__flatlist__'!I$2:I1012,('__flatlist__'!$B$2:$B1012=$B16),('__flatlist__'!$C$2:$C1012=$C16)))"),3.7)</f>
        <v>3.7</v>
      </c>
      <c r="J16" s="8" t="n">
        <f aca="false">AVERAGE(E16:I16)</f>
        <v>3.5</v>
      </c>
      <c r="K16" s="9" t="n">
        <f aca="false">RANK(J16,$J$4:$J$23,FALSE())</f>
        <v>16</v>
      </c>
      <c r="M16" s="2"/>
      <c r="N16" s="10"/>
    </row>
    <row r="17" customFormat="false" ht="15.75" hidden="false" customHeight="false" outlineLevel="0" collapsed="false">
      <c r="A17" s="4"/>
      <c r="B17" s="4" t="s">
        <v>23</v>
      </c>
      <c r="C17" s="6" t="s">
        <v>18</v>
      </c>
      <c r="D17" s="7" t="n">
        <f aca="false">IFERROR(__xludf.dummyfunction("AVERAGE(FILTER('__flatlist__'!D$2:D1012,('__flatlist__'!$B$2:$B1012=$B17),('__flatlist__'!$C$2:$C1012=$C17)))"),0.0940853026426545)</f>
        <v>0.09408530264</v>
      </c>
      <c r="E17" s="8" t="n">
        <f aca="false">IFERROR(__xludf.dummyfunction("AVERAGE(FILTER('__flatlist__'!E$2:E1012,('__flatlist__'!$B$2:$B1012=$B17),('__flatlist__'!$C$2:$C1012=$C17)))"),3.7)</f>
        <v>3.7</v>
      </c>
      <c r="F17" s="8" t="n">
        <f aca="false">IFERROR(__xludf.dummyfunction("AVERAGE(FILTER('__flatlist__'!F$2:F1012,('__flatlist__'!$B$2:$B1012=$B17),('__flatlist__'!$C$2:$C1012=$C17)))"),4.1)</f>
        <v>4.1</v>
      </c>
      <c r="G17" s="8" t="n">
        <f aca="false">IFERROR(__xludf.dummyfunction("AVERAGE(FILTER('__flatlist__'!G$2:G1012,('__flatlist__'!$B$2:$B1012=$B17),('__flatlist__'!$C$2:$C1012=$C17)))"),3.7)</f>
        <v>3.7</v>
      </c>
      <c r="H17" s="8" t="n">
        <f aca="false">IFERROR(__xludf.dummyfunction("AVERAGE(FILTER('__flatlist__'!H$2:H1012,('__flatlist__'!$B$2:$B1012=$B17),('__flatlist__'!$C$2:$C1012=$C17)))"),4.3)</f>
        <v>4.3</v>
      </c>
      <c r="I17" s="8" t="n">
        <f aca="false">IFERROR(__xludf.dummyfunction("AVERAGE(FILTER('__flatlist__'!I$2:I1012,('__flatlist__'!$B$2:$B1012=$B17),('__flatlist__'!$C$2:$C1012=$C17)))"),4.4)</f>
        <v>4.4</v>
      </c>
      <c r="J17" s="8" t="n">
        <f aca="false">AVERAGE(E17:I17)</f>
        <v>4.04</v>
      </c>
      <c r="K17" s="9" t="n">
        <f aca="false">RANK(J17,$J$4:$J$23,FALSE())</f>
        <v>8</v>
      </c>
      <c r="M17" s="2"/>
      <c r="N17" s="10"/>
    </row>
    <row r="18" customFormat="false" ht="15.75" hidden="false" customHeight="false" outlineLevel="0" collapsed="false">
      <c r="A18" s="4"/>
      <c r="B18" s="4" t="s">
        <v>23</v>
      </c>
      <c r="C18" s="6" t="s">
        <v>19</v>
      </c>
      <c r="D18" s="7" t="n">
        <f aca="false">IFERROR(__xludf.dummyfunction("AVERAGE(FILTER('__flatlist__'!D$2:D1012,('__flatlist__'!$B$2:$B1012=$B18),('__flatlist__'!$C$2:$C1012=$C18)))"),0.0968487258374243)</f>
        <v>0.09684872584</v>
      </c>
      <c r="E18" s="8" t="n">
        <f aca="false">IFERROR(__xludf.dummyfunction("AVERAGE(FILTER('__flatlist__'!E$2:E1012,('__flatlist__'!$B$2:$B1012=$B18),('__flatlist__'!$C$2:$C1012=$C18)))"),4.1)</f>
        <v>4.1</v>
      </c>
      <c r="F18" s="8" t="n">
        <f aca="false">IFERROR(__xludf.dummyfunction("AVERAGE(FILTER('__flatlist__'!F$2:F1012,('__flatlist__'!$B$2:$B1012=$B18),('__flatlist__'!$C$2:$C1012=$C18)))"),3.8)</f>
        <v>3.8</v>
      </c>
      <c r="G18" s="8" t="n">
        <f aca="false">IFERROR(__xludf.dummyfunction("AVERAGE(FILTER('__flatlist__'!G$2:G1012,('__flatlist__'!$B$2:$B1012=$B18),('__flatlist__'!$C$2:$C1012=$C18)))"),3.7)</f>
        <v>3.7</v>
      </c>
      <c r="H18" s="8" t="n">
        <f aca="false">IFERROR(__xludf.dummyfunction("AVERAGE(FILTER('__flatlist__'!H$2:H1012,('__flatlist__'!$B$2:$B1012=$B18),('__flatlist__'!$C$2:$C1012=$C18)))"),3.9)</f>
        <v>3.9</v>
      </c>
      <c r="I18" s="8" t="n">
        <f aca="false">IFERROR(__xludf.dummyfunction("AVERAGE(FILTER('__flatlist__'!I$2:I1012,('__flatlist__'!$B$2:$B1012=$B18),('__flatlist__'!$C$2:$C1012=$C18)))"),3.8)</f>
        <v>3.8</v>
      </c>
      <c r="J18" s="8" t="n">
        <f aca="false">AVERAGE(E18:I18)</f>
        <v>3.86</v>
      </c>
      <c r="K18" s="9" t="n">
        <f aca="false">RANK(J18,$J$4:$J$23,FALSE())</f>
        <v>10</v>
      </c>
      <c r="M18" s="2"/>
      <c r="N18" s="10"/>
    </row>
    <row r="19" customFormat="false" ht="15.75" hidden="false" customHeight="false" outlineLevel="0" collapsed="false">
      <c r="A19" s="4"/>
      <c r="B19" s="4" t="s">
        <v>23</v>
      </c>
      <c r="C19" s="6" t="s">
        <v>20</v>
      </c>
      <c r="D19" s="7" t="n">
        <f aca="false">IFERROR(__xludf.dummyfunction("AVERAGE(FILTER('__flatlist__'!D$2:D1012,('__flatlist__'!$B$2:$B1012=$B19),('__flatlist__'!$C$2:$C1012=$C19)))"),0.0710793734990992)</f>
        <v>0.0710793735</v>
      </c>
      <c r="E19" s="8" t="n">
        <f aca="false">IFERROR(__xludf.dummyfunction("AVERAGE(FILTER('__flatlist__'!E$2:E1012,('__flatlist__'!$B$2:$B1012=$B19),('__flatlist__'!$C$2:$C1012=$C19)))"),4.1)</f>
        <v>4.1</v>
      </c>
      <c r="F19" s="8" t="n">
        <f aca="false">IFERROR(__xludf.dummyfunction("AVERAGE(FILTER('__flatlist__'!F$2:F1012,('__flatlist__'!$B$2:$B1012=$B19),('__flatlist__'!$C$2:$C1012=$C19)))"),4.2)</f>
        <v>4.2</v>
      </c>
      <c r="G19" s="8" t="n">
        <f aca="false">IFERROR(__xludf.dummyfunction("AVERAGE(FILTER('__flatlist__'!G$2:G1012,('__flatlist__'!$B$2:$B1012=$B19),('__flatlist__'!$C$2:$C1012=$C19)))"),3.7)</f>
        <v>3.7</v>
      </c>
      <c r="H19" s="8" t="n">
        <f aca="false">IFERROR(__xludf.dummyfunction("AVERAGE(FILTER('__flatlist__'!H$2:H1012,('__flatlist__'!$B$2:$B1012=$B19),('__flatlist__'!$C$2:$C1012=$C19)))"),4.7)</f>
        <v>4.7</v>
      </c>
      <c r="I19" s="8" t="n">
        <f aca="false">IFERROR(__xludf.dummyfunction("AVERAGE(FILTER('__flatlist__'!I$2:I1012,('__flatlist__'!$B$2:$B1012=$B19),('__flatlist__'!$C$2:$C1012=$C19)))"),3.7)</f>
        <v>3.7</v>
      </c>
      <c r="J19" s="8" t="n">
        <f aca="false">AVERAGE(E19:I19)</f>
        <v>4.08</v>
      </c>
      <c r="K19" s="9" t="n">
        <f aca="false">RANK(J19,$J$4:$J$23,FALSE())</f>
        <v>7</v>
      </c>
      <c r="M19" s="2"/>
      <c r="N19" s="10"/>
    </row>
    <row r="20" customFormat="false" ht="15.75" hidden="false" customHeight="false" outlineLevel="0" collapsed="false">
      <c r="A20" s="4"/>
      <c r="B20" s="9" t="s">
        <v>24</v>
      </c>
      <c r="C20" s="6" t="s">
        <v>18</v>
      </c>
      <c r="D20" s="7" t="n">
        <f aca="false">IFERROR(__xludf.dummyfunction("AVERAGE(FILTER('__flatlist__'!D$2:D1012,('__flatlist__'!$B$2:$B1012=$B20),('__flatlist__'!$C$2:$C1012=$C20)))"),0.0763548905777939)</f>
        <v>0.07635489058</v>
      </c>
      <c r="E20" s="8" t="n">
        <f aca="false">IFERROR(__xludf.dummyfunction("AVERAGE(FILTER('__flatlist__'!E$2:E1012,('__flatlist__'!$B$2:$B1012=$B20),('__flatlist__'!$C$2:$C1012=$C20)))"),3.8)</f>
        <v>3.8</v>
      </c>
      <c r="F20" s="8" t="n">
        <f aca="false">IFERROR(__xludf.dummyfunction("AVERAGE(FILTER('__flatlist__'!F$2:F1012,('__flatlist__'!$B$2:$B1012=$B20),('__flatlist__'!$C$2:$C1012=$C20)))"),4.4)</f>
        <v>4.4</v>
      </c>
      <c r="G20" s="8" t="n">
        <f aca="false">IFERROR(__xludf.dummyfunction("AVERAGE(FILTER('__flatlist__'!G$2:G1012,('__flatlist__'!$B$2:$B1012=$B20),('__flatlist__'!$C$2:$C1012=$C20)))"),4.1)</f>
        <v>4.1</v>
      </c>
      <c r="H20" s="8" t="n">
        <f aca="false">IFERROR(__xludf.dummyfunction("AVERAGE(FILTER('__flatlist__'!H$2:H1012,('__flatlist__'!$B$2:$B1012=$B20),('__flatlist__'!$C$2:$C1012=$C20)))"),4.5)</f>
        <v>4.5</v>
      </c>
      <c r="I20" s="8" t="n">
        <f aca="false">IFERROR(__xludf.dummyfunction("AVERAGE(FILTER('__flatlist__'!I$2:I1012,('__flatlist__'!$B$2:$B1012=$B20),('__flatlist__'!$C$2:$C1012=$C20)))"),4)</f>
        <v>4</v>
      </c>
      <c r="J20" s="8" t="n">
        <f aca="false">AVERAGE(E20:I20)</f>
        <v>4.16</v>
      </c>
      <c r="K20" s="9" t="n">
        <f aca="false">RANK(J20,$J$4:$J$23,FALSE())</f>
        <v>4</v>
      </c>
      <c r="M20" s="2"/>
      <c r="N20" s="10"/>
    </row>
    <row r="21" customFormat="false" ht="15.75" hidden="false" customHeight="false" outlineLevel="0" collapsed="false">
      <c r="A21" s="4"/>
      <c r="B21" s="9" t="s">
        <v>24</v>
      </c>
      <c r="C21" s="6" t="s">
        <v>19</v>
      </c>
      <c r="D21" s="7" t="n">
        <f aca="false">IFERROR(__xludf.dummyfunction("AVERAGE(FILTER('__flatlist__'!D$2:D1012,('__flatlist__'!$B$2:$B1012=$B21),('__flatlist__'!$C$2:$C1012=$C21)))"),0.0778386976211243)</f>
        <v>0.07783869762</v>
      </c>
      <c r="E21" s="8" t="n">
        <f aca="false">IFERROR(__xludf.dummyfunction("AVERAGE(FILTER('__flatlist__'!E$2:E1012,('__flatlist__'!$B$2:$B1012=$B21),('__flatlist__'!$C$2:$C1012=$C21)))"),3.6)</f>
        <v>3.6</v>
      </c>
      <c r="F21" s="8" t="n">
        <f aca="false">IFERROR(__xludf.dummyfunction("AVERAGE(FILTER('__flatlist__'!F$2:F1012,('__flatlist__'!$B$2:$B1012=$B21),('__flatlist__'!$C$2:$C1012=$C21)))"),4.4)</f>
        <v>4.4</v>
      </c>
      <c r="G21" s="8" t="n">
        <f aca="false">IFERROR(__xludf.dummyfunction("AVERAGE(FILTER('__flatlist__'!G$2:G1012,('__flatlist__'!$B$2:$B1012=$B21),('__flatlist__'!$C$2:$C1012=$C21)))"),3.9)</f>
        <v>3.9</v>
      </c>
      <c r="H21" s="8" t="n">
        <f aca="false">IFERROR(__xludf.dummyfunction("AVERAGE(FILTER('__flatlist__'!H$2:H1012,('__flatlist__'!$B$2:$B1012=$B21),('__flatlist__'!$C$2:$C1012=$C21)))"),3.5)</f>
        <v>3.5</v>
      </c>
      <c r="I21" s="8" t="n">
        <f aca="false">IFERROR(__xludf.dummyfunction("AVERAGE(FILTER('__flatlist__'!I$2:I1012,('__flatlist__'!$B$2:$B1012=$B21),('__flatlist__'!$C$2:$C1012=$C21)))"),2.9)</f>
        <v>2.9</v>
      </c>
      <c r="J21" s="8" t="n">
        <f aca="false">AVERAGE(E21:I21)</f>
        <v>3.66</v>
      </c>
      <c r="K21" s="9" t="n">
        <f aca="false">RANK(J21,$J$4:$J$23,FALSE())</f>
        <v>14</v>
      </c>
      <c r="M21" s="2"/>
      <c r="N21" s="10"/>
    </row>
    <row r="22" customFormat="false" ht="15.75" hidden="false" customHeight="false" outlineLevel="0" collapsed="false">
      <c r="A22" s="4"/>
      <c r="B22" s="9" t="s">
        <v>24</v>
      </c>
      <c r="C22" s="6" t="s">
        <v>8</v>
      </c>
      <c r="D22" s="7" t="n">
        <f aca="false">IFERROR(__xludf.dummyfunction("AVERAGE(FILTER('__flatlist__'!D$2:D1012,('__flatlist__'!$B$2:$B1012=$B22),('__flatlist__'!$C$2:$C1012=$C22)))"),0.103649501534554)</f>
        <v>0.1036495015</v>
      </c>
      <c r="E22" s="8" t="n">
        <f aca="false">IFERROR(__xludf.dummyfunction("AVERAGE(FILTER('__flatlist__'!E$2:E1012,('__flatlist__'!$B$2:$B1012=$B22),('__flatlist__'!$C$2:$C1012=$C22)))"),2.5)</f>
        <v>2.5</v>
      </c>
      <c r="F22" s="8" t="n">
        <f aca="false">IFERROR(__xludf.dummyfunction("AVERAGE(FILTER('__flatlist__'!F$2:F1012,('__flatlist__'!$B$2:$B1012=$B22),('__flatlist__'!$C$2:$C1012=$C22)))"),4.4)</f>
        <v>4.4</v>
      </c>
      <c r="G22" s="8" t="n">
        <f aca="false">IFERROR(__xludf.dummyfunction("AVERAGE(FILTER('__flatlist__'!G$2:G1012,('__flatlist__'!$B$2:$B1012=$B22),('__flatlist__'!$C$2:$C1012=$C22)))"),3.9)</f>
        <v>3.9</v>
      </c>
      <c r="H22" s="8" t="n">
        <f aca="false">IFERROR(__xludf.dummyfunction("AVERAGE(FILTER('__flatlist__'!H$2:H1012,('__flatlist__'!$B$2:$B1012=$B22),('__flatlist__'!$C$2:$C1012=$C22)))"),3.6)</f>
        <v>3.6</v>
      </c>
      <c r="I22" s="8" t="n">
        <f aca="false">IFERROR(__xludf.dummyfunction("AVERAGE(FILTER('__flatlist__'!I$2:I1012,('__flatlist__'!$B$2:$B1012=$B22),('__flatlist__'!$C$2:$C1012=$C22)))"),3.7)</f>
        <v>3.7</v>
      </c>
      <c r="J22" s="8" t="n">
        <f aca="false">AVERAGE(E22:I22)</f>
        <v>3.62</v>
      </c>
      <c r="K22" s="9" t="n">
        <f aca="false">RANK(J22,$J$4:$J$23,FALSE())</f>
        <v>15</v>
      </c>
      <c r="M22" s="2"/>
      <c r="N22" s="10"/>
    </row>
    <row r="23" customFormat="false" ht="15.75" hidden="false" customHeight="false" outlineLevel="0" collapsed="false">
      <c r="A23" s="4"/>
      <c r="B23" s="9" t="s">
        <v>24</v>
      </c>
      <c r="C23" s="6" t="s">
        <v>20</v>
      </c>
      <c r="D23" s="7" t="n">
        <f aca="false">IFERROR(__xludf.dummyfunction("AVERAGE(FILTER('__flatlist__'!D$2:D1012,('__flatlist__'!$B$2:$B1012=$B23),('__flatlist__'!$C$2:$C1012=$C23)))"),0.0573425670942946)</f>
        <v>0.05734256709</v>
      </c>
      <c r="E23" s="8" t="n">
        <f aca="false">IFERROR(__xludf.dummyfunction("AVERAGE(FILTER('__flatlist__'!E$2:E1012,('__flatlist__'!$B$2:$B1012=$B23),('__flatlist__'!$C$2:$C1012=$C23)))"),4)</f>
        <v>4</v>
      </c>
      <c r="F23" s="8" t="n">
        <f aca="false">IFERROR(__xludf.dummyfunction("AVERAGE(FILTER('__flatlist__'!F$2:F1012,('__flatlist__'!$B$2:$B1012=$B23),('__flatlist__'!$C$2:$C1012=$C23)))"),4.6)</f>
        <v>4.6</v>
      </c>
      <c r="G23" s="8" t="n">
        <f aca="false">IFERROR(__xludf.dummyfunction("AVERAGE(FILTER('__flatlist__'!G$2:G1012,('__flatlist__'!$B$2:$B1012=$B23),('__flatlist__'!$C$2:$C1012=$C23)))"),4.2)</f>
        <v>4.2</v>
      </c>
      <c r="H23" s="8" t="n">
        <f aca="false">IFERROR(__xludf.dummyfunction("AVERAGE(FILTER('__flatlist__'!H$2:H1012,('__flatlist__'!$B$2:$B1012=$B23),('__flatlist__'!$C$2:$C1012=$C23)))"),4.9)</f>
        <v>4.9</v>
      </c>
      <c r="I23" s="8" t="n">
        <f aca="false">IFERROR(__xludf.dummyfunction("AVERAGE(FILTER('__flatlist__'!I$2:I1012,('__flatlist__'!$B$2:$B1012=$B23),('__flatlist__'!$C$2:$C1012=$C23)))"),3.3)</f>
        <v>3.3</v>
      </c>
      <c r="J23" s="8" t="n">
        <f aca="false">AVERAGE(E23:I23)</f>
        <v>4.2</v>
      </c>
      <c r="K23" s="9" t="n">
        <f aca="false">RANK(J23,$J$4:$J$23,FALSE())</f>
        <v>3</v>
      </c>
      <c r="M23" s="2"/>
      <c r="N23" s="10"/>
    </row>
    <row r="24" customFormat="false" ht="15.75" hidden="false" customHeight="false" outlineLevel="0" collapsed="false">
      <c r="C24" s="6"/>
      <c r="E24" s="8"/>
      <c r="F24" s="8"/>
      <c r="G24" s="8"/>
      <c r="H24" s="8"/>
      <c r="I24" s="8"/>
      <c r="M24" s="2"/>
      <c r="N24" s="10"/>
    </row>
    <row r="25" customFormat="false" ht="15.75" hidden="false" customHeight="false" outlineLevel="0" collapsed="false">
      <c r="A25" s="12"/>
      <c r="B25" s="13"/>
      <c r="C25" s="13"/>
      <c r="D25" s="14" t="s">
        <v>25</v>
      </c>
      <c r="E25" s="14"/>
      <c r="F25" s="14"/>
      <c r="G25" s="14"/>
      <c r="H25" s="14"/>
      <c r="I25" s="14"/>
      <c r="J25" s="14"/>
      <c r="K25" s="14"/>
      <c r="M25" s="2"/>
      <c r="N25" s="10"/>
    </row>
    <row r="26" customFormat="false" ht="15.75" hidden="true" customHeight="false" outlineLevel="0" collapsed="false">
      <c r="A26" s="15" t="str">
        <f aca="false">'🤖 Claude Haiku 3.5'!$A$2</f>
        <v>https://www.berria.eus/ekonomia/urte-eta-erdiko-kartzela-zigorra-eta-30000-euroko-kalte-ordainak-zorroza-gestion-enpresan-hil-zen-langileagatik_2124960_102.html</v>
      </c>
      <c r="B26" s="16"/>
      <c r="C26" s="17"/>
      <c r="D26" s="18" t="n">
        <f aca="false">IFERROR(__xludf.dummyfunction("AVERAGE(FILTER('__flatlist__'!D$2:D1012,('__flatlist__'!$A$2:$A1012=$A26)))"),0.508974358974359)</f>
        <v>0.508974359</v>
      </c>
      <c r="E26" s="19" t="n">
        <f aca="false">IFERROR(__xludf.dummyfunction("AVERAGE(FILTER('__flatlist__'!E$2:E1012,('__flatlist__'!$A$2:$A1012=$A26)))"),3.38095238095238)</f>
        <v>3.380952381</v>
      </c>
      <c r="F26" s="19" t="n">
        <f aca="false">IFERROR(__xludf.dummyfunction("AVERAGE(FILTER('__flatlist__'!F$2:F1012,('__flatlist__'!$A$2:$A1012=$A26)))"),4.33333333333333)</f>
        <v>4.333333333</v>
      </c>
      <c r="G26" s="19" t="n">
        <f aca="false">IFERROR(__xludf.dummyfunction("AVERAGE(FILTER('__flatlist__'!G$2:G1012,('__flatlist__'!$A$2:$A1012=$A26)))"),3.71428571428571)</f>
        <v>3.714285714</v>
      </c>
      <c r="H26" s="19" t="n">
        <f aca="false">IFERROR(__xludf.dummyfunction("AVERAGE(FILTER('__flatlist__'!H$2:H1012,('__flatlist__'!$A$2:$A1012=$A26)))"),3.57142857142857)</f>
        <v>3.571428571</v>
      </c>
      <c r="I26" s="19" t="n">
        <f aca="false">IFERROR(__xludf.dummyfunction("AVERAGE(FILTER('__flatlist__'!I$2:I1012,('__flatlist__'!$A$2:$A1012=$A26)))"),4.19047619047619)</f>
        <v>4.19047619</v>
      </c>
      <c r="J26" s="19" t="n">
        <f aca="false">AVERAGE(E26:I26)</f>
        <v>3.8380952378</v>
      </c>
      <c r="K26" s="20"/>
      <c r="M26" s="2"/>
      <c r="N26" s="10"/>
    </row>
    <row r="27" customFormat="false" ht="15.75" hidden="true" customHeight="false" outlineLevel="0" collapsed="false">
      <c r="A27" s="21" t="str">
        <f aca="false">'🤖 Claude Haiku 3.5'!$A$7</f>
        <v>https://www.berria.eus/kirola/hirutik-hiru-jaka-mariezkurrenarentzat_2117677_102.html</v>
      </c>
      <c r="B27" s="4"/>
      <c r="D27" s="7" t="n">
        <f aca="false">IFERROR(__xludf.dummyfunction("AVERAGE(FILTER('__flatlist__'!D$2:D1012,('__flatlist__'!$A$2:$A1012=$A27)))"),0.521329365079365)</f>
        <v>0.5213293651</v>
      </c>
      <c r="E27" s="8" t="n">
        <f aca="false">IFERROR(__xludf.dummyfunction("AVERAGE(FILTER('__flatlist__'!E$2:E1012,('__flatlist__'!$A$2:$A1012=$A27)))"),3.47619047619048)</f>
        <v>3.476190476</v>
      </c>
      <c r="F27" s="8" t="n">
        <f aca="false">IFERROR(__xludf.dummyfunction("AVERAGE(FILTER('__flatlist__'!F$2:F1012,('__flatlist__'!$A$2:$A1012=$A27)))"),4.04761904761905)</f>
        <v>4.047619048</v>
      </c>
      <c r="G27" s="8" t="n">
        <f aca="false">IFERROR(__xludf.dummyfunction("AVERAGE(FILTER('__flatlist__'!G$2:G1012,('__flatlist__'!$A$2:$A1012=$A27)))"),3.38095238095238)</f>
        <v>3.380952381</v>
      </c>
      <c r="H27" s="8" t="n">
        <f aca="false">IFERROR(__xludf.dummyfunction("AVERAGE(FILTER('__flatlist__'!H$2:H1012,('__flatlist__'!$A$2:$A1012=$A27)))"),3.38095238095238)</f>
        <v>3.380952381</v>
      </c>
      <c r="I27" s="8" t="n">
        <f aca="false">IFERROR(__xludf.dummyfunction("AVERAGE(FILTER('__flatlist__'!I$2:I1012,('__flatlist__'!$A$2:$A1012=$A27)))"),3.76190476190476)</f>
        <v>3.761904762</v>
      </c>
      <c r="J27" s="8" t="n">
        <f aca="false">AVERAGE(E27:I27)</f>
        <v>3.6095238096</v>
      </c>
      <c r="K27" s="22"/>
      <c r="M27" s="2"/>
      <c r="N27" s="10"/>
    </row>
    <row r="28" customFormat="false" ht="15.75" hidden="true" customHeight="false" outlineLevel="0" collapsed="false">
      <c r="A28" s="21" t="str">
        <f aca="false">'🤖 Claude Haiku 3.5'!$A$12</f>
        <v>https://www.berria.eus/bizigiro/larreen-eta-larrabereen-balioaz_2126273_102.html</v>
      </c>
      <c r="B28" s="4"/>
      <c r="D28" s="7" t="n">
        <f aca="false">IFERROR(__xludf.dummyfunction("AVERAGE(FILTER('__flatlist__'!D$2:D1012,('__flatlist__'!$A$2:$A1012=$A28)))"),0.232265446224256)</f>
        <v>0.2322654462</v>
      </c>
      <c r="E28" s="8" t="n">
        <f aca="false">IFERROR(__xludf.dummyfunction("AVERAGE(FILTER('__flatlist__'!E$2:E1012,('__flatlist__'!$A$2:$A1012=$A28)))"),3.33333333333333)</f>
        <v>3.333333333</v>
      </c>
      <c r="F28" s="8" t="n">
        <f aca="false">IFERROR(__xludf.dummyfunction("AVERAGE(FILTER('__flatlist__'!F$2:F1012,('__flatlist__'!$A$2:$A1012=$A28)))"),4.28571428571429)</f>
        <v>4.285714286</v>
      </c>
      <c r="G28" s="8" t="n">
        <f aca="false">IFERROR(__xludf.dummyfunction("AVERAGE(FILTER('__flatlist__'!G$2:G1012,('__flatlist__'!$A$2:$A1012=$A28)))"),3.80952380952381)</f>
        <v>3.80952381</v>
      </c>
      <c r="H28" s="8" t="n">
        <f aca="false">IFERROR(__xludf.dummyfunction("AVERAGE(FILTER('__flatlist__'!H$2:H1012,('__flatlist__'!$A$2:$A1012=$A28)))"),3.71428571428571)</f>
        <v>3.714285714</v>
      </c>
      <c r="I28" s="8" t="n">
        <f aca="false">IFERROR(__xludf.dummyfunction("AVERAGE(FILTER('__flatlist__'!I$2:I1012,('__flatlist__'!$A$2:$A1012=$A28)))"),3.80952380952381)</f>
        <v>3.80952381</v>
      </c>
      <c r="J28" s="8" t="n">
        <f aca="false">AVERAGE(E28:I28)</f>
        <v>3.7904761906</v>
      </c>
      <c r="K28" s="22"/>
      <c r="M28" s="2"/>
      <c r="N28" s="10"/>
    </row>
    <row r="29" customFormat="false" ht="15.75" hidden="true" customHeight="false" outlineLevel="0" collapsed="false">
      <c r="A29" s="21" t="str">
        <f aca="false">'🤖 Claude Haiku 3.5'!$A$17</f>
        <v>https://www.berria.eus/kirola/olatua-hartuta-parisera_2121856_102.html</v>
      </c>
      <c r="B29" s="4"/>
      <c r="D29" s="7" t="n">
        <f aca="false">IFERROR(__xludf.dummyfunction("AVERAGE(FILTER('__flatlist__'!D$2:D1012,('__flatlist__'!$A$2:$A1012=$A29)))"),0.346446700507614)</f>
        <v>0.3464467005</v>
      </c>
      <c r="E29" s="8" t="n">
        <f aca="false">IFERROR(__xludf.dummyfunction("AVERAGE(FILTER('__flatlist__'!E$2:E1012,('__flatlist__'!$A$2:$A1012=$A29)))"),3.33333333333333)</f>
        <v>3.333333333</v>
      </c>
      <c r="F29" s="8" t="n">
        <f aca="false">IFERROR(__xludf.dummyfunction("AVERAGE(FILTER('__flatlist__'!F$2:F1012,('__flatlist__'!$A$2:$A1012=$A29)))"),4.14285714285714)</f>
        <v>4.142857143</v>
      </c>
      <c r="G29" s="8" t="n">
        <f aca="false">IFERROR(__xludf.dummyfunction("AVERAGE(FILTER('__flatlist__'!G$2:G1012,('__flatlist__'!$A$2:$A1012=$A29)))"),3.38095238095238)</f>
        <v>3.380952381</v>
      </c>
      <c r="H29" s="8" t="n">
        <f aca="false">IFERROR(__xludf.dummyfunction("AVERAGE(FILTER('__flatlist__'!H$2:H1012,('__flatlist__'!$A$2:$A1012=$A29)))"),3.85714285714286)</f>
        <v>3.857142857</v>
      </c>
      <c r="I29" s="8" t="n">
        <f aca="false">IFERROR(__xludf.dummyfunction("AVERAGE(FILTER('__flatlist__'!I$2:I1012,('__flatlist__'!$A$2:$A1012=$A29)))"),3.76190476190476)</f>
        <v>3.761904762</v>
      </c>
      <c r="J29" s="8" t="n">
        <f aca="false">AVERAGE(E29:I29)</f>
        <v>3.6952380952</v>
      </c>
      <c r="K29" s="22"/>
      <c r="M29" s="2"/>
      <c r="N29" s="10"/>
    </row>
    <row r="30" customFormat="false" ht="15.75" hidden="true" customHeight="false" outlineLevel="0" collapsed="false">
      <c r="A30" s="21" t="str">
        <f aca="false">'🤖 Claude Haiku 3.5'!$A$22</f>
        <v>https://www.berria.eus/bizigiro/badago-ezkutuan-dagoen-sektore-bat-sarietatik-kanpo-idazten-ari-dena_2119644_102.html</v>
      </c>
      <c r="B30" s="4"/>
      <c r="D30" s="7" t="n">
        <f aca="false">IFERROR(__xludf.dummyfunction("AVERAGE(FILTER('__flatlist__'!D$2:D1012,('__flatlist__'!$A$2:$A1012=$A30)))"),0.313951310861423)</f>
        <v>0.3139513109</v>
      </c>
      <c r="E30" s="8" t="n">
        <f aca="false">IFERROR(__xludf.dummyfunction("AVERAGE(FILTER('__flatlist__'!E$2:E1012,('__flatlist__'!$A$2:$A1012=$A30)))"),3.14285714285714)</f>
        <v>3.142857143</v>
      </c>
      <c r="F30" s="8" t="n">
        <f aca="false">IFERROR(__xludf.dummyfunction("AVERAGE(FILTER('__flatlist__'!F$2:F1012,('__flatlist__'!$A$2:$A1012=$A30)))"),3.47619047619048)</f>
        <v>3.476190476</v>
      </c>
      <c r="G30" s="8" t="n">
        <f aca="false">IFERROR(__xludf.dummyfunction("AVERAGE(FILTER('__flatlist__'!G$2:G1012,('__flatlist__'!$A$2:$A1012=$A30)))"),3.52380952380952)</f>
        <v>3.523809524</v>
      </c>
      <c r="H30" s="8" t="n">
        <f aca="false">IFERROR(__xludf.dummyfunction("AVERAGE(FILTER('__flatlist__'!H$2:H1012,('__flatlist__'!$A$2:$A1012=$A30)))"),3.23809523809524)</f>
        <v>3.238095238</v>
      </c>
      <c r="I30" s="8" t="n">
        <f aca="false">IFERROR(__xludf.dummyfunction("AVERAGE(FILTER('__flatlist__'!I$2:I1012,('__flatlist__'!$A$2:$A1012=$A30)))"),3.57142857142857)</f>
        <v>3.571428571</v>
      </c>
      <c r="J30" s="8" t="n">
        <f aca="false">AVERAGE(E30:I30)</f>
        <v>3.3904761904</v>
      </c>
      <c r="K30" s="22"/>
      <c r="M30" s="2"/>
      <c r="N30" s="10"/>
    </row>
    <row r="31" customFormat="false" ht="15.75" hidden="true" customHeight="false" outlineLevel="0" collapsed="false">
      <c r="A31" s="21" t="str">
        <f aca="false">'🤖 Claude Haiku 3.5'!$A$27</f>
        <v>https://www.berria.eus/bizigiro/istorioak-irudien-bidez-kontatzen-ditut-oso-hizkuntza-unibertsala-da_2121576_102.html</v>
      </c>
      <c r="B31" s="4"/>
      <c r="D31" s="7" t="n">
        <f aca="false">IFERROR(__xludf.dummyfunction("AVERAGE(FILTER('__flatlist__'!D$2:D1012,('__flatlist__'!$A$2:$A1012=$A31)))"),0.256559497413156)</f>
        <v>0.2565594974</v>
      </c>
      <c r="E31" s="8" t="n">
        <f aca="false">IFERROR(__xludf.dummyfunction("AVERAGE(FILTER('__flatlist__'!E$2:E1012,('__flatlist__'!$A$2:$A1012=$A31)))"),3)</f>
        <v>3</v>
      </c>
      <c r="F31" s="8" t="n">
        <f aca="false">IFERROR(__xludf.dummyfunction("AVERAGE(FILTER('__flatlist__'!F$2:F1012,('__flatlist__'!$A$2:$A1012=$A31)))"),4.33333333333333)</f>
        <v>4.333333333</v>
      </c>
      <c r="G31" s="8" t="n">
        <f aca="false">IFERROR(__xludf.dummyfunction("AVERAGE(FILTER('__flatlist__'!G$2:G1012,('__flatlist__'!$A$2:$A1012=$A31)))"),3.61904761904762)</f>
        <v>3.619047619</v>
      </c>
      <c r="H31" s="8" t="n">
        <f aca="false">IFERROR(__xludf.dummyfunction("AVERAGE(FILTER('__flatlist__'!H$2:H1012,('__flatlist__'!$A$2:$A1012=$A31)))"),3.38095238095238)</f>
        <v>3.380952381</v>
      </c>
      <c r="I31" s="8" t="n">
        <f aca="false">IFERROR(__xludf.dummyfunction("AVERAGE(FILTER('__flatlist__'!I$2:I1012,('__flatlist__'!$A$2:$A1012=$A31)))"),4.14285714285714)</f>
        <v>4.142857143</v>
      </c>
      <c r="J31" s="8" t="n">
        <f aca="false">AVERAGE(E31:I31)</f>
        <v>3.6952380952</v>
      </c>
      <c r="K31" s="22"/>
      <c r="M31" s="2"/>
      <c r="N31" s="10"/>
    </row>
    <row r="32" customFormat="false" ht="15.75" hidden="true" customHeight="false" outlineLevel="0" collapsed="false">
      <c r="A32" s="21" t="str">
        <f aca="false">'🤖 Claude Haiku 3.5'!$A$32</f>
        <v>https://www.berria.eus/euskal-herria/etxeko-atxiloaldia-ezarri-diote-labioko-hiltzaileari_2124515_102.html</v>
      </c>
      <c r="B32" s="4"/>
      <c r="D32" s="7" t="n">
        <f aca="false">IFERROR(__xludf.dummyfunction("AVERAGE(FILTER('__flatlist__'!D$2:D1012,('__flatlist__'!$A$2:$A1012=$A32)))"),0.378240740740741)</f>
        <v>0.3782407407</v>
      </c>
      <c r="E32" s="8" t="n">
        <f aca="false">IFERROR(__xludf.dummyfunction("AVERAGE(FILTER('__flatlist__'!E$2:E1012,('__flatlist__'!$A$2:$A1012=$A32)))"),3.28571428571429)</f>
        <v>3.285714286</v>
      </c>
      <c r="F32" s="8" t="n">
        <f aca="false">IFERROR(__xludf.dummyfunction("AVERAGE(FILTER('__flatlist__'!F$2:F1012,('__flatlist__'!$A$2:$A1012=$A32)))"),4.0952380952381)</f>
        <v>4.095238095</v>
      </c>
      <c r="G32" s="8" t="n">
        <f aca="false">IFERROR(__xludf.dummyfunction("AVERAGE(FILTER('__flatlist__'!G$2:G1012,('__flatlist__'!$A$2:$A1012=$A32)))"),3.61904761904762)</f>
        <v>3.619047619</v>
      </c>
      <c r="H32" s="8" t="n">
        <f aca="false">IFERROR(__xludf.dummyfunction("AVERAGE(FILTER('__flatlist__'!H$2:H1012,('__flatlist__'!$A$2:$A1012=$A32)))"),3.76190476190476)</f>
        <v>3.761904762</v>
      </c>
      <c r="I32" s="8" t="n">
        <f aca="false">IFERROR(__xludf.dummyfunction("AVERAGE(FILTER('__flatlist__'!I$2:I1012,('__flatlist__'!$A$2:$A1012=$A32)))"),3.33333333333333)</f>
        <v>3.333333333</v>
      </c>
      <c r="J32" s="8" t="n">
        <f aca="false">AVERAGE(E32:I32)</f>
        <v>3.619047619</v>
      </c>
      <c r="K32" s="22"/>
      <c r="M32" s="2"/>
      <c r="N32" s="10"/>
    </row>
    <row r="33" customFormat="false" ht="15.75" hidden="true" customHeight="false" outlineLevel="0" collapsed="false">
      <c r="A33" s="21" t="str">
        <f aca="false">'🤖 Claude Haiku 3.5'!$A$37</f>
        <v>https://www.berria.eus/ekonomia/sektore-eolikoa-eta-milaka-lanpostu-desagertzeko-arriskuaz-ohartarazi-du-elak_233844_102.html</v>
      </c>
      <c r="B33" s="4"/>
      <c r="D33" s="7" t="n">
        <f aca="false">IFERROR(__xludf.dummyfunction("AVERAGE(FILTER('__flatlist__'!D$2:D1012,('__flatlist__'!$A$2:$A1012=$A33)))"),0.282429245283019)</f>
        <v>0.2824292453</v>
      </c>
      <c r="E33" s="8" t="n">
        <f aca="false">IFERROR(__xludf.dummyfunction("AVERAGE(FILTER('__flatlist__'!E$2:E1012,('__flatlist__'!$A$2:$A1012=$A33)))"),3)</f>
        <v>3</v>
      </c>
      <c r="F33" s="8" t="n">
        <f aca="false">IFERROR(__xludf.dummyfunction("AVERAGE(FILTER('__flatlist__'!F$2:F1012,('__flatlist__'!$A$2:$A1012=$A33)))"),4.47619047619048)</f>
        <v>4.476190476</v>
      </c>
      <c r="G33" s="8" t="n">
        <f aca="false">IFERROR(__xludf.dummyfunction("AVERAGE(FILTER('__flatlist__'!G$2:G1012,('__flatlist__'!$A$2:$A1012=$A33)))"),3.85714285714286)</f>
        <v>3.857142857</v>
      </c>
      <c r="H33" s="8" t="n">
        <f aca="false">IFERROR(__xludf.dummyfunction("AVERAGE(FILTER('__flatlist__'!H$2:H1012,('__flatlist__'!$A$2:$A1012=$A33)))"),3.80952380952381)</f>
        <v>3.80952381</v>
      </c>
      <c r="I33" s="8" t="n">
        <f aca="false">IFERROR(__xludf.dummyfunction("AVERAGE(FILTER('__flatlist__'!I$2:I1012,('__flatlist__'!$A$2:$A1012=$A33)))"),4.0952380952381)</f>
        <v>4.095238095</v>
      </c>
      <c r="J33" s="8" t="n">
        <f aca="false">AVERAGE(E33:I33)</f>
        <v>3.8476190476</v>
      </c>
      <c r="K33" s="22"/>
      <c r="M33" s="2"/>
      <c r="N33" s="10"/>
    </row>
    <row r="34" customFormat="false" ht="15.75" hidden="true" customHeight="false" outlineLevel="0" collapsed="false">
      <c r="A34" s="21" t="str">
        <f aca="false">'🤖 Claude Haiku 3.5'!$A$42</f>
        <v>https://www.berria.eus/kultura/mikroipuinak-txikiak-baina-ez-hutsalak_2121931_102.html</v>
      </c>
      <c r="B34" s="4"/>
      <c r="D34" s="7" t="n">
        <f aca="false">IFERROR(__xludf.dummyfunction("AVERAGE(FILTER('__flatlist__'!D$2:D1012,('__flatlist__'!$A$2:$A1012=$A34)))"),0.216479238754325)</f>
        <v>0.2164792388</v>
      </c>
      <c r="E34" s="8" t="n">
        <f aca="false">IFERROR(__xludf.dummyfunction("AVERAGE(FILTER('__flatlist__'!E$2:E1012,('__flatlist__'!$A$2:$A1012=$A34)))"),3.61904761904762)</f>
        <v>3.619047619</v>
      </c>
      <c r="F34" s="8" t="n">
        <f aca="false">IFERROR(__xludf.dummyfunction("AVERAGE(FILTER('__flatlist__'!F$2:F1012,('__flatlist__'!$A$2:$A1012=$A34)))"),4.61904761904762)</f>
        <v>4.619047619</v>
      </c>
      <c r="G34" s="8" t="n">
        <f aca="false">IFERROR(__xludf.dummyfunction("AVERAGE(FILTER('__flatlist__'!G$2:G1012,('__flatlist__'!$A$2:$A1012=$A34)))"),3.61904761904762)</f>
        <v>3.619047619</v>
      </c>
      <c r="H34" s="8" t="n">
        <f aca="false">IFERROR(__xludf.dummyfunction("AVERAGE(FILTER('__flatlist__'!H$2:H1012,('__flatlist__'!$A$2:$A1012=$A34)))"),3.71428571428571)</f>
        <v>3.714285714</v>
      </c>
      <c r="I34" s="8" t="n">
        <f aca="false">IFERROR(__xludf.dummyfunction("AVERAGE(FILTER('__flatlist__'!I$2:I1012,('__flatlist__'!$A$2:$A1012=$A34)))"),3.80952380952381)</f>
        <v>3.80952381</v>
      </c>
      <c r="J34" s="8" t="n">
        <f aca="false">AVERAGE(E34:I34)</f>
        <v>3.8761904762</v>
      </c>
      <c r="K34" s="22"/>
      <c r="M34" s="2"/>
      <c r="N34" s="10"/>
    </row>
    <row r="35" customFormat="false" ht="15.75" hidden="true" customHeight="false" outlineLevel="0" collapsed="false">
      <c r="A35" s="21" t="str">
        <f aca="false">'🤖 Claude Haiku 3.5'!$A$47</f>
        <v>https://www.berria.eus/euskal-herria/guardia-zibilak-dio-europako-speed-laborategi-handiena-aurkitu-duela-euskal-herrian_2125543_102.html</v>
      </c>
      <c r="B35" s="4"/>
      <c r="D35" s="7" t="n">
        <f aca="false">IFERROR(__xludf.dummyfunction("AVERAGE(FILTER('__flatlist__'!D$2:D1012,('__flatlist__'!$A$2:$A1012=$A35)))"),0.395238095238095)</f>
        <v>0.3952380952</v>
      </c>
      <c r="E35" s="8" t="n">
        <f aca="false">IFERROR(__xludf.dummyfunction("AVERAGE(FILTER('__flatlist__'!E$2:E1012,('__flatlist__'!$A$2:$A1012=$A35)))"),3.28571428571429)</f>
        <v>3.285714286</v>
      </c>
      <c r="F35" s="8" t="n">
        <f aca="false">IFERROR(__xludf.dummyfunction("AVERAGE(FILTER('__flatlist__'!F$2:F1012,('__flatlist__'!$A$2:$A1012=$A35)))"),4.38095238095238)</f>
        <v>4.380952381</v>
      </c>
      <c r="G35" s="8" t="n">
        <f aca="false">IFERROR(__xludf.dummyfunction("AVERAGE(FILTER('__flatlist__'!G$2:G1012,('__flatlist__'!$A$2:$A1012=$A35)))"),4.14285714285714)</f>
        <v>4.142857143</v>
      </c>
      <c r="H35" s="8" t="n">
        <f aca="false">IFERROR(__xludf.dummyfunction("AVERAGE(FILTER('__flatlist__'!H$2:H1012,('__flatlist__'!$A$2:$A1012=$A35)))"),3.95238095238095)</f>
        <v>3.952380952</v>
      </c>
      <c r="I35" s="8" t="n">
        <f aca="false">IFERROR(__xludf.dummyfunction("AVERAGE(FILTER('__flatlist__'!I$2:I1012,('__flatlist__'!$A$2:$A1012=$A35)))"),4)</f>
        <v>4</v>
      </c>
      <c r="J35" s="8" t="n">
        <f aca="false">AVERAGE(E35:I35)</f>
        <v>3.9523809524</v>
      </c>
      <c r="K35" s="22"/>
      <c r="M35" s="2"/>
      <c r="N35" s="10"/>
    </row>
    <row r="36" customFormat="false" ht="15.75" hidden="false" customHeight="false" outlineLevel="0" collapsed="false">
      <c r="A36" s="23"/>
      <c r="B36" s="4" t="s">
        <v>17</v>
      </c>
      <c r="D36" s="7" t="n">
        <f aca="false">IFERROR(__xludf.dummyfunction("AVERAGE(FILTER('__flatlist__'!D$2:D1012,('__flatlist__'!$B$2:$B1012=$B36)))"),0.135312036300076)</f>
        <v>0.1353120363</v>
      </c>
      <c r="E36" s="8" t="n">
        <f aca="false">IFERROR(__xludf.dummyfunction("AVERAGE(FILTER('__flatlist__'!E$2:E1012,('__flatlist__'!$B$2:$B1012=$B36)))"),3.275)</f>
        <v>3.275</v>
      </c>
      <c r="F36" s="8" t="n">
        <f aca="false">IFERROR(__xludf.dummyfunction("AVERAGE(FILTER('__flatlist__'!F$2:F1012,('__flatlist__'!$B$2:$B1012=$B36)))"),4.625)</f>
        <v>4.625</v>
      </c>
      <c r="G36" s="8" t="n">
        <f aca="false">IFERROR(__xludf.dummyfunction("AVERAGE(FILTER('__flatlist__'!G$2:G1012,('__flatlist__'!$B$2:$B1012=$B36)))"),3.425)</f>
        <v>3.425</v>
      </c>
      <c r="H36" s="8" t="n">
        <f aca="false">IFERROR(__xludf.dummyfunction("AVERAGE(FILTER('__flatlist__'!H$2:H1012,('__flatlist__'!$B$2:$B1012=$B36)))"),3.425)</f>
        <v>3.425</v>
      </c>
      <c r="I36" s="8" t="n">
        <f aca="false">IFERROR(__xludf.dummyfunction("AVERAGE(FILTER('__flatlist__'!I$2:I1012,('__flatlist__'!$B$2:$B1012=$B36)))"),4.475)</f>
        <v>4.475</v>
      </c>
      <c r="J36" s="8" t="n">
        <f aca="false">AVERAGE(E36:I36)</f>
        <v>3.845</v>
      </c>
      <c r="K36" s="24" t="n">
        <f aca="false">RANK(J36,$J$36:$J$40,FALSE())</f>
        <v>4</v>
      </c>
      <c r="M36" s="2"/>
      <c r="N36" s="10"/>
    </row>
    <row r="37" customFormat="false" ht="15.75" hidden="false" customHeight="false" outlineLevel="0" collapsed="false">
      <c r="A37" s="23"/>
      <c r="B37" s="4" t="s">
        <v>21</v>
      </c>
      <c r="D37" s="7" t="n">
        <f aca="false">IFERROR(__xludf.dummyfunction("AVERAGE(FILTER('__flatlist__'!D$2:D1012,('__flatlist__'!$B$2:$B1012=$B37)))"),0.183503129236572)</f>
        <v>0.1835031292</v>
      </c>
      <c r="E37" s="8" t="n">
        <f aca="false">IFERROR(__xludf.dummyfunction("AVERAGE(FILTER('__flatlist__'!E$2:E1012,('__flatlist__'!$B$2:$B1012=$B37)))"),2.35)</f>
        <v>2.35</v>
      </c>
      <c r="F37" s="8" t="n">
        <f aca="false">IFERROR(__xludf.dummyfunction("AVERAGE(FILTER('__flatlist__'!F$2:F1012,('__flatlist__'!$B$2:$B1012=$B37)))"),3.375)</f>
        <v>3.375</v>
      </c>
      <c r="G37" s="8" t="n">
        <f aca="false">IFERROR(__xludf.dummyfunction("AVERAGE(FILTER('__flatlist__'!G$2:G1012,('__flatlist__'!$B$2:$B1012=$B37)))"),2.425)</f>
        <v>2.425</v>
      </c>
      <c r="H37" s="8" t="n">
        <f aca="false">IFERROR(__xludf.dummyfunction("AVERAGE(FILTER('__flatlist__'!H$2:H1012,('__flatlist__'!$B$2:$B1012=$B37)))"),2.625)</f>
        <v>2.625</v>
      </c>
      <c r="I37" s="8" t="n">
        <f aca="false">IFERROR(__xludf.dummyfunction("AVERAGE(FILTER('__flatlist__'!I$2:I1012,('__flatlist__'!$B$2:$B1012=$B37)))"),3.225)</f>
        <v>3.225</v>
      </c>
      <c r="J37" s="8" t="n">
        <f aca="false">AVERAGE(E37:I37)</f>
        <v>2.8</v>
      </c>
      <c r="K37" s="25" t="n">
        <f aca="false">RANK(J37,$J$36:$J$40,FALSE())</f>
        <v>5</v>
      </c>
      <c r="M37" s="2"/>
      <c r="N37" s="10"/>
    </row>
    <row r="38" customFormat="false" ht="15.75" hidden="false" customHeight="false" outlineLevel="0" collapsed="false">
      <c r="A38" s="23"/>
      <c r="B38" s="4" t="s">
        <v>22</v>
      </c>
      <c r="D38" s="7" t="n">
        <f aca="false">IFERROR(__xludf.dummyfunction("AVERAGE(FILTER('__flatlist__'!D$2:D1012,('__flatlist__'!$B$2:$B1012=$B38)))"),0.126267391591651)</f>
        <v>0.1262673916</v>
      </c>
      <c r="E38" s="8" t="n">
        <f aca="false">IFERROR(__xludf.dummyfunction("AVERAGE(FILTER('__flatlist__'!E$2:E1012,('__flatlist__'!$B$2:$B1012=$B38)))"),3.65)</f>
        <v>3.65</v>
      </c>
      <c r="F38" s="8" t="n">
        <f aca="false">IFERROR(__xludf.dummyfunction("AVERAGE(FILTER('__flatlist__'!F$2:F1012,('__flatlist__'!$B$2:$B1012=$B38)))"),4.425)</f>
        <v>4.425</v>
      </c>
      <c r="G38" s="8" t="n">
        <f aca="false">IFERROR(__xludf.dummyfunction("AVERAGE(FILTER('__flatlist__'!G$2:G1012,('__flatlist__'!$B$2:$B1012=$B38)))"),4.45)</f>
        <v>4.45</v>
      </c>
      <c r="H38" s="8" t="n">
        <f aca="false">IFERROR(__xludf.dummyfunction("AVERAGE(FILTER('__flatlist__'!H$2:H1012,('__flatlist__'!$B$2:$B1012=$B38)))"),3.7)</f>
        <v>3.7</v>
      </c>
      <c r="I38" s="8" t="n">
        <f aca="false">IFERROR(__xludf.dummyfunction("AVERAGE(FILTER('__flatlist__'!I$2:I1012,('__flatlist__'!$B$2:$B1012=$B38)))"),4.55)</f>
        <v>4.55</v>
      </c>
      <c r="J38" s="8" t="n">
        <f aca="false">AVERAGE(E38:I38)</f>
        <v>4.155</v>
      </c>
      <c r="K38" s="25" t="n">
        <f aca="false">RANK(J38,$J$36:$J$40,FALSE())</f>
        <v>1</v>
      </c>
      <c r="M38" s="2"/>
      <c r="N38" s="10"/>
    </row>
    <row r="39" customFormat="false" ht="15.75" hidden="false" customHeight="false" outlineLevel="0" collapsed="false">
      <c r="A39" s="4"/>
      <c r="B39" s="4" t="s">
        <v>23</v>
      </c>
      <c r="D39" s="7" t="n">
        <f aca="false">IFERROR(__xludf.dummyfunction("AVERAGE(FILTER('__flatlist__'!D$2:D1012,('__flatlist__'!$B$2:$B1012=$B39)))"),0.0921200004727706)</f>
        <v>0.09212000047</v>
      </c>
      <c r="E39" s="8" t="n">
        <f aca="false">IFERROR(__xludf.dummyfunction("AVERAGE(FILTER('__flatlist__'!E$2:E1012,('__flatlist__'!$B$2:$B1012=$B39)))"),3.6)</f>
        <v>3.6</v>
      </c>
      <c r="F39" s="8" t="n">
        <f aca="false">IFERROR(__xludf.dummyfunction("AVERAGE(FILTER('__flatlist__'!F$2:F1012,('__flatlist__'!$B$2:$B1012=$B39)))"),4.05)</f>
        <v>4.05</v>
      </c>
      <c r="G39" s="8" t="n">
        <f aca="false">IFERROR(__xludf.dummyfunction("AVERAGE(FILTER('__flatlist__'!G$2:G1012,('__flatlist__'!$B$2:$B1012=$B39)))"),3.7)</f>
        <v>3.7</v>
      </c>
      <c r="H39" s="8" t="n">
        <f aca="false">IFERROR(__xludf.dummyfunction("AVERAGE(FILTER('__flatlist__'!H$2:H1012,('__flatlist__'!$B$2:$B1012=$B39)))"),4.1)</f>
        <v>4.1</v>
      </c>
      <c r="I39" s="8" t="n">
        <f aca="false">IFERROR(__xludf.dummyfunction("AVERAGE(FILTER('__flatlist__'!I$2:I1012,('__flatlist__'!$B$2:$B1012=$B39)))"),3.9)</f>
        <v>3.9</v>
      </c>
      <c r="J39" s="8" t="n">
        <f aca="false">AVERAGE(E39:I39)</f>
        <v>3.87</v>
      </c>
      <c r="K39" s="25" t="n">
        <f aca="false">RANK(J39,$J$36:$J$40,FALSE())</f>
        <v>3</v>
      </c>
      <c r="M39" s="2"/>
      <c r="N39" s="10"/>
    </row>
    <row r="40" customFormat="false" ht="15.75" hidden="false" customHeight="false" outlineLevel="0" collapsed="false">
      <c r="A40" s="23"/>
      <c r="B40" s="9" t="s">
        <v>24</v>
      </c>
      <c r="D40" s="7" t="n">
        <f aca="false">IFERROR(__xludf.dummyfunction("AVERAGE(FILTER('__flatlist__'!D$2:D1012,('__flatlist__'!$B$2:$B1012=$B40)))"),0.0787964142069416)</f>
        <v>0.07879641421</v>
      </c>
      <c r="E40" s="8" t="n">
        <f aca="false">IFERROR(__xludf.dummyfunction("AVERAGE(FILTER('__flatlist__'!E$2:E1012,('__flatlist__'!$B$2:$B1012=$B40)))"),3.475)</f>
        <v>3.475</v>
      </c>
      <c r="F40" s="8" t="n">
        <f aca="false">IFERROR(__xludf.dummyfunction("AVERAGE(FILTER('__flatlist__'!F$2:F1012,('__flatlist__'!$B$2:$B1012=$B40)))"),4.45)</f>
        <v>4.45</v>
      </c>
      <c r="G40" s="8" t="n">
        <f aca="false">IFERROR(__xludf.dummyfunction("AVERAGE(FILTER('__flatlist__'!G$2:G1012,('__flatlist__'!$B$2:$B1012=$B40)))"),4.025)</f>
        <v>4.025</v>
      </c>
      <c r="H40" s="8" t="n">
        <f aca="false">IFERROR(__xludf.dummyfunction("AVERAGE(FILTER('__flatlist__'!H$2:H1012,('__flatlist__'!$B$2:$B1012=$B40)))"),4.125)</f>
        <v>4.125</v>
      </c>
      <c r="I40" s="8" t="n">
        <f aca="false">IFERROR(__xludf.dummyfunction("AVERAGE(FILTER('__flatlist__'!I$2:I1012,('__flatlist__'!$B$2:$B1012=$B40)))"),3.475)</f>
        <v>3.475</v>
      </c>
      <c r="J40" s="8" t="n">
        <f aca="false">AVERAGE(E40:I40)</f>
        <v>3.91</v>
      </c>
      <c r="K40" s="26" t="n">
        <f aca="false">RANK(J40,$J$36:$J$40,FALSE())</f>
        <v>2</v>
      </c>
      <c r="M40" s="2"/>
      <c r="N40" s="10"/>
    </row>
    <row r="41" customFormat="false" ht="15.75" hidden="false" customHeight="false" outlineLevel="0" collapsed="false">
      <c r="A41" s="27"/>
      <c r="B41" s="17"/>
      <c r="C41" s="28" t="s">
        <v>18</v>
      </c>
      <c r="D41" s="18" t="n">
        <f aca="false">IFERROR(__xludf.dummyfunction("AVERAGE(FILTER('__flatlist__'!D$2:D1012,('__flatlist__'!$C$2:$C1012=$C41)))"),0.14341152535008)</f>
        <v>0.1434115254</v>
      </c>
      <c r="E41" s="29" t="n">
        <f aca="false">IFERROR(__xludf.dummyfunction("AVERAGE(FILTER('__flatlist__'!E$2:E1012,('__flatlist__'!$C$2:$C1012=$C41)))"),3.46)</f>
        <v>3.46</v>
      </c>
      <c r="F41" s="29" t="n">
        <f aca="false">IFERROR(__xludf.dummyfunction("AVERAGE(FILTER('__flatlist__'!F$2:F1012,('__flatlist__'!$C$2:$C1012=$C41)))"),4.18)</f>
        <v>4.18</v>
      </c>
      <c r="G41" s="29" t="n">
        <f aca="false">IFERROR(__xludf.dummyfunction("AVERAGE(FILTER('__flatlist__'!G$2:G1012,('__flatlist__'!$C$2:$C1012=$C41)))"),3.48)</f>
        <v>3.48</v>
      </c>
      <c r="H41" s="29" t="n">
        <f aca="false">IFERROR(__xludf.dummyfunction("AVERAGE(FILTER('__flatlist__'!H$2:H1012,('__flatlist__'!$C$2:$C1012=$C41)))"),3.36)</f>
        <v>3.36</v>
      </c>
      <c r="I41" s="29" t="n">
        <f aca="false">IFERROR(__xludf.dummyfunction("AVERAGE(FILTER('__flatlist__'!I$2:I1012,('__flatlist__'!$C$2:$C1012=$C41)))"),4.28)</f>
        <v>4.28</v>
      </c>
      <c r="J41" s="29" t="n">
        <f aca="false">AVERAGE(E41:I41)</f>
        <v>3.752</v>
      </c>
      <c r="K41" s="25" t="n">
        <f aca="false">RANK(J41,$J$41:$J$44,FALSE())</f>
        <v>2</v>
      </c>
      <c r="M41" s="2"/>
      <c r="N41" s="10"/>
    </row>
    <row r="42" customFormat="false" ht="15.75" hidden="false" customHeight="false" outlineLevel="0" collapsed="false">
      <c r="A42" s="30"/>
      <c r="C42" s="6" t="s">
        <v>19</v>
      </c>
      <c r="D42" s="7" t="n">
        <f aca="false">IFERROR(__xludf.dummyfunction("AVERAGE(FILTER('__flatlist__'!D$2:D1012,('__flatlist__'!$C$2:$C1012=$C42)))"),0.100561386914734)</f>
        <v>0.1005613869</v>
      </c>
      <c r="E42" s="10" t="n">
        <f aca="false">IFERROR(__xludf.dummyfunction("AVERAGE(FILTER('__flatlist__'!E$2:E1012,('__flatlist__'!$C$2:$C1012=$C42)))"),3.42)</f>
        <v>3.42</v>
      </c>
      <c r="F42" s="10" t="n">
        <f aca="false">IFERROR(__xludf.dummyfunction("AVERAGE(FILTER('__flatlist__'!F$2:F1012,('__flatlist__'!$C$2:$C1012=$C42)))"),4.2)</f>
        <v>4.2</v>
      </c>
      <c r="G42" s="10" t="n">
        <f aca="false">IFERROR(__xludf.dummyfunction("AVERAGE(FILTER('__flatlist__'!G$2:G1012,('__flatlist__'!$C$2:$C1012=$C42)))"),3.84)</f>
        <v>3.84</v>
      </c>
      <c r="H42" s="10" t="n">
        <f aca="false">IFERROR(__xludf.dummyfunction("AVERAGE(FILTER('__flatlist__'!H$2:H1012,('__flatlist__'!$C$2:$C1012=$C42)))"),3.58)</f>
        <v>3.58</v>
      </c>
      <c r="I42" s="10" t="n">
        <f aca="false">IFERROR(__xludf.dummyfunction("AVERAGE(FILTER('__flatlist__'!I$2:I1012,('__flatlist__'!$C$2:$C1012=$C42)))"),3.44)</f>
        <v>3.44</v>
      </c>
      <c r="J42" s="10" t="n">
        <f aca="false">AVERAGE(E42:I42)</f>
        <v>3.696</v>
      </c>
      <c r="K42" s="25" t="n">
        <f aca="false">RANK(J42,$J$41:$J$44,FALSE())</f>
        <v>3</v>
      </c>
      <c r="M42" s="2"/>
      <c r="N42" s="10"/>
    </row>
    <row r="43" customFormat="false" ht="15.75" hidden="false" customHeight="false" outlineLevel="0" collapsed="false">
      <c r="A43" s="30"/>
      <c r="C43" s="6" t="s">
        <v>8</v>
      </c>
      <c r="D43" s="7" t="n">
        <f aca="false">IFERROR(__xludf.dummyfunction("AVERAGE(FILTER('__flatlist__'!D$2:D1012,('__flatlist__'!$C$2:$C1012=$C43)))"),0.132834733692324)</f>
        <v>0.1328347337</v>
      </c>
      <c r="E43" s="10" t="n">
        <f aca="false">IFERROR(__xludf.dummyfunction("AVERAGE(FILTER('__flatlist__'!E$2:E1012,('__flatlist__'!$C$2:$C1012=$C43)))"),2.56)</f>
        <v>2.56</v>
      </c>
      <c r="F43" s="10" t="n">
        <f aca="false">IFERROR(__xludf.dummyfunction("AVERAGE(FILTER('__flatlist__'!F$2:F1012,('__flatlist__'!$C$2:$C1012=$C43)))"),4.06)</f>
        <v>4.06</v>
      </c>
      <c r="G43" s="10" t="n">
        <f aca="false">IFERROR(__xludf.dummyfunction("AVERAGE(FILTER('__flatlist__'!G$2:G1012,('__flatlist__'!$C$2:$C1012=$C43)))"),3.9)</f>
        <v>3.9</v>
      </c>
      <c r="H43" s="10" t="n">
        <f aca="false">IFERROR(__xludf.dummyfunction("AVERAGE(FILTER('__flatlist__'!H$2:H1012,('__flatlist__'!$C$2:$C1012=$C43)))"),3.3)</f>
        <v>3.3</v>
      </c>
      <c r="I43" s="10" t="n">
        <f aca="false">IFERROR(__xludf.dummyfunction("AVERAGE(FILTER('__flatlist__'!I$2:I1012,('__flatlist__'!$C$2:$C1012=$C43)))"),4.06)</f>
        <v>4.06</v>
      </c>
      <c r="J43" s="10" t="n">
        <f aca="false">AVERAGE(E43:I43)</f>
        <v>3.576</v>
      </c>
      <c r="K43" s="25" t="n">
        <f aca="false">RANK(J43,$J$41:$J$44,FALSE())</f>
        <v>4</v>
      </c>
      <c r="M43" s="2"/>
      <c r="N43" s="10"/>
    </row>
    <row r="44" customFormat="false" ht="15.75" hidden="false" customHeight="false" outlineLevel="0" collapsed="false">
      <c r="A44" s="31"/>
      <c r="B44" s="32"/>
      <c r="C44" s="33" t="s">
        <v>20</v>
      </c>
      <c r="D44" s="34" t="n">
        <f aca="false">IFERROR(__xludf.dummyfunction("AVERAGE(FILTER('__flatlist__'!D$2:D1012,('__flatlist__'!$C$2:$C1012=$C44)))"),0.11599153148927)</f>
        <v>0.1159915315</v>
      </c>
      <c r="E44" s="35" t="n">
        <f aca="false">IFERROR(__xludf.dummyfunction("AVERAGE(FILTER('__flatlist__'!E$2:E1012,('__flatlist__'!$C$2:$C1012=$C44)))"),3.64)</f>
        <v>3.64</v>
      </c>
      <c r="F44" s="35" t="n">
        <f aca="false">IFERROR(__xludf.dummyfunction("AVERAGE(FILTER('__flatlist__'!F$2:F1012,('__flatlist__'!$C$2:$C1012=$C44)))"),4.3)</f>
        <v>4.3</v>
      </c>
      <c r="G44" s="35" t="n">
        <f aca="false">IFERROR(__xludf.dummyfunction("AVERAGE(FILTER('__flatlist__'!G$2:G1012,('__flatlist__'!$C$2:$C1012=$C44)))"),3.2)</f>
        <v>3.2</v>
      </c>
      <c r="H44" s="35" t="n">
        <f aca="false">IFERROR(__xludf.dummyfunction("AVERAGE(FILTER('__flatlist__'!H$2:H1012,('__flatlist__'!$C$2:$C1012=$C44)))"),4.14)</f>
        <v>4.14</v>
      </c>
      <c r="I44" s="35" t="n">
        <f aca="false">IFERROR(__xludf.dummyfunction("AVERAGE(FILTER('__flatlist__'!I$2:I1012,('__flatlist__'!$C$2:$C1012=$C44)))"),3.92)</f>
        <v>3.92</v>
      </c>
      <c r="J44" s="35" t="n">
        <f aca="false">AVERAGE(E44:I44)</f>
        <v>3.84</v>
      </c>
      <c r="K44" s="26" t="n">
        <f aca="false">RANK(J44,$J$41:$J$44,FALSE())</f>
        <v>1</v>
      </c>
      <c r="M44" s="2"/>
      <c r="N44" s="10"/>
    </row>
    <row r="45" customFormat="false" ht="15.75" hidden="false" customHeight="false" outlineLevel="0" collapsed="false">
      <c r="A45" s="2"/>
      <c r="B45" s="2"/>
      <c r="C45" s="10"/>
    </row>
    <row r="46" customFormat="false" ht="15.75" hidden="false" customHeight="false" outlineLevel="0" collapsed="false">
      <c r="A46" s="36"/>
      <c r="B46" s="37"/>
      <c r="C46" s="37"/>
      <c r="D46" s="38" t="s">
        <v>26</v>
      </c>
      <c r="E46" s="38"/>
      <c r="F46" s="38"/>
      <c r="G46" s="38"/>
      <c r="H46" s="38"/>
      <c r="I46" s="38"/>
      <c r="M46" s="2"/>
      <c r="N46" s="10"/>
    </row>
    <row r="47" customFormat="false" ht="15.75" hidden="true" customHeight="false" outlineLevel="0" collapsed="false">
      <c r="A47" s="15" t="str">
        <f aca="false">'🤖 Claude Haiku 3.5'!$A$2</f>
        <v>https://www.berria.eus/ekonomia/urte-eta-erdiko-kartzela-zigorra-eta-30000-euroko-kalte-ordainak-zorroza-gestion-enpresan-hil-zen-langileagatik_2124960_102.html</v>
      </c>
      <c r="B47" s="16"/>
      <c r="C47" s="17"/>
      <c r="D47" s="18" t="n">
        <f aca="false">IFERROR(__xludf.dummyfunction("STDEV(FILTER('__flatlist__'!D$2:D1012,('__flatlist__'!$A$2:$A1012=$A47)))"),0.30579590248949)</f>
        <v>0.3057959025</v>
      </c>
      <c r="E47" s="29" t="n">
        <f aca="false">IFERROR(__xludf.dummyfunction("STDEV(FILTER('__flatlist__'!E$2:E1012,('__flatlist__'!$A$2:$A1012=$A47)))"),0.864649667564296)</f>
        <v>0.8646496676</v>
      </c>
      <c r="F47" s="29" t="n">
        <f aca="false">IFERROR(__xludf.dummyfunction("STDEV(FILTER('__flatlist__'!F$2:F1012,('__flatlist__'!$A$2:$A1012=$A47)))"),0.658280588604383)</f>
        <v>0.6582805886</v>
      </c>
      <c r="G47" s="29" t="n">
        <f aca="false">IFERROR(__xludf.dummyfunction("STDEV(FILTER('__flatlist__'!G$2:G1012,('__flatlist__'!$A$2:$A1012=$A47)))"),1.10194633003868)</f>
        <v>1.10194633</v>
      </c>
      <c r="H47" s="29" t="n">
        <f aca="false">IFERROR(__xludf.dummyfunction("STDEV(FILTER('__flatlist__'!H$2:H1012,('__flatlist__'!$A$2:$A1012=$A47)))"),1.20712172424444)</f>
        <v>1.207121724</v>
      </c>
      <c r="I47" s="39" t="n">
        <f aca="false">IFERROR(__xludf.dummyfunction("STDEV(FILTER('__flatlist__'!I$2:I1012,('__flatlist__'!$A$2:$A1012=$A47)))"),0.813575295780766)</f>
        <v>0.8135752958</v>
      </c>
      <c r="M47" s="2"/>
      <c r="N47" s="10"/>
    </row>
    <row r="48" customFormat="false" ht="15.75" hidden="true" customHeight="false" outlineLevel="0" collapsed="false">
      <c r="A48" s="21" t="str">
        <f aca="false">'🤖 Claude Haiku 3.5'!$A$7</f>
        <v>https://www.berria.eus/kirola/hirutik-hiru-jaka-mariezkurrenarentzat_2117677_102.html</v>
      </c>
      <c r="B48" s="4"/>
      <c r="D48" s="7" t="n">
        <f aca="false">IFERROR(__xludf.dummyfunction("STDEV(FILTER('__flatlist__'!D$2:D1012,('__flatlist__'!$A$2:$A1012=$A48)))"),0.335410732450967)</f>
        <v>0.3354107325</v>
      </c>
      <c r="E48" s="10" t="n">
        <f aca="false">IFERROR(__xludf.dummyfunction("STDEV(FILTER('__flatlist__'!E$2:E1012,('__flatlist__'!$A$2:$A1012=$A48)))"),0.872871560943969)</f>
        <v>0.8728715609</v>
      </c>
      <c r="F48" s="10" t="n">
        <f aca="false">IFERROR(__xludf.dummyfunction("STDEV(FILTER('__flatlist__'!F$2:F1012,('__flatlist__'!$A$2:$A1012=$A48)))"),1.02353263143832)</f>
        <v>1.023532631</v>
      </c>
      <c r="G48" s="10" t="n">
        <f aca="false">IFERROR(__xludf.dummyfunction("STDEV(FILTER('__flatlist__'!G$2:G1012,('__flatlist__'!$A$2:$A1012=$A48)))"),1.16086995293144)</f>
        <v>1.160869953</v>
      </c>
      <c r="H48" s="10" t="n">
        <f aca="false">IFERROR(__xludf.dummyfunction("STDEV(FILTER('__flatlist__'!H$2:H1012,('__flatlist__'!$A$2:$A1012=$A48)))"),1.16086995293144)</f>
        <v>1.160869953</v>
      </c>
      <c r="I48" s="40" t="n">
        <f aca="false">IFERROR(__xludf.dummyfunction("STDEV(FILTER('__flatlist__'!I$2:I1012,('__flatlist__'!$A$2:$A1012=$A48)))"),0.995226703056239)</f>
        <v>0.9952267031</v>
      </c>
      <c r="M48" s="2"/>
      <c r="N48" s="10"/>
    </row>
    <row r="49" customFormat="false" ht="15.75" hidden="true" customHeight="false" outlineLevel="0" collapsed="false">
      <c r="A49" s="21" t="str">
        <f aca="false">'🤖 Claude Haiku 3.5'!$A$12</f>
        <v>https://www.berria.eus/bizigiro/larreen-eta-larrabereen-balioaz_2126273_102.html</v>
      </c>
      <c r="B49" s="4"/>
      <c r="D49" s="7" t="n">
        <f aca="false">IFERROR(__xludf.dummyfunction("STDEV(FILTER('__flatlist__'!D$2:D1012,('__flatlist__'!$A$2:$A1012=$A49)))"),0.144315499047672)</f>
        <v>0.144315499</v>
      </c>
      <c r="E49" s="10" t="n">
        <f aca="false">IFERROR(__xludf.dummyfunction("STDEV(FILTER('__flatlist__'!E$2:E1012,('__flatlist__'!$A$2:$A1012=$A49)))"),0.966091783079296)</f>
        <v>0.9660917831</v>
      </c>
      <c r="F49" s="10" t="n">
        <f aca="false">IFERROR(__xludf.dummyfunction("STDEV(FILTER('__flatlist__'!F$2:F1012,('__flatlist__'!$A$2:$A1012=$A49)))"),0.717137165600636)</f>
        <v>0.7171371656</v>
      </c>
      <c r="G49" s="10" t="n">
        <f aca="false">IFERROR(__xludf.dummyfunction("STDEV(FILTER('__flatlist__'!G$2:G1012,('__flatlist__'!$A$2:$A1012=$A49)))"),0.980767435177556)</f>
        <v>0.9807674352</v>
      </c>
      <c r="H49" s="10" t="n">
        <f aca="false">IFERROR(__xludf.dummyfunction("STDEV(FILTER('__flatlist__'!H$2:H1012,('__flatlist__'!$A$2:$A1012=$A49)))"),0.956182887467515)</f>
        <v>0.9561828875</v>
      </c>
      <c r="I49" s="40" t="n">
        <f aca="false">IFERROR(__xludf.dummyfunction("STDEV(FILTER('__flatlist__'!I$2:I1012,('__flatlist__'!$A$2:$A1012=$A49)))"),1.07791686224159)</f>
        <v>1.077916862</v>
      </c>
      <c r="M49" s="2"/>
      <c r="N49" s="10"/>
    </row>
    <row r="50" customFormat="false" ht="15.75" hidden="true" customHeight="false" outlineLevel="0" collapsed="false">
      <c r="A50" s="21" t="str">
        <f aca="false">'🤖 Claude Haiku 3.5'!$A$17</f>
        <v>https://www.berria.eus/kirola/olatua-hartuta-parisera_2121856_102.html</v>
      </c>
      <c r="B50" s="4"/>
      <c r="D50" s="7" t="n">
        <f aca="false">IFERROR(__xludf.dummyfunction("STDEV(FILTER('__flatlist__'!D$2:D1012,('__flatlist__'!$A$2:$A1012=$A50)))"),0.388570380370469)</f>
        <v>0.3885703804</v>
      </c>
      <c r="E50" s="10" t="n">
        <f aca="false">IFERROR(__xludf.dummyfunction("STDEV(FILTER('__flatlist__'!E$2:E1012,('__flatlist__'!$A$2:$A1012=$A50)))"),1.01653004546513)</f>
        <v>1.016530045</v>
      </c>
      <c r="F50" s="10" t="n">
        <f aca="false">IFERROR(__xludf.dummyfunction("STDEV(FILTER('__flatlist__'!F$2:F1012,('__flatlist__'!$A$2:$A1012=$A50)))"),1.01418510567422)</f>
        <v>1.014185106</v>
      </c>
      <c r="G50" s="10" t="n">
        <f aca="false">IFERROR(__xludf.dummyfunction("STDEV(FILTER('__flatlist__'!G$2:G1012,('__flatlist__'!$A$2:$A1012=$A50)))"),1.4309504001254)</f>
        <v>1.4309504</v>
      </c>
      <c r="H50" s="10" t="n">
        <f aca="false">IFERROR(__xludf.dummyfunction("STDEV(FILTER('__flatlist__'!H$2:H1012,('__flatlist__'!$A$2:$A1012=$A50)))"),1.1084094137869)</f>
        <v>1.108409414</v>
      </c>
      <c r="I50" s="40" t="n">
        <f aca="false">IFERROR(__xludf.dummyfunction("STDEV(FILTER('__flatlist__'!I$2:I1012,('__flatlist__'!$A$2:$A1012=$A50)))"),1.09108945117996)</f>
        <v>1.091089451</v>
      </c>
      <c r="M50" s="2"/>
      <c r="N50" s="10"/>
    </row>
    <row r="51" customFormat="false" ht="15.75" hidden="true" customHeight="false" outlineLevel="0" collapsed="false">
      <c r="A51" s="21" t="str">
        <f aca="false">'🤖 Claude Haiku 3.5'!$A$22</f>
        <v>https://www.berria.eus/bizigiro/badago-ezkutuan-dagoen-sektore-bat-sarietatik-kanpo-idazten-ari-dena_2119644_102.html</v>
      </c>
      <c r="B51" s="4"/>
      <c r="D51" s="7" t="n">
        <f aca="false">IFERROR(__xludf.dummyfunction("STDEV(FILTER('__flatlist__'!D$2:D1012,('__flatlist__'!$A$2:$A1012=$A51)))"),0.316586331902299)</f>
        <v>0.3165863319</v>
      </c>
      <c r="E51" s="10" t="n">
        <f aca="false">IFERROR(__xludf.dummyfunction("STDEV(FILTER('__flatlist__'!E$2:E1012,('__flatlist__'!$A$2:$A1012=$A51)))"),1.01418510567422)</f>
        <v>1.014185106</v>
      </c>
      <c r="F51" s="10" t="n">
        <f aca="false">IFERROR(__xludf.dummyfunction("STDEV(FILTER('__flatlist__'!F$2:F1012,('__flatlist__'!$A$2:$A1012=$A51)))"),1.20909253653505)</f>
        <v>1.209092537</v>
      </c>
      <c r="G51" s="10" t="n">
        <f aca="false">IFERROR(__xludf.dummyfunction("STDEV(FILTER('__flatlist__'!G$2:G1012,('__flatlist__'!$A$2:$A1012=$A51)))"),1.40068010691405)</f>
        <v>1.400680107</v>
      </c>
      <c r="H51" s="10" t="n">
        <f aca="false">IFERROR(__xludf.dummyfunction("STDEV(FILTER('__flatlist__'!H$2:H1012,('__flatlist__'!$A$2:$A1012=$A51)))"),1.13599128098599)</f>
        <v>1.135991281</v>
      </c>
      <c r="I51" s="40" t="n">
        <f aca="false">IFERROR(__xludf.dummyfunction("STDEV(FILTER('__flatlist__'!I$2:I1012,('__flatlist__'!$A$2:$A1012=$A51)))"),1.247855302967)</f>
        <v>1.247855303</v>
      </c>
      <c r="M51" s="2"/>
      <c r="N51" s="10"/>
    </row>
    <row r="52" customFormat="false" ht="15.75" hidden="true" customHeight="false" outlineLevel="0" collapsed="false">
      <c r="A52" s="21" t="str">
        <f aca="false">'🤖 Claude Haiku 3.5'!$A$27</f>
        <v>https://www.berria.eus/bizigiro/istorioak-irudien-bidez-kontatzen-ditut-oso-hizkuntza-unibertsala-da_2121576_102.html</v>
      </c>
      <c r="B52" s="4"/>
      <c r="D52" s="7" t="n">
        <f aca="false">IFERROR(__xludf.dummyfunction("STDEV(FILTER('__flatlist__'!D$2:D1012,('__flatlist__'!$A$2:$A1012=$A52)))"),0.175505188769575)</f>
        <v>0.1755051888</v>
      </c>
      <c r="E52" s="10" t="n">
        <f aca="false">IFERROR(__xludf.dummyfunction("STDEV(FILTER('__flatlist__'!E$2:E1012,('__flatlist__'!$A$2:$A1012=$A52)))"),1.04880884817015)</f>
        <v>1.048808848</v>
      </c>
      <c r="F52" s="10" t="n">
        <f aca="false">IFERROR(__xludf.dummyfunction("STDEV(FILTER('__flatlist__'!F$2:F1012,('__flatlist__'!$A$2:$A1012=$A52)))"),1.11055541659718)</f>
        <v>1.110555417</v>
      </c>
      <c r="G52" s="10" t="n">
        <f aca="false">IFERROR(__xludf.dummyfunction("STDEV(FILTER('__flatlist__'!G$2:G1012,('__flatlist__'!$A$2:$A1012=$A52)))"),1.2440333788203)</f>
        <v>1.244033379</v>
      </c>
      <c r="H52" s="10" t="n">
        <f aca="false">IFERROR(__xludf.dummyfunction("STDEV(FILTER('__flatlist__'!H$2:H1012,('__flatlist__'!$A$2:$A1012=$A52)))"),0.920662287496913)</f>
        <v>0.9206622875</v>
      </c>
      <c r="I52" s="40" t="n">
        <f aca="false">IFERROR(__xludf.dummyfunction("STDEV(FILTER('__flatlist__'!I$2:I1012,('__flatlist__'!$A$2:$A1012=$A52)))"),1.1084094137869)</f>
        <v>1.108409414</v>
      </c>
      <c r="M52" s="2"/>
      <c r="N52" s="10"/>
    </row>
    <row r="53" customFormat="false" ht="15.75" hidden="true" customHeight="false" outlineLevel="0" collapsed="false">
      <c r="A53" s="21" t="str">
        <f aca="false">'🤖 Claude Haiku 3.5'!$A$32</f>
        <v>https://www.berria.eus/euskal-herria/etxeko-atxiloaldia-ezarri-diote-labioko-hiltzaileari_2124515_102.html</v>
      </c>
      <c r="B53" s="4"/>
      <c r="D53" s="7" t="n">
        <f aca="false">IFERROR(__xludf.dummyfunction("STDEV(FILTER('__flatlist__'!D$2:D1012,('__flatlist__'!$A$2:$A1012=$A53)))"),0.277549691650632)</f>
        <v>0.2775496917</v>
      </c>
      <c r="E53" s="10" t="n">
        <f aca="false">IFERROR(__xludf.dummyfunction("STDEV(FILTER('__flatlist__'!E$2:E1012,('__flatlist__'!$A$2:$A1012=$A53)))"),0.956182887467515)</f>
        <v>0.9561828875</v>
      </c>
      <c r="F53" s="10" t="n">
        <f aca="false">IFERROR(__xludf.dummyfunction("STDEV(FILTER('__flatlist__'!F$2:F1012,('__flatlist__'!$A$2:$A1012=$A53)))"),1.17918454470714)</f>
        <v>1.179184545</v>
      </c>
      <c r="G53" s="10" t="n">
        <f aca="false">IFERROR(__xludf.dummyfunction("STDEV(FILTER('__flatlist__'!G$2:G1012,('__flatlist__'!$A$2:$A1012=$A53)))"),1.11696868694653)</f>
        <v>1.116968687</v>
      </c>
      <c r="H53" s="10" t="n">
        <f aca="false">IFERROR(__xludf.dummyfunction("STDEV(FILTER('__flatlist__'!H$2:H1012,('__flatlist__'!$A$2:$A1012=$A53)))"),1.22085060121056)</f>
        <v>1.220850601</v>
      </c>
      <c r="I53" s="40" t="n">
        <f aca="false">IFERROR(__xludf.dummyfunction("STDEV(FILTER('__flatlist__'!I$2:I1012,('__flatlist__'!$A$2:$A1012=$A53)))"),0.795822425754222)</f>
        <v>0.7958224258</v>
      </c>
      <c r="M53" s="2"/>
      <c r="N53" s="10"/>
    </row>
    <row r="54" customFormat="false" ht="15.75" hidden="true" customHeight="false" outlineLevel="0" collapsed="false">
      <c r="A54" s="21" t="str">
        <f aca="false">'🤖 Claude Haiku 3.5'!$A$37</f>
        <v>https://www.berria.eus/ekonomia/sektore-eolikoa-eta-milaka-lanpostu-desagertzeko-arriskuaz-ohartarazi-du-elak_233844_102.html</v>
      </c>
      <c r="B54" s="4"/>
      <c r="D54" s="7" t="n">
        <f aca="false">IFERROR(__xludf.dummyfunction("STDEV(FILTER('__flatlist__'!D$2:D1012,('__flatlist__'!$A$2:$A1012=$A54)))"),0.15413063991227)</f>
        <v>0.1541306399</v>
      </c>
      <c r="E54" s="10" t="n">
        <f aca="false">IFERROR(__xludf.dummyfunction("STDEV(FILTER('__flatlist__'!E$2:E1012,('__flatlist__'!$A$2:$A1012=$A54)))"),0.948683298050514)</f>
        <v>0.9486832981</v>
      </c>
      <c r="F54" s="10" t="n">
        <f aca="false">IFERROR(__xludf.dummyfunction("STDEV(FILTER('__flatlist__'!F$2:F1012,('__flatlist__'!$A$2:$A1012=$A54)))"),0.601585207518238)</f>
        <v>0.6015852075</v>
      </c>
      <c r="G54" s="10" t="n">
        <f aca="false">IFERROR(__xludf.dummyfunction("STDEV(FILTER('__flatlist__'!G$2:G1012,('__flatlist__'!$A$2:$A1012=$A54)))"),1.15263672879682)</f>
        <v>1.152636729</v>
      </c>
      <c r="H54" s="10" t="n">
        <f aca="false">IFERROR(__xludf.dummyfunction("STDEV(FILTER('__flatlist__'!H$2:H1012,('__flatlist__'!$A$2:$A1012=$A54)))"),1.03048763306736)</f>
        <v>1.030487633</v>
      </c>
      <c r="I54" s="40" t="n">
        <f aca="false">IFERROR(__xludf.dummyfunction("STDEV(FILTER('__flatlist__'!I$2:I1012,('__flatlist__'!$A$2:$A1012=$A54)))"),0.943650459903555)</f>
        <v>0.9436504599</v>
      </c>
      <c r="M54" s="2"/>
      <c r="N54" s="10"/>
    </row>
    <row r="55" customFormat="false" ht="15.75" hidden="true" customHeight="false" outlineLevel="0" collapsed="false">
      <c r="A55" s="21" t="str">
        <f aca="false">'🤖 Claude Haiku 3.5'!$A$42</f>
        <v>https://www.berria.eus/kultura/mikroipuinak-txikiak-baina-ez-hutsalak_2121931_102.html</v>
      </c>
      <c r="B55" s="4"/>
      <c r="D55" s="7" t="n">
        <f aca="false">IFERROR(__xludf.dummyfunction("STDEV(FILTER('__flatlist__'!D$2:D1012,('__flatlist__'!$A$2:$A1012=$A55)))"),0.183876685913389)</f>
        <v>0.1838766859</v>
      </c>
      <c r="E55" s="10" t="n">
        <f aca="false">IFERROR(__xludf.dummyfunction("STDEV(FILTER('__flatlist__'!E$2:E1012,('__flatlist__'!$A$2:$A1012=$A55)))"),0.804747816162956)</f>
        <v>0.8047478162</v>
      </c>
      <c r="F55" s="10" t="n">
        <f aca="false">IFERROR(__xludf.dummyfunction("STDEV(FILTER('__flatlist__'!F$2:F1012,('__flatlist__'!$A$2:$A1012=$A55)))"),0.589592272353571)</f>
        <v>0.5895922724</v>
      </c>
      <c r="G55" s="10" t="n">
        <f aca="false">IFERROR(__xludf.dummyfunction("STDEV(FILTER('__flatlist__'!G$2:G1012,('__flatlist__'!$A$2:$A1012=$A55)))"),1.07126982951031)</f>
        <v>1.07126983</v>
      </c>
      <c r="H55" s="10" t="n">
        <f aca="false">IFERROR(__xludf.dummyfunction("STDEV(FILTER('__flatlist__'!H$2:H1012,('__flatlist__'!$A$2:$A1012=$A55)))"),1.00711752754369)</f>
        <v>1.007117528</v>
      </c>
      <c r="I55" s="40" t="n">
        <f aca="false">IFERROR(__xludf.dummyfunction("STDEV(FILTER('__flatlist__'!I$2:I1012,('__flatlist__'!$A$2:$A1012=$A55)))"),0.980767435177556)</f>
        <v>0.9807674352</v>
      </c>
      <c r="M55" s="2"/>
      <c r="N55" s="10"/>
    </row>
    <row r="56" customFormat="false" ht="15.75" hidden="true" customHeight="false" outlineLevel="0" collapsed="false">
      <c r="A56" s="41" t="str">
        <f aca="false">'🤖 Claude Haiku 3.5'!$A$47</f>
        <v>https://www.berria.eus/euskal-herria/guardia-zibilak-dio-europako-speed-laborategi-handiena-aurkitu-duela-euskal-herrian_2125543_102.html</v>
      </c>
      <c r="B56" s="42"/>
      <c r="C56" s="32"/>
      <c r="D56" s="34" t="n">
        <f aca="false">IFERROR(__xludf.dummyfunction("STDEV(FILTER('__flatlist__'!D$2:D1012,('__flatlist__'!$A$2:$A1012=$A56)))"),0.224018667973258)</f>
        <v>0.224018668</v>
      </c>
      <c r="E56" s="35" t="n">
        <f aca="false">IFERROR(__xludf.dummyfunction("STDEV(FILTER('__flatlist__'!E$2:E1012,('__flatlist__'!$A$2:$A1012=$A56)))"),0.783763812819726)</f>
        <v>0.7837638128</v>
      </c>
      <c r="F56" s="35" t="n">
        <f aca="false">IFERROR(__xludf.dummyfunction("STDEV(FILTER('__flatlist__'!F$2:F1012,('__flatlist__'!$A$2:$A1012=$A56)))"),0.589592272353571)</f>
        <v>0.5895922724</v>
      </c>
      <c r="G56" s="35" t="n">
        <f aca="false">IFERROR(__xludf.dummyfunction("STDEV(FILTER('__flatlist__'!G$2:G1012,('__flatlist__'!$A$2:$A1012=$A56)))"),0.853563956930838)</f>
        <v>0.8535639569</v>
      </c>
      <c r="H56" s="35" t="n">
        <f aca="false">IFERROR(__xludf.dummyfunction("STDEV(FILTER('__flatlist__'!H$2:H1012,('__flatlist__'!$A$2:$A1012=$A56)))"),0.920662287496913)</f>
        <v>0.9206622875</v>
      </c>
      <c r="I56" s="43" t="n">
        <f aca="false">IFERROR(__xludf.dummyfunction("STDEV(FILTER('__flatlist__'!I$2:I1012,('__flatlist__'!$A$2:$A1012=$A56)))"),1)</f>
        <v>1</v>
      </c>
      <c r="M56" s="2"/>
      <c r="N56" s="10"/>
    </row>
    <row r="57" customFormat="false" ht="15.75" hidden="false" customHeight="false" outlineLevel="0" collapsed="false">
      <c r="A57" s="23"/>
      <c r="B57" s="4" t="s">
        <v>17</v>
      </c>
      <c r="D57" s="7" t="n">
        <f aca="false">IFERROR(__xludf.dummyfunction("STDEV(FILTER('__flatlist__'!D$2:D1012,('__flatlist__'!$B$2:$B1012=$B57)))"),0.232946886354897)</f>
        <v>0.2329468864</v>
      </c>
      <c r="E57" s="10" t="n">
        <f aca="false">IFERROR(__xludf.dummyfunction("STDEV(FILTER('__flatlist__'!E$2:E1012,('__flatlist__'!$B$2:$B1012=$B57)))"),0.678894274462111)</f>
        <v>0.6788942745</v>
      </c>
      <c r="F57" s="10" t="n">
        <f aca="false">IFERROR(__xludf.dummyfunction("STDEV(FILTER('__flatlist__'!F$2:F1012,('__flatlist__'!$B$2:$B1012=$B57)))"),0.585618235669551)</f>
        <v>0.5856182357</v>
      </c>
      <c r="G57" s="10" t="n">
        <f aca="false">IFERROR(__xludf.dummyfunction("STDEV(FILTER('__flatlist__'!G$2:G1012,('__flatlist__'!$B$2:$B1012=$B57)))"),1.67771975900136)</f>
        <v>1.677719759</v>
      </c>
      <c r="H57" s="10" t="n">
        <f aca="false">IFERROR(__xludf.dummyfunction("STDEV(FILTER('__flatlist__'!H$2:H1012,('__flatlist__'!$B$2:$B1012=$B57)))"),0.747217059048663)</f>
        <v>0.747217059</v>
      </c>
      <c r="I57" s="40" t="n">
        <f aca="false">IFERROR(__xludf.dummyfunction("STDEV(FILTER('__flatlist__'!I$2:I1012,('__flatlist__'!$B$2:$B1012=$B57)))"),0.750640751932333)</f>
        <v>0.7506407519</v>
      </c>
      <c r="M57" s="2"/>
      <c r="N57" s="10"/>
    </row>
    <row r="58" customFormat="false" ht="15.75" hidden="false" customHeight="false" outlineLevel="0" collapsed="false">
      <c r="A58" s="23"/>
      <c r="B58" s="4" t="s">
        <v>21</v>
      </c>
      <c r="D58" s="7" t="n">
        <f aca="false">IFERROR(__xludf.dummyfunction("STDEV(FILTER('__flatlist__'!D$2:D1012,('__flatlist__'!$B$2:$B1012=$B58)))"),0.350918327462357)</f>
        <v>0.3509183275</v>
      </c>
      <c r="E58" s="10" t="n">
        <f aca="false">IFERROR(__xludf.dummyfunction("STDEV(FILTER('__flatlist__'!E$2:E1012,('__flatlist__'!$B$2:$B1012=$B58)))"),1.07536517351561)</f>
        <v>1.075365174</v>
      </c>
      <c r="F58" s="10" t="n">
        <f aca="false">IFERROR(__xludf.dummyfunction("STDEV(FILTER('__flatlist__'!F$2:F1012,('__flatlist__'!$B$2:$B1012=$B58)))"),1.29471311543602)</f>
        <v>1.294713115</v>
      </c>
      <c r="G58" s="10" t="n">
        <f aca="false">IFERROR(__xludf.dummyfunction("STDEV(FILTER('__flatlist__'!G$2:G1012,('__flatlist__'!$B$2:$B1012=$B58)))"),0.812955986445414)</f>
        <v>0.8129559864</v>
      </c>
      <c r="H58" s="10" t="n">
        <f aca="false">IFERROR(__xludf.dummyfunction("STDEV(FILTER('__flatlist__'!H$2:H1012,('__flatlist__'!$B$2:$B1012=$B58)))"),1.1251780485886)</f>
        <v>1.125178049</v>
      </c>
      <c r="I58" s="40" t="n">
        <f aca="false">IFERROR(__xludf.dummyfunction("STDEV(FILTER('__flatlist__'!I$2:I1012,('__flatlist__'!$B$2:$B1012=$B58)))"),1.18727224536556)</f>
        <v>1.187272245</v>
      </c>
      <c r="M58" s="2"/>
      <c r="N58" s="10"/>
    </row>
    <row r="59" customFormat="false" ht="15.75" hidden="false" customHeight="false" outlineLevel="0" collapsed="false">
      <c r="A59" s="23"/>
      <c r="B59" s="4" t="s">
        <v>22</v>
      </c>
      <c r="D59" s="7" t="n">
        <f aca="false">IFERROR(__xludf.dummyfunction("STDEV(FILTER('__flatlist__'!D$2:D1012,('__flatlist__'!$B$2:$B1012=$B59)))"),0.229262450113707)</f>
        <v>0.2292624501</v>
      </c>
      <c r="E59" s="10" t="n">
        <f aca="false">IFERROR(__xludf.dummyfunction("STDEV(FILTER('__flatlist__'!E$2:E1012,('__flatlist__'!$B$2:$B1012=$B59)))"),0.579566593151672)</f>
        <v>0.5795665932</v>
      </c>
      <c r="F59" s="10" t="n">
        <f aca="false">IFERROR(__xludf.dummyfunction("STDEV(FILTER('__flatlist__'!F$2:F1012,('__flatlist__'!$B$2:$B1012=$B59)))"),0.500640615253123)</f>
        <v>0.5006406153</v>
      </c>
      <c r="G59" s="10" t="n">
        <f aca="false">IFERROR(__xludf.dummyfunction("STDEV(FILTER('__flatlist__'!G$2:G1012,('__flatlist__'!$B$2:$B1012=$B59)))"),0.552384110133705)</f>
        <v>0.5523841101</v>
      </c>
      <c r="H59" s="10" t="n">
        <f aca="false">IFERROR(__xludf.dummyfunction("STDEV(FILTER('__flatlist__'!H$2:H1012,('__flatlist__'!$B$2:$B1012=$B59)))"),1.06698713134767)</f>
        <v>1.066987131</v>
      </c>
      <c r="I59" s="40" t="n">
        <f aca="false">IFERROR(__xludf.dummyfunction("STDEV(FILTER('__flatlist__'!I$2:I1012,('__flatlist__'!$B$2:$B1012=$B59)))"),0.597001052268969)</f>
        <v>0.5970010523</v>
      </c>
      <c r="M59" s="2"/>
      <c r="N59" s="10"/>
    </row>
    <row r="60" customFormat="false" ht="15.75" hidden="false" customHeight="false" outlineLevel="0" collapsed="false">
      <c r="A60" s="4"/>
      <c r="B60" s="4" t="s">
        <v>23</v>
      </c>
      <c r="D60" s="7" t="n">
        <f aca="false">IFERROR(__xludf.dummyfunction("STDEV(FILTER('__flatlist__'!D$2:D1012,('__flatlist__'!$B$2:$B1012=$B60)))"),0.14576705051184)</f>
        <v>0.1457670505</v>
      </c>
      <c r="E60" s="10" t="n">
        <f aca="false">IFERROR(__xludf.dummyfunction("STDEV(FILTER('__flatlist__'!E$2:E1012,('__flatlist__'!$B$2:$B1012=$B60)))"),0.810191493666933)</f>
        <v>0.8101914937</v>
      </c>
      <c r="F60" s="10" t="n">
        <f aca="false">IFERROR(__xludf.dummyfunction("STDEV(FILTER('__flatlist__'!F$2:F1012,('__flatlist__'!$B$2:$B1012=$B60)))"),0.932325463146196)</f>
        <v>0.9323254631</v>
      </c>
      <c r="G60" s="10" t="n">
        <f aca="false">IFERROR(__xludf.dummyfunction("STDEV(FILTER('__flatlist__'!G$2:G1012,('__flatlist__'!$B$2:$B1012=$B60)))"),0.516397779494322)</f>
        <v>0.5163977795</v>
      </c>
      <c r="H60" s="10" t="n">
        <f aca="false">IFERROR(__xludf.dummyfunction("STDEV(FILTER('__flatlist__'!H$2:H1012,('__flatlist__'!$B$2:$B1012=$B60)))"),0.810191493666933)</f>
        <v>0.8101914937</v>
      </c>
      <c r="I60" s="40" t="n">
        <f aca="false">IFERROR(__xludf.dummyfunction("STDEV(FILTER('__flatlist__'!I$2:I1012,('__flatlist__'!$B$2:$B1012=$B60)))"),0.708917556958567)</f>
        <v>0.708917557</v>
      </c>
      <c r="M60" s="2"/>
      <c r="N60" s="10"/>
    </row>
    <row r="61" customFormat="false" ht="15.75" hidden="false" customHeight="false" outlineLevel="0" collapsed="false">
      <c r="A61" s="23"/>
      <c r="B61" s="4" t="s">
        <v>24</v>
      </c>
      <c r="D61" s="7" t="n">
        <f aca="false">IFERROR(__xludf.dummyfunction("STDEV(FILTER('__flatlist__'!D$2:D1012,('__flatlist__'!$B$2:$B1012=$B61)))"),0.132945182447841)</f>
        <v>0.1329451824</v>
      </c>
      <c r="E61" s="10" t="n">
        <f aca="false">IFERROR(__xludf.dummyfunction("STDEV(FILTER('__flatlist__'!E$2:E1012,('__flatlist__'!$B$2:$B1012=$B61)))"),0.846940194056046)</f>
        <v>0.8469401941</v>
      </c>
      <c r="F61" s="10" t="n">
        <f aca="false">IFERROR(__xludf.dummyfunction("STDEV(FILTER('__flatlist__'!F$2:F1012,('__flatlist__'!$B$2:$B1012=$B61)))"),0.597001052268969)</f>
        <v>0.5970010523</v>
      </c>
      <c r="G61" s="10" t="n">
        <f aca="false">IFERROR(__xludf.dummyfunction("STDEV(FILTER('__flatlist__'!G$2:G1012,('__flatlist__'!$B$2:$B1012=$B61)))"),0.576794857546691)</f>
        <v>0.5767948575</v>
      </c>
      <c r="H61" s="10" t="n">
        <f aca="false">IFERROR(__xludf.dummyfunction("STDEV(FILTER('__flatlist__'!H$2:H1012,('__flatlist__'!$B$2:$B1012=$B61)))"),0.822363697692238)</f>
        <v>0.8223636977</v>
      </c>
      <c r="I61" s="40" t="n">
        <f aca="false">IFERROR(__xludf.dummyfunction("STDEV(FILTER('__flatlist__'!I$2:I1012,('__flatlist__'!$B$2:$B1012=$B61)))"),0.784055858815933)</f>
        <v>0.7840558588</v>
      </c>
      <c r="M61" s="2"/>
      <c r="N61" s="10"/>
    </row>
    <row r="62" customFormat="false" ht="15.75" hidden="false" customHeight="false" outlineLevel="0" collapsed="false">
      <c r="A62" s="27"/>
      <c r="B62" s="17"/>
      <c r="C62" s="28" t="s">
        <v>18</v>
      </c>
      <c r="D62" s="18" t="n">
        <f aca="false">IFERROR(__xludf.dummyfunction("STDEV(FILTER('__flatlist__'!D$2:D1012,('__flatlist__'!$C$2:$C1012=$C62)))"),0.258353011584357)</f>
        <v>0.2583530116</v>
      </c>
      <c r="E62" s="29" t="n">
        <f aca="false">IFERROR(__xludf.dummyfunction("STDEV(FILTER('__flatlist__'!E$2:E1012,('__flatlist__'!$C$2:$C1012=$C62)))"),0.862128358263692)</f>
        <v>0.8621283583</v>
      </c>
      <c r="F62" s="29" t="n">
        <f aca="false">IFERROR(__xludf.dummyfunction("STDEV(FILTER('__flatlist__'!F$2:F1012,('__flatlist__'!$C$2:$C1012=$C62)))"),1.00387006232919)</f>
        <v>1.003870062</v>
      </c>
      <c r="G62" s="29" t="n">
        <f aca="false">IFERROR(__xludf.dummyfunction("STDEV(FILTER('__flatlist__'!G$2:G1012,('__flatlist__'!$C$2:$C1012=$C62)))"),1.28158065668605)</f>
        <v>1.281580657</v>
      </c>
      <c r="H62" s="29" t="n">
        <f aca="false">IFERROR(__xludf.dummyfunction("STDEV(FILTER('__flatlist__'!H$2:H1012,('__flatlist__'!$C$2:$C1012=$C62)))"),1.19112363346719)</f>
        <v>1.191123633</v>
      </c>
      <c r="I62" s="39" t="n">
        <f aca="false">IFERROR(__xludf.dummyfunction("STDEV(FILTER('__flatlist__'!I$2:I1012,('__flatlist__'!$C$2:$C1012=$C62)))"),0.904410959505395)</f>
        <v>0.9044109595</v>
      </c>
      <c r="M62" s="2"/>
      <c r="N62" s="10"/>
    </row>
    <row r="63" customFormat="false" ht="15.75" hidden="false" customHeight="false" outlineLevel="0" collapsed="false">
      <c r="A63" s="30"/>
      <c r="C63" s="6" t="s">
        <v>19</v>
      </c>
      <c r="D63" s="7" t="n">
        <f aca="false">IFERROR(__xludf.dummyfunction("STDEV(FILTER('__flatlist__'!D$2:D1012,('__flatlist__'!$C$2:$C1012=$C63)))"),0.174279644269202)</f>
        <v>0.1742796443</v>
      </c>
      <c r="E63" s="10" t="n">
        <f aca="false">IFERROR(__xludf.dummyfunction("STDEV(FILTER('__flatlist__'!E$2:E1012,('__flatlist__'!$C$2:$C1012=$C63)))"),0.991597350804473)</f>
        <v>0.9915973508</v>
      </c>
      <c r="F63" s="10" t="n">
        <f aca="false">IFERROR(__xludf.dummyfunction("STDEV(FILTER('__flatlist__'!F$2:F1012,('__flatlist__'!$C$2:$C1012=$C63)))"),1.01015254455221)</f>
        <v>1.010152545</v>
      </c>
      <c r="G63" s="10" t="n">
        <f aca="false">IFERROR(__xludf.dummyfunction("STDEV(FILTER('__flatlist__'!G$2:G1012,('__flatlist__'!$C$2:$C1012=$C63)))"),0.911603207631075)</f>
        <v>0.9116032076</v>
      </c>
      <c r="H63" s="10" t="n">
        <f aca="false">IFERROR(__xludf.dummyfunction("STDEV(FILTER('__flatlist__'!H$2:H1012,('__flatlist__'!$C$2:$C1012=$C63)))"),1.03193893190618)</f>
        <v>1.031938932</v>
      </c>
      <c r="I63" s="40" t="n">
        <f aca="false">IFERROR(__xludf.dummyfunction("STDEV(FILTER('__flatlist__'!I$2:I1012,('__flatlist__'!$C$2:$C1012=$C63)))"),1.01337987719818)</f>
        <v>1.013379877</v>
      </c>
      <c r="M63" s="2"/>
      <c r="N63" s="10"/>
    </row>
    <row r="64" customFormat="false" ht="15.75" hidden="false" customHeight="false" outlineLevel="0" collapsed="false">
      <c r="A64" s="30"/>
      <c r="C64" s="6" t="s">
        <v>8</v>
      </c>
      <c r="D64" s="7" t="n">
        <f aca="false">IFERROR(__xludf.dummyfunction("STDEV(FILTER('__flatlist__'!D$2:D1012,('__flatlist__'!$C$2:$C1012=$C64)))"),0.229445474578865)</f>
        <v>0.2294454746</v>
      </c>
      <c r="E64" s="10" t="n">
        <f aca="false">IFERROR(__xludf.dummyfunction("STDEV(FILTER('__flatlist__'!E$2:E1012,('__flatlist__'!$C$2:$C1012=$C64)))"),0.61145527311522)</f>
        <v>0.6114552731</v>
      </c>
      <c r="F64" s="10" t="n">
        <f aca="false">IFERROR(__xludf.dummyfunction("STDEV(FILTER('__flatlist__'!F$2:F1012,('__flatlist__'!$C$2:$C1012=$C64)))"),0.793082336101829)</f>
        <v>0.7930823361</v>
      </c>
      <c r="G64" s="10" t="n">
        <f aca="false">IFERROR(__xludf.dummyfunction("STDEV(FILTER('__flatlist__'!G$2:G1012,('__flatlist__'!$C$2:$C1012=$C64)))"),0.863074712399612)</f>
        <v>0.8630747124</v>
      </c>
      <c r="H64" s="10" t="n">
        <f aca="false">IFERROR(__xludf.dummyfunction("STDEV(FILTER('__flatlist__'!H$2:H1012,('__flatlist__'!$C$2:$C1012=$C64)))"),0.614451804788759)</f>
        <v>0.6144518048</v>
      </c>
      <c r="I64" s="40" t="n">
        <f aca="false">IFERROR(__xludf.dummyfunction("STDEV(FILTER('__flatlist__'!I$2:I1012,('__flatlist__'!$C$2:$C1012=$C64)))"),0.842978199538968)</f>
        <v>0.8429781995</v>
      </c>
      <c r="M64" s="2"/>
      <c r="N64" s="10"/>
    </row>
    <row r="65" customFormat="false" ht="15.75" hidden="false" customHeight="false" outlineLevel="0" collapsed="false">
      <c r="A65" s="31"/>
      <c r="B65" s="32"/>
      <c r="C65" s="33" t="s">
        <v>20</v>
      </c>
      <c r="D65" s="34" t="n">
        <f aca="false">IFERROR(__xludf.dummyfunction("STDEV(FILTER('__flatlist__'!D$2:D1012,('__flatlist__'!$C$2:$C1012=$C65)))"),0.263372761383834)</f>
        <v>0.2633727614</v>
      </c>
      <c r="E65" s="35" t="n">
        <f aca="false">IFERROR(__xludf.dummyfunction("STDEV(FILTER('__flatlist__'!E$2:E1012,('__flatlist__'!$C$2:$C1012=$C65)))"),0.875051018920775)</f>
        <v>0.8750510189</v>
      </c>
      <c r="F65" s="35" t="n">
        <f aca="false">IFERROR(__xludf.dummyfunction("STDEV(FILTER('__flatlist__'!F$2:F1012,('__flatlist__'!$C$2:$C1012=$C65)))"),0.952976004580452)</f>
        <v>0.9529760046</v>
      </c>
      <c r="G65" s="35" t="n">
        <f aca="false">IFERROR(__xludf.dummyfunction("STDEV(FILTER('__flatlist__'!G$2:G1012,('__flatlist__'!$C$2:$C1012=$C65)))"),1.35526185435788)</f>
        <v>1.355261854</v>
      </c>
      <c r="H65" s="35" t="n">
        <f aca="false">IFERROR(__xludf.dummyfunction("STDEV(FILTER('__flatlist__'!H$2:H1012,('__flatlist__'!$C$2:$C1012=$C65)))"),1.16075274661554)</f>
        <v>1.160752747</v>
      </c>
      <c r="I65" s="43" t="n">
        <f aca="false">IFERROR(__xludf.dummyfunction("STDEV(FILTER('__flatlist__'!I$2:I1012,('__flatlist__'!$C$2:$C1012=$C65)))"),0.965528299926617)</f>
        <v>0.9655282999</v>
      </c>
      <c r="M65" s="2"/>
      <c r="N65" s="10"/>
    </row>
    <row r="66" customFormat="false" ht="15.75" hidden="false" customHeight="false" outlineLevel="0" collapsed="false">
      <c r="M66" s="2"/>
      <c r="N66" s="10"/>
    </row>
    <row r="67" customFormat="false" ht="15.75" hidden="false" customHeight="false" outlineLevel="0" collapsed="false">
      <c r="M67" s="2"/>
      <c r="N67" s="10"/>
    </row>
    <row r="68" customFormat="false" ht="15.75" hidden="false" customHeight="false" outlineLevel="0" collapsed="false">
      <c r="M68" s="2"/>
      <c r="N68" s="10"/>
    </row>
    <row r="69" customFormat="false" ht="15.75" hidden="false" customHeight="false" outlineLevel="0" collapsed="false">
      <c r="M69" s="2"/>
      <c r="N69" s="10"/>
    </row>
    <row r="70" customFormat="false" ht="15.75" hidden="false" customHeight="false" outlineLevel="0" collapsed="false">
      <c r="D70" s="44"/>
      <c r="M70" s="2"/>
      <c r="N70" s="10"/>
    </row>
    <row r="71" customFormat="false" ht="15.75" hidden="false" customHeight="false" outlineLevel="0" collapsed="false">
      <c r="M71" s="2"/>
      <c r="N71" s="10"/>
    </row>
    <row r="72" customFormat="false" ht="15.75" hidden="false" customHeight="false" outlineLevel="0" collapsed="false">
      <c r="M72" s="2"/>
      <c r="N72" s="10"/>
    </row>
    <row r="73" customFormat="false" ht="15.75" hidden="false" customHeight="false" outlineLevel="0" collapsed="false">
      <c r="M73" s="2"/>
      <c r="N73" s="10"/>
    </row>
    <row r="74" customFormat="false" ht="15.75" hidden="false" customHeight="false" outlineLevel="0" collapsed="false">
      <c r="M74" s="2"/>
      <c r="N74" s="10"/>
    </row>
    <row r="75" customFormat="false" ht="15.75" hidden="false" customHeight="false" outlineLevel="0" collapsed="false">
      <c r="M75" s="2"/>
      <c r="N75" s="10"/>
    </row>
    <row r="76" customFormat="false" ht="15.75" hidden="false" customHeight="false" outlineLevel="0" collapsed="false">
      <c r="M76" s="2"/>
      <c r="N76" s="10"/>
    </row>
    <row r="77" customFormat="false" ht="15.75" hidden="false" customHeight="false" outlineLevel="0" collapsed="false">
      <c r="M77" s="2"/>
      <c r="N77" s="10"/>
    </row>
    <row r="78" customFormat="false" ht="15.75" hidden="false" customHeight="false" outlineLevel="0" collapsed="false">
      <c r="M78" s="2"/>
      <c r="N78" s="10"/>
    </row>
    <row r="79" customFormat="false" ht="15.75" hidden="false" customHeight="false" outlineLevel="0" collapsed="false">
      <c r="M79" s="2"/>
      <c r="N79" s="10"/>
    </row>
    <row r="80" customFormat="false" ht="15.75" hidden="false" customHeight="false" outlineLevel="0" collapsed="false">
      <c r="M80" s="2"/>
      <c r="N80" s="10"/>
    </row>
    <row r="81" customFormat="false" ht="15.75" hidden="false" customHeight="false" outlineLevel="0" collapsed="false">
      <c r="M81" s="2"/>
      <c r="N81" s="10"/>
    </row>
    <row r="82" customFormat="false" ht="15.75" hidden="false" customHeight="false" outlineLevel="0" collapsed="false">
      <c r="M82" s="2"/>
      <c r="N82" s="10"/>
    </row>
    <row r="83" customFormat="false" ht="15.75" hidden="false" customHeight="false" outlineLevel="0" collapsed="false">
      <c r="M83" s="2"/>
      <c r="N83" s="10"/>
    </row>
    <row r="84" customFormat="false" ht="15.75" hidden="false" customHeight="false" outlineLevel="0" collapsed="false">
      <c r="M84" s="2"/>
      <c r="N84" s="10"/>
    </row>
    <row r="85" customFormat="false" ht="15.75" hidden="false" customHeight="false" outlineLevel="0" collapsed="false">
      <c r="M85" s="2"/>
      <c r="N85" s="10"/>
    </row>
    <row r="86" customFormat="false" ht="15.75" hidden="false" customHeight="false" outlineLevel="0" collapsed="false">
      <c r="M86" s="2"/>
      <c r="N86" s="10"/>
    </row>
    <row r="87" customFormat="false" ht="15.75" hidden="false" customHeight="false" outlineLevel="0" collapsed="false">
      <c r="M87" s="2"/>
      <c r="N87" s="10"/>
    </row>
    <row r="88" customFormat="false" ht="15.75" hidden="false" customHeight="false" outlineLevel="0" collapsed="false">
      <c r="M88" s="2"/>
      <c r="N88" s="10"/>
    </row>
    <row r="89" customFormat="false" ht="15.75" hidden="false" customHeight="false" outlineLevel="0" collapsed="false">
      <c r="M89" s="2"/>
      <c r="N89" s="10"/>
    </row>
    <row r="90" customFormat="false" ht="15.75" hidden="false" customHeight="false" outlineLevel="0" collapsed="false">
      <c r="M90" s="2"/>
      <c r="N90" s="10"/>
    </row>
    <row r="91" customFormat="false" ht="15.75" hidden="false" customHeight="false" outlineLevel="0" collapsed="false">
      <c r="M91" s="2"/>
      <c r="N91" s="10"/>
    </row>
    <row r="92" customFormat="false" ht="15.75" hidden="false" customHeight="false" outlineLevel="0" collapsed="false">
      <c r="M92" s="2"/>
      <c r="N92" s="10"/>
    </row>
    <row r="93" customFormat="false" ht="15.75" hidden="false" customHeight="false" outlineLevel="0" collapsed="false">
      <c r="M93" s="2"/>
      <c r="N93" s="10"/>
    </row>
    <row r="94" customFormat="false" ht="15.75" hidden="false" customHeight="false" outlineLevel="0" collapsed="false">
      <c r="M94" s="2"/>
      <c r="N94" s="10"/>
    </row>
    <row r="95" customFormat="false" ht="15.75" hidden="false" customHeight="false" outlineLevel="0" collapsed="false">
      <c r="M95" s="2"/>
      <c r="N95" s="10"/>
    </row>
    <row r="96" customFormat="false" ht="15.75" hidden="false" customHeight="false" outlineLevel="0" collapsed="false">
      <c r="M96" s="2"/>
      <c r="N96" s="10"/>
    </row>
    <row r="97" customFormat="false" ht="15.75" hidden="false" customHeight="false" outlineLevel="0" collapsed="false">
      <c r="M97" s="2"/>
      <c r="N97" s="10"/>
    </row>
    <row r="98" customFormat="false" ht="15.75" hidden="false" customHeight="false" outlineLevel="0" collapsed="false">
      <c r="M98" s="2"/>
      <c r="N98" s="10"/>
    </row>
    <row r="99" customFormat="false" ht="15.75" hidden="false" customHeight="false" outlineLevel="0" collapsed="false">
      <c r="M99" s="2"/>
      <c r="N99" s="10"/>
    </row>
    <row r="100" customFormat="false" ht="15.75" hidden="false" customHeight="false" outlineLevel="0" collapsed="false">
      <c r="M100" s="2"/>
      <c r="N100" s="10"/>
    </row>
    <row r="101" customFormat="false" ht="15.75" hidden="false" customHeight="false" outlineLevel="0" collapsed="false">
      <c r="M101" s="2"/>
      <c r="N101" s="10"/>
    </row>
    <row r="102" customFormat="false" ht="15.75" hidden="false" customHeight="false" outlineLevel="0" collapsed="false">
      <c r="M102" s="2"/>
      <c r="N102" s="10"/>
    </row>
    <row r="103" customFormat="false" ht="15.75" hidden="false" customHeight="false" outlineLevel="0" collapsed="false">
      <c r="M103" s="2"/>
      <c r="N103" s="10"/>
    </row>
    <row r="104" customFormat="false" ht="15.75" hidden="false" customHeight="false" outlineLevel="0" collapsed="false">
      <c r="M104" s="2"/>
      <c r="N104" s="10"/>
    </row>
    <row r="105" customFormat="false" ht="15.75" hidden="false" customHeight="false" outlineLevel="0" collapsed="false">
      <c r="M105" s="2"/>
      <c r="N105" s="10"/>
    </row>
    <row r="106" customFormat="false" ht="15.75" hidden="false" customHeight="false" outlineLevel="0" collapsed="false">
      <c r="M106" s="2"/>
      <c r="N106" s="10"/>
    </row>
    <row r="107" customFormat="false" ht="15.75" hidden="false" customHeight="false" outlineLevel="0" collapsed="false">
      <c r="M107" s="2"/>
      <c r="N107" s="10"/>
    </row>
    <row r="108" customFormat="false" ht="15.75" hidden="false" customHeight="false" outlineLevel="0" collapsed="false">
      <c r="M108" s="2"/>
      <c r="N108" s="10"/>
    </row>
    <row r="109" customFormat="false" ht="15.75" hidden="false" customHeight="false" outlineLevel="0" collapsed="false">
      <c r="M109" s="2"/>
      <c r="N109" s="10"/>
    </row>
    <row r="110" customFormat="false" ht="15.75" hidden="false" customHeight="false" outlineLevel="0" collapsed="false">
      <c r="M110" s="2"/>
      <c r="N110" s="10"/>
    </row>
    <row r="111" customFormat="false" ht="15.75" hidden="false" customHeight="false" outlineLevel="0" collapsed="false">
      <c r="M111" s="2"/>
      <c r="N111" s="10"/>
    </row>
    <row r="112" customFormat="false" ht="15.75" hidden="false" customHeight="false" outlineLevel="0" collapsed="false">
      <c r="M112" s="2"/>
      <c r="N112" s="10"/>
    </row>
    <row r="113" customFormat="false" ht="15.75" hidden="false" customHeight="false" outlineLevel="0" collapsed="false">
      <c r="M113" s="2"/>
      <c r="N113" s="10"/>
    </row>
    <row r="114" customFormat="false" ht="15.75" hidden="false" customHeight="false" outlineLevel="0" collapsed="false">
      <c r="M114" s="2"/>
      <c r="N114" s="10"/>
    </row>
    <row r="115" customFormat="false" ht="15.75" hidden="false" customHeight="false" outlineLevel="0" collapsed="false">
      <c r="M115" s="2"/>
      <c r="N115" s="10"/>
    </row>
    <row r="116" customFormat="false" ht="15.75" hidden="false" customHeight="false" outlineLevel="0" collapsed="false">
      <c r="M116" s="2"/>
      <c r="N116" s="10"/>
    </row>
    <row r="117" customFormat="false" ht="15.75" hidden="false" customHeight="false" outlineLevel="0" collapsed="false">
      <c r="M117" s="2"/>
      <c r="N117" s="10"/>
    </row>
    <row r="118" customFormat="false" ht="15.75" hidden="false" customHeight="false" outlineLevel="0" collapsed="false">
      <c r="M118" s="2"/>
      <c r="N118" s="10"/>
    </row>
    <row r="119" customFormat="false" ht="15.75" hidden="false" customHeight="false" outlineLevel="0" collapsed="false">
      <c r="M119" s="2"/>
      <c r="N119" s="10"/>
    </row>
    <row r="120" customFormat="false" ht="15.75" hidden="false" customHeight="false" outlineLevel="0" collapsed="false">
      <c r="M120" s="2"/>
      <c r="N120" s="10"/>
    </row>
    <row r="121" customFormat="false" ht="15.75" hidden="false" customHeight="false" outlineLevel="0" collapsed="false">
      <c r="M121" s="2"/>
      <c r="N121" s="10"/>
    </row>
    <row r="122" customFormat="false" ht="15.75" hidden="false" customHeight="false" outlineLevel="0" collapsed="false">
      <c r="M122" s="2"/>
      <c r="N122" s="10"/>
    </row>
    <row r="123" customFormat="false" ht="15.75" hidden="false" customHeight="false" outlineLevel="0" collapsed="false">
      <c r="M123" s="2"/>
      <c r="N123" s="10"/>
    </row>
    <row r="124" customFormat="false" ht="15.75" hidden="false" customHeight="false" outlineLevel="0" collapsed="false">
      <c r="M124" s="2"/>
      <c r="N124" s="10"/>
    </row>
    <row r="125" customFormat="false" ht="15.75" hidden="false" customHeight="false" outlineLevel="0" collapsed="false">
      <c r="M125" s="2"/>
      <c r="N125" s="10"/>
    </row>
    <row r="126" customFormat="false" ht="15.75" hidden="false" customHeight="false" outlineLevel="0" collapsed="false">
      <c r="M126" s="2"/>
      <c r="N126" s="10"/>
    </row>
    <row r="127" customFormat="false" ht="15.75" hidden="false" customHeight="false" outlineLevel="0" collapsed="false">
      <c r="M127" s="2"/>
      <c r="N127" s="10"/>
    </row>
    <row r="128" customFormat="false" ht="15.75" hidden="false" customHeight="false" outlineLevel="0" collapsed="false">
      <c r="M128" s="2"/>
      <c r="N128" s="10"/>
    </row>
    <row r="129" customFormat="false" ht="15.75" hidden="false" customHeight="false" outlineLevel="0" collapsed="false">
      <c r="M129" s="2"/>
      <c r="N129" s="10"/>
    </row>
    <row r="130" customFormat="false" ht="15.75" hidden="false" customHeight="false" outlineLevel="0" collapsed="false">
      <c r="M130" s="2"/>
      <c r="N130" s="10"/>
    </row>
    <row r="131" customFormat="false" ht="15.75" hidden="false" customHeight="false" outlineLevel="0" collapsed="false">
      <c r="M131" s="2"/>
      <c r="N131" s="10"/>
    </row>
    <row r="132" customFormat="false" ht="15.75" hidden="false" customHeight="false" outlineLevel="0" collapsed="false">
      <c r="M132" s="2"/>
      <c r="N132" s="10"/>
    </row>
    <row r="133" customFormat="false" ht="15.75" hidden="false" customHeight="false" outlineLevel="0" collapsed="false">
      <c r="M133" s="2"/>
      <c r="N133" s="10"/>
    </row>
    <row r="134" customFormat="false" ht="15.75" hidden="false" customHeight="false" outlineLevel="0" collapsed="false">
      <c r="M134" s="2"/>
      <c r="N134" s="10"/>
    </row>
    <row r="135" customFormat="false" ht="15.75" hidden="false" customHeight="false" outlineLevel="0" collapsed="false">
      <c r="M135" s="2"/>
      <c r="N135" s="10"/>
    </row>
    <row r="136" customFormat="false" ht="15.75" hidden="false" customHeight="false" outlineLevel="0" collapsed="false">
      <c r="M136" s="2"/>
      <c r="N136" s="10"/>
    </row>
    <row r="137" customFormat="false" ht="15.75" hidden="false" customHeight="false" outlineLevel="0" collapsed="false">
      <c r="M137" s="2"/>
      <c r="N137" s="10"/>
    </row>
    <row r="138" customFormat="false" ht="15.75" hidden="false" customHeight="false" outlineLevel="0" collapsed="false">
      <c r="M138" s="2"/>
      <c r="N138" s="10"/>
    </row>
    <row r="139" customFormat="false" ht="15.75" hidden="false" customHeight="false" outlineLevel="0" collapsed="false">
      <c r="M139" s="2"/>
      <c r="N139" s="10"/>
    </row>
    <row r="140" customFormat="false" ht="15.75" hidden="false" customHeight="false" outlineLevel="0" collapsed="false">
      <c r="M140" s="2"/>
      <c r="N140" s="10"/>
    </row>
    <row r="141" customFormat="false" ht="15.75" hidden="false" customHeight="false" outlineLevel="0" collapsed="false">
      <c r="M141" s="2"/>
      <c r="N141" s="10"/>
    </row>
    <row r="142" customFormat="false" ht="15.75" hidden="false" customHeight="false" outlineLevel="0" collapsed="false">
      <c r="M142" s="2"/>
      <c r="N142" s="10"/>
    </row>
    <row r="143" customFormat="false" ht="15.75" hidden="false" customHeight="false" outlineLevel="0" collapsed="false">
      <c r="M143" s="2"/>
      <c r="N143" s="10"/>
    </row>
    <row r="144" customFormat="false" ht="15.75" hidden="false" customHeight="false" outlineLevel="0" collapsed="false">
      <c r="M144" s="2"/>
      <c r="N144" s="10"/>
    </row>
    <row r="145" customFormat="false" ht="15.75" hidden="false" customHeight="false" outlineLevel="0" collapsed="false">
      <c r="M145" s="2"/>
      <c r="N145" s="10"/>
    </row>
    <row r="146" customFormat="false" ht="15.75" hidden="false" customHeight="false" outlineLevel="0" collapsed="false">
      <c r="M146" s="2"/>
      <c r="N146" s="10"/>
    </row>
    <row r="147" customFormat="false" ht="15.75" hidden="false" customHeight="false" outlineLevel="0" collapsed="false">
      <c r="M147" s="2"/>
      <c r="N147" s="10"/>
    </row>
    <row r="148" customFormat="false" ht="15.75" hidden="false" customHeight="false" outlineLevel="0" collapsed="false">
      <c r="M148" s="2"/>
      <c r="N148" s="10"/>
    </row>
    <row r="149" customFormat="false" ht="15.75" hidden="false" customHeight="false" outlineLevel="0" collapsed="false">
      <c r="M149" s="2"/>
      <c r="N149" s="10"/>
    </row>
    <row r="150" customFormat="false" ht="15.75" hidden="false" customHeight="false" outlineLevel="0" collapsed="false">
      <c r="M150" s="2"/>
      <c r="N150" s="10"/>
    </row>
    <row r="151" customFormat="false" ht="15.75" hidden="false" customHeight="false" outlineLevel="0" collapsed="false">
      <c r="M151" s="2"/>
      <c r="N151" s="10"/>
    </row>
    <row r="152" customFormat="false" ht="15.75" hidden="false" customHeight="false" outlineLevel="0" collapsed="false">
      <c r="M152" s="2"/>
      <c r="N152" s="10"/>
    </row>
    <row r="153" customFormat="false" ht="15.75" hidden="false" customHeight="false" outlineLevel="0" collapsed="false">
      <c r="M153" s="2"/>
      <c r="N153" s="10"/>
    </row>
    <row r="154" customFormat="false" ht="15.75" hidden="false" customHeight="false" outlineLevel="0" collapsed="false">
      <c r="M154" s="2"/>
      <c r="N154" s="10"/>
    </row>
    <row r="155" customFormat="false" ht="15.75" hidden="false" customHeight="false" outlineLevel="0" collapsed="false">
      <c r="M155" s="2"/>
      <c r="N155" s="10"/>
    </row>
    <row r="156" customFormat="false" ht="15.75" hidden="false" customHeight="false" outlineLevel="0" collapsed="false">
      <c r="M156" s="2"/>
      <c r="N156" s="10"/>
    </row>
    <row r="157" customFormat="false" ht="15.75" hidden="false" customHeight="false" outlineLevel="0" collapsed="false">
      <c r="M157" s="2"/>
      <c r="N157" s="10"/>
    </row>
    <row r="158" customFormat="false" ht="15.75" hidden="false" customHeight="false" outlineLevel="0" collapsed="false">
      <c r="M158" s="2"/>
      <c r="N158" s="10"/>
    </row>
    <row r="159" customFormat="false" ht="15.75" hidden="false" customHeight="false" outlineLevel="0" collapsed="false">
      <c r="M159" s="2"/>
      <c r="N159" s="10"/>
    </row>
    <row r="160" customFormat="false" ht="15.75" hidden="false" customHeight="false" outlineLevel="0" collapsed="false">
      <c r="M160" s="2"/>
      <c r="N160" s="10"/>
    </row>
    <row r="161" customFormat="false" ht="15.75" hidden="false" customHeight="false" outlineLevel="0" collapsed="false">
      <c r="M161" s="2"/>
      <c r="N161" s="10"/>
    </row>
    <row r="162" customFormat="false" ht="15.75" hidden="false" customHeight="false" outlineLevel="0" collapsed="false">
      <c r="M162" s="2"/>
      <c r="N162" s="10"/>
    </row>
    <row r="163" customFormat="false" ht="15.75" hidden="false" customHeight="false" outlineLevel="0" collapsed="false">
      <c r="M163" s="2"/>
      <c r="N163" s="10"/>
    </row>
    <row r="164" customFormat="false" ht="15.75" hidden="false" customHeight="false" outlineLevel="0" collapsed="false">
      <c r="M164" s="2"/>
      <c r="N164" s="10"/>
    </row>
    <row r="165" customFormat="false" ht="15.75" hidden="false" customHeight="false" outlineLevel="0" collapsed="false">
      <c r="M165" s="2"/>
      <c r="N165" s="10"/>
    </row>
    <row r="166" customFormat="false" ht="15.75" hidden="false" customHeight="false" outlineLevel="0" collapsed="false">
      <c r="M166" s="2"/>
      <c r="N166" s="10"/>
    </row>
    <row r="167" customFormat="false" ht="15.75" hidden="false" customHeight="false" outlineLevel="0" collapsed="false">
      <c r="M167" s="2"/>
      <c r="N167" s="10"/>
    </row>
    <row r="168" customFormat="false" ht="15.75" hidden="false" customHeight="false" outlineLevel="0" collapsed="false">
      <c r="M168" s="2"/>
      <c r="N168" s="10"/>
    </row>
    <row r="169" customFormat="false" ht="15.75" hidden="false" customHeight="false" outlineLevel="0" collapsed="false">
      <c r="M169" s="2"/>
      <c r="N169" s="10"/>
    </row>
    <row r="170" customFormat="false" ht="15.75" hidden="false" customHeight="false" outlineLevel="0" collapsed="false">
      <c r="M170" s="2"/>
      <c r="N170" s="10"/>
    </row>
    <row r="171" customFormat="false" ht="15.75" hidden="false" customHeight="false" outlineLevel="0" collapsed="false">
      <c r="M171" s="2"/>
      <c r="N171" s="10"/>
    </row>
    <row r="172" customFormat="false" ht="15.75" hidden="false" customHeight="false" outlineLevel="0" collapsed="false">
      <c r="M172" s="2"/>
      <c r="N172" s="10"/>
    </row>
    <row r="173" customFormat="false" ht="15.75" hidden="false" customHeight="false" outlineLevel="0" collapsed="false">
      <c r="M173" s="2"/>
      <c r="N173" s="10"/>
    </row>
    <row r="174" customFormat="false" ht="15.75" hidden="false" customHeight="false" outlineLevel="0" collapsed="false">
      <c r="M174" s="2"/>
      <c r="N174" s="10"/>
    </row>
    <row r="175" customFormat="false" ht="15.75" hidden="false" customHeight="false" outlineLevel="0" collapsed="false">
      <c r="M175" s="2"/>
      <c r="N175" s="10"/>
    </row>
    <row r="176" customFormat="false" ht="15.75" hidden="false" customHeight="false" outlineLevel="0" collapsed="false">
      <c r="M176" s="2"/>
      <c r="N176" s="10"/>
    </row>
    <row r="177" customFormat="false" ht="15.75" hidden="false" customHeight="false" outlineLevel="0" collapsed="false">
      <c r="M177" s="2"/>
      <c r="N177" s="10"/>
    </row>
    <row r="178" customFormat="false" ht="15.75" hidden="false" customHeight="false" outlineLevel="0" collapsed="false">
      <c r="M178" s="2"/>
      <c r="N178" s="10"/>
    </row>
    <row r="179" customFormat="false" ht="15.75" hidden="false" customHeight="false" outlineLevel="0" collapsed="false">
      <c r="M179" s="2"/>
      <c r="N179" s="10"/>
    </row>
    <row r="180" customFormat="false" ht="15.75" hidden="false" customHeight="false" outlineLevel="0" collapsed="false">
      <c r="M180" s="2"/>
      <c r="N180" s="10"/>
    </row>
    <row r="181" customFormat="false" ht="15.75" hidden="false" customHeight="false" outlineLevel="0" collapsed="false">
      <c r="M181" s="2"/>
      <c r="N181" s="10"/>
    </row>
    <row r="182" customFormat="false" ht="15.75" hidden="false" customHeight="false" outlineLevel="0" collapsed="false">
      <c r="M182" s="2"/>
      <c r="N182" s="10"/>
    </row>
    <row r="183" customFormat="false" ht="15.75" hidden="false" customHeight="false" outlineLevel="0" collapsed="false">
      <c r="M183" s="2"/>
      <c r="N183" s="10"/>
    </row>
    <row r="184" customFormat="false" ht="15.75" hidden="false" customHeight="false" outlineLevel="0" collapsed="false">
      <c r="M184" s="2"/>
      <c r="N184" s="10"/>
    </row>
    <row r="185" customFormat="false" ht="15.75" hidden="false" customHeight="false" outlineLevel="0" collapsed="false">
      <c r="M185" s="2"/>
      <c r="N185" s="10"/>
    </row>
    <row r="186" customFormat="false" ht="15.75" hidden="false" customHeight="false" outlineLevel="0" collapsed="false">
      <c r="M186" s="2"/>
      <c r="N186" s="10"/>
    </row>
    <row r="187" customFormat="false" ht="15.75" hidden="false" customHeight="false" outlineLevel="0" collapsed="false">
      <c r="M187" s="2"/>
      <c r="N187" s="10"/>
    </row>
    <row r="188" customFormat="false" ht="15.75" hidden="false" customHeight="false" outlineLevel="0" collapsed="false">
      <c r="M188" s="2"/>
      <c r="N188" s="10"/>
    </row>
    <row r="189" customFormat="false" ht="15.75" hidden="false" customHeight="false" outlineLevel="0" collapsed="false">
      <c r="M189" s="2"/>
      <c r="N189" s="10"/>
    </row>
    <row r="190" customFormat="false" ht="15.75" hidden="false" customHeight="false" outlineLevel="0" collapsed="false">
      <c r="M190" s="2"/>
      <c r="N190" s="10"/>
    </row>
    <row r="191" customFormat="false" ht="15.75" hidden="false" customHeight="false" outlineLevel="0" collapsed="false">
      <c r="M191" s="2"/>
      <c r="N191" s="10"/>
    </row>
    <row r="192" customFormat="false" ht="15.75" hidden="false" customHeight="false" outlineLevel="0" collapsed="false">
      <c r="M192" s="2"/>
      <c r="N192" s="10"/>
    </row>
    <row r="193" customFormat="false" ht="15.75" hidden="false" customHeight="false" outlineLevel="0" collapsed="false">
      <c r="M193" s="2"/>
      <c r="N193" s="10"/>
    </row>
    <row r="194" customFormat="false" ht="15.75" hidden="false" customHeight="false" outlineLevel="0" collapsed="false">
      <c r="M194" s="2"/>
      <c r="N194" s="10"/>
    </row>
    <row r="195" customFormat="false" ht="15.75" hidden="false" customHeight="false" outlineLevel="0" collapsed="false">
      <c r="M195" s="2"/>
      <c r="N195" s="10"/>
    </row>
    <row r="196" customFormat="false" ht="15.75" hidden="false" customHeight="false" outlineLevel="0" collapsed="false">
      <c r="M196" s="2"/>
      <c r="N196" s="10"/>
    </row>
    <row r="197" customFormat="false" ht="15.75" hidden="false" customHeight="false" outlineLevel="0" collapsed="false">
      <c r="M197" s="2"/>
      <c r="N197" s="10"/>
    </row>
    <row r="198" customFormat="false" ht="15.75" hidden="false" customHeight="false" outlineLevel="0" collapsed="false">
      <c r="M198" s="2"/>
      <c r="N198" s="10"/>
    </row>
    <row r="199" customFormat="false" ht="15.75" hidden="false" customHeight="false" outlineLevel="0" collapsed="false">
      <c r="M199" s="2"/>
      <c r="N199" s="10"/>
    </row>
    <row r="200" customFormat="false" ht="15.75" hidden="false" customHeight="false" outlineLevel="0" collapsed="false">
      <c r="M200" s="2"/>
      <c r="N200" s="10"/>
    </row>
    <row r="201" customFormat="false" ht="15.75" hidden="false" customHeight="false" outlineLevel="0" collapsed="false">
      <c r="M201" s="2"/>
      <c r="N201" s="10"/>
    </row>
    <row r="202" customFormat="false" ht="15.75" hidden="false" customHeight="false" outlineLevel="0" collapsed="false">
      <c r="M202" s="2"/>
      <c r="N202" s="10"/>
    </row>
    <row r="203" customFormat="false" ht="15.75" hidden="false" customHeight="false" outlineLevel="0" collapsed="false">
      <c r="M203" s="2"/>
      <c r="N203" s="10"/>
    </row>
    <row r="204" customFormat="false" ht="15.75" hidden="false" customHeight="false" outlineLevel="0" collapsed="false">
      <c r="M204" s="2"/>
      <c r="N204" s="10"/>
    </row>
    <row r="205" customFormat="false" ht="15.75" hidden="false" customHeight="false" outlineLevel="0" collapsed="false">
      <c r="M205" s="2"/>
      <c r="N205" s="10"/>
    </row>
    <row r="206" customFormat="false" ht="15.75" hidden="false" customHeight="false" outlineLevel="0" collapsed="false">
      <c r="M206" s="2"/>
      <c r="N206" s="10"/>
    </row>
    <row r="207" customFormat="false" ht="15.75" hidden="false" customHeight="false" outlineLevel="0" collapsed="false">
      <c r="M207" s="2"/>
      <c r="N207" s="10"/>
    </row>
    <row r="208" customFormat="false" ht="15.75" hidden="false" customHeight="false" outlineLevel="0" collapsed="false">
      <c r="M208" s="2"/>
      <c r="N208" s="10"/>
    </row>
    <row r="209" customFormat="false" ht="15.75" hidden="false" customHeight="false" outlineLevel="0" collapsed="false">
      <c r="M209" s="2"/>
      <c r="N209" s="10"/>
    </row>
    <row r="210" customFormat="false" ht="15.75" hidden="false" customHeight="false" outlineLevel="0" collapsed="false">
      <c r="M210" s="2"/>
      <c r="N210" s="10"/>
    </row>
    <row r="211" customFormat="false" ht="15.75" hidden="false" customHeight="false" outlineLevel="0" collapsed="false">
      <c r="M211" s="2"/>
      <c r="N211" s="10"/>
    </row>
    <row r="212" customFormat="false" ht="15.75" hidden="false" customHeight="false" outlineLevel="0" collapsed="false">
      <c r="M212" s="2"/>
      <c r="N212" s="10"/>
    </row>
    <row r="213" customFormat="false" ht="15.75" hidden="false" customHeight="false" outlineLevel="0" collapsed="false">
      <c r="M213" s="2"/>
      <c r="N213" s="10"/>
    </row>
    <row r="214" customFormat="false" ht="15.75" hidden="false" customHeight="false" outlineLevel="0" collapsed="false">
      <c r="M214" s="2"/>
      <c r="N214" s="10"/>
    </row>
    <row r="215" customFormat="false" ht="15.75" hidden="false" customHeight="false" outlineLevel="0" collapsed="false">
      <c r="M215" s="2"/>
      <c r="N215" s="10"/>
    </row>
    <row r="216" customFormat="false" ht="15.75" hidden="false" customHeight="false" outlineLevel="0" collapsed="false">
      <c r="M216" s="2"/>
      <c r="N216" s="10"/>
    </row>
    <row r="217" customFormat="false" ht="15.75" hidden="false" customHeight="false" outlineLevel="0" collapsed="false">
      <c r="M217" s="2"/>
      <c r="N217" s="10"/>
    </row>
    <row r="218" customFormat="false" ht="15.75" hidden="false" customHeight="false" outlineLevel="0" collapsed="false">
      <c r="M218" s="2"/>
      <c r="N218" s="10"/>
    </row>
    <row r="219" customFormat="false" ht="15.75" hidden="false" customHeight="false" outlineLevel="0" collapsed="false">
      <c r="M219" s="2"/>
      <c r="N219" s="10"/>
    </row>
    <row r="220" customFormat="false" ht="15.75" hidden="false" customHeight="false" outlineLevel="0" collapsed="false">
      <c r="M220" s="2"/>
      <c r="N220" s="10"/>
    </row>
    <row r="221" customFormat="false" ht="15.75" hidden="false" customHeight="false" outlineLevel="0" collapsed="false">
      <c r="M221" s="2"/>
      <c r="N221" s="10"/>
    </row>
    <row r="222" customFormat="false" ht="15.75" hidden="false" customHeight="false" outlineLevel="0" collapsed="false">
      <c r="M222" s="2"/>
      <c r="N222" s="10"/>
    </row>
    <row r="223" customFormat="false" ht="15.75" hidden="false" customHeight="false" outlineLevel="0" collapsed="false">
      <c r="M223" s="2"/>
      <c r="N223" s="10"/>
    </row>
    <row r="224" customFormat="false" ht="15.75" hidden="false" customHeight="false" outlineLevel="0" collapsed="false">
      <c r="M224" s="2"/>
      <c r="N224" s="10"/>
    </row>
    <row r="225" customFormat="false" ht="15.75" hidden="false" customHeight="false" outlineLevel="0" collapsed="false">
      <c r="M225" s="2"/>
      <c r="N225" s="10"/>
    </row>
    <row r="226" customFormat="false" ht="15.75" hidden="false" customHeight="false" outlineLevel="0" collapsed="false">
      <c r="M226" s="2"/>
      <c r="N226" s="10"/>
    </row>
    <row r="227" customFormat="false" ht="15.75" hidden="false" customHeight="false" outlineLevel="0" collapsed="false">
      <c r="M227" s="2"/>
      <c r="N227" s="10"/>
    </row>
    <row r="228" customFormat="false" ht="15.75" hidden="false" customHeight="false" outlineLevel="0" collapsed="false">
      <c r="M228" s="2"/>
      <c r="N228" s="10"/>
    </row>
    <row r="229" customFormat="false" ht="15.75" hidden="false" customHeight="false" outlineLevel="0" collapsed="false">
      <c r="M229" s="2"/>
      <c r="N229" s="10"/>
    </row>
    <row r="230" customFormat="false" ht="15.75" hidden="false" customHeight="false" outlineLevel="0" collapsed="false">
      <c r="M230" s="2"/>
      <c r="N230" s="10"/>
    </row>
    <row r="231" customFormat="false" ht="15.75" hidden="false" customHeight="false" outlineLevel="0" collapsed="false">
      <c r="M231" s="2"/>
      <c r="N231" s="10"/>
    </row>
    <row r="232" customFormat="false" ht="15.75" hidden="false" customHeight="false" outlineLevel="0" collapsed="false">
      <c r="M232" s="2"/>
      <c r="N232" s="10"/>
    </row>
    <row r="233" customFormat="false" ht="15.75" hidden="false" customHeight="false" outlineLevel="0" collapsed="false">
      <c r="M233" s="2"/>
      <c r="N233" s="10"/>
    </row>
    <row r="234" customFormat="false" ht="15.75" hidden="false" customHeight="false" outlineLevel="0" collapsed="false">
      <c r="M234" s="2"/>
      <c r="N234" s="10"/>
    </row>
    <row r="235" customFormat="false" ht="15.75" hidden="false" customHeight="false" outlineLevel="0" collapsed="false">
      <c r="M235" s="2"/>
      <c r="N235" s="10"/>
    </row>
    <row r="236" customFormat="false" ht="15.75" hidden="false" customHeight="false" outlineLevel="0" collapsed="false">
      <c r="M236" s="2"/>
      <c r="N236" s="10"/>
    </row>
    <row r="237" customFormat="false" ht="15.75" hidden="false" customHeight="false" outlineLevel="0" collapsed="false">
      <c r="M237" s="2"/>
      <c r="N237" s="10"/>
    </row>
    <row r="238" customFormat="false" ht="15.75" hidden="false" customHeight="false" outlineLevel="0" collapsed="false">
      <c r="M238" s="2"/>
      <c r="N238" s="10"/>
    </row>
    <row r="239" customFormat="false" ht="15.75" hidden="false" customHeight="false" outlineLevel="0" collapsed="false">
      <c r="M239" s="2"/>
      <c r="N239" s="10"/>
    </row>
    <row r="240" customFormat="false" ht="15.75" hidden="false" customHeight="false" outlineLevel="0" collapsed="false">
      <c r="M240" s="2"/>
      <c r="N240" s="10"/>
    </row>
    <row r="241" customFormat="false" ht="15.75" hidden="false" customHeight="false" outlineLevel="0" collapsed="false">
      <c r="M241" s="2"/>
      <c r="N241" s="10"/>
    </row>
    <row r="242" customFormat="false" ht="15.75" hidden="false" customHeight="false" outlineLevel="0" collapsed="false">
      <c r="M242" s="2"/>
      <c r="N242" s="10"/>
    </row>
    <row r="243" customFormat="false" ht="15.75" hidden="false" customHeight="false" outlineLevel="0" collapsed="false">
      <c r="M243" s="2"/>
      <c r="N243" s="10"/>
    </row>
    <row r="244" customFormat="false" ht="15.75" hidden="false" customHeight="false" outlineLevel="0" collapsed="false">
      <c r="M244" s="2"/>
      <c r="N244" s="10"/>
    </row>
    <row r="245" customFormat="false" ht="15.75" hidden="false" customHeight="false" outlineLevel="0" collapsed="false">
      <c r="M245" s="2"/>
      <c r="N245" s="10"/>
    </row>
    <row r="246" customFormat="false" ht="15.75" hidden="false" customHeight="false" outlineLevel="0" collapsed="false">
      <c r="M246" s="2"/>
      <c r="N246" s="10"/>
    </row>
    <row r="247" customFormat="false" ht="15.75" hidden="false" customHeight="false" outlineLevel="0" collapsed="false">
      <c r="M247" s="2"/>
      <c r="N247" s="10"/>
    </row>
    <row r="248" customFormat="false" ht="15.75" hidden="false" customHeight="false" outlineLevel="0" collapsed="false">
      <c r="M248" s="2"/>
      <c r="N248" s="10"/>
    </row>
    <row r="249" customFormat="false" ht="15.75" hidden="false" customHeight="false" outlineLevel="0" collapsed="false">
      <c r="M249" s="2"/>
      <c r="N249" s="10"/>
    </row>
    <row r="250" customFormat="false" ht="15.75" hidden="false" customHeight="false" outlineLevel="0" collapsed="false">
      <c r="M250" s="2"/>
      <c r="N250" s="10"/>
    </row>
    <row r="251" customFormat="false" ht="15.75" hidden="false" customHeight="false" outlineLevel="0" collapsed="false">
      <c r="M251" s="2"/>
      <c r="N251" s="10"/>
    </row>
    <row r="252" customFormat="false" ht="15.75" hidden="false" customHeight="false" outlineLevel="0" collapsed="false">
      <c r="M252" s="2"/>
      <c r="N252" s="10"/>
    </row>
    <row r="253" customFormat="false" ht="15.75" hidden="false" customHeight="false" outlineLevel="0" collapsed="false">
      <c r="M253" s="2"/>
      <c r="N253" s="10"/>
    </row>
    <row r="254" customFormat="false" ht="15.75" hidden="false" customHeight="false" outlineLevel="0" collapsed="false">
      <c r="M254" s="2"/>
      <c r="N254" s="10"/>
    </row>
    <row r="255" customFormat="false" ht="15.75" hidden="false" customHeight="false" outlineLevel="0" collapsed="false">
      <c r="M255" s="2"/>
      <c r="N255" s="10"/>
    </row>
    <row r="256" customFormat="false" ht="15.75" hidden="false" customHeight="false" outlineLevel="0" collapsed="false">
      <c r="M256" s="2"/>
      <c r="N256" s="10"/>
    </row>
    <row r="257" customFormat="false" ht="15.75" hidden="false" customHeight="false" outlineLevel="0" collapsed="false">
      <c r="M257" s="2"/>
      <c r="N257" s="10"/>
    </row>
    <row r="258" customFormat="false" ht="15.75" hidden="false" customHeight="false" outlineLevel="0" collapsed="false">
      <c r="M258" s="2"/>
      <c r="N258" s="10"/>
    </row>
    <row r="259" customFormat="false" ht="15.75" hidden="false" customHeight="false" outlineLevel="0" collapsed="false">
      <c r="M259" s="2"/>
      <c r="N259" s="10"/>
    </row>
    <row r="260" customFormat="false" ht="15.75" hidden="false" customHeight="false" outlineLevel="0" collapsed="false">
      <c r="M260" s="2"/>
      <c r="N260" s="10"/>
    </row>
    <row r="261" customFormat="false" ht="15.75" hidden="false" customHeight="false" outlineLevel="0" collapsed="false">
      <c r="M261" s="2"/>
      <c r="N261" s="10"/>
    </row>
    <row r="262" customFormat="false" ht="15.75" hidden="false" customHeight="false" outlineLevel="0" collapsed="false">
      <c r="M262" s="2"/>
      <c r="N262" s="10"/>
    </row>
    <row r="263" customFormat="false" ht="15.75" hidden="false" customHeight="false" outlineLevel="0" collapsed="false">
      <c r="M263" s="2"/>
      <c r="N263" s="10"/>
    </row>
    <row r="264" customFormat="false" ht="15.75" hidden="false" customHeight="false" outlineLevel="0" collapsed="false">
      <c r="M264" s="2"/>
      <c r="N264" s="10"/>
    </row>
    <row r="265" customFormat="false" ht="15.75" hidden="false" customHeight="false" outlineLevel="0" collapsed="false">
      <c r="M265" s="2"/>
      <c r="N265" s="10"/>
    </row>
    <row r="266" customFormat="false" ht="15.75" hidden="false" customHeight="false" outlineLevel="0" collapsed="false">
      <c r="M266" s="2"/>
      <c r="N266" s="10"/>
    </row>
    <row r="267" customFormat="false" ht="15.75" hidden="false" customHeight="false" outlineLevel="0" collapsed="false">
      <c r="M267" s="2"/>
      <c r="N267" s="10"/>
    </row>
    <row r="268" customFormat="false" ht="15.75" hidden="false" customHeight="false" outlineLevel="0" collapsed="false">
      <c r="M268" s="2"/>
      <c r="N268" s="10"/>
    </row>
    <row r="269" customFormat="false" ht="15.75" hidden="false" customHeight="false" outlineLevel="0" collapsed="false">
      <c r="M269" s="2"/>
      <c r="N269" s="10"/>
    </row>
    <row r="270" customFormat="false" ht="15.75" hidden="false" customHeight="false" outlineLevel="0" collapsed="false">
      <c r="M270" s="2"/>
      <c r="N270" s="10"/>
    </row>
    <row r="271" customFormat="false" ht="15.75" hidden="false" customHeight="false" outlineLevel="0" collapsed="false">
      <c r="M271" s="2"/>
      <c r="N271" s="10"/>
    </row>
    <row r="272" customFormat="false" ht="15.75" hidden="false" customHeight="false" outlineLevel="0" collapsed="false">
      <c r="M272" s="2"/>
      <c r="N272" s="10"/>
    </row>
    <row r="273" customFormat="false" ht="15.75" hidden="false" customHeight="false" outlineLevel="0" collapsed="false">
      <c r="M273" s="2"/>
      <c r="N273" s="10"/>
    </row>
    <row r="274" customFormat="false" ht="15.75" hidden="false" customHeight="false" outlineLevel="0" collapsed="false">
      <c r="M274" s="2"/>
      <c r="N274" s="10"/>
    </row>
    <row r="275" customFormat="false" ht="15.75" hidden="false" customHeight="false" outlineLevel="0" collapsed="false">
      <c r="M275" s="2"/>
      <c r="N275" s="10"/>
    </row>
    <row r="276" customFormat="false" ht="15.75" hidden="false" customHeight="false" outlineLevel="0" collapsed="false">
      <c r="M276" s="2"/>
      <c r="N276" s="10"/>
    </row>
    <row r="277" customFormat="false" ht="15.75" hidden="false" customHeight="false" outlineLevel="0" collapsed="false">
      <c r="M277" s="2"/>
      <c r="N277" s="10"/>
    </row>
    <row r="278" customFormat="false" ht="15.75" hidden="false" customHeight="false" outlineLevel="0" collapsed="false">
      <c r="M278" s="2"/>
      <c r="N278" s="10"/>
    </row>
    <row r="279" customFormat="false" ht="15.75" hidden="false" customHeight="false" outlineLevel="0" collapsed="false">
      <c r="M279" s="2"/>
      <c r="N279" s="10"/>
    </row>
    <row r="280" customFormat="false" ht="15.75" hidden="false" customHeight="false" outlineLevel="0" collapsed="false">
      <c r="M280" s="2"/>
      <c r="N280" s="10"/>
    </row>
    <row r="281" customFormat="false" ht="15.75" hidden="false" customHeight="false" outlineLevel="0" collapsed="false">
      <c r="M281" s="2"/>
      <c r="N281" s="10"/>
    </row>
    <row r="282" customFormat="false" ht="15.75" hidden="false" customHeight="false" outlineLevel="0" collapsed="false">
      <c r="M282" s="2"/>
      <c r="N282" s="10"/>
    </row>
    <row r="283" customFormat="false" ht="15.75" hidden="false" customHeight="false" outlineLevel="0" collapsed="false">
      <c r="M283" s="2"/>
      <c r="N283" s="10"/>
    </row>
    <row r="284" customFormat="false" ht="15.75" hidden="false" customHeight="false" outlineLevel="0" collapsed="false">
      <c r="M284" s="2"/>
      <c r="N284" s="10"/>
    </row>
    <row r="285" customFormat="false" ht="15.75" hidden="false" customHeight="false" outlineLevel="0" collapsed="false">
      <c r="M285" s="2"/>
      <c r="N285" s="10"/>
    </row>
    <row r="286" customFormat="false" ht="15.75" hidden="false" customHeight="false" outlineLevel="0" collapsed="false">
      <c r="M286" s="2"/>
      <c r="N286" s="10"/>
    </row>
    <row r="287" customFormat="false" ht="15.75" hidden="false" customHeight="false" outlineLevel="0" collapsed="false">
      <c r="M287" s="2"/>
      <c r="N287" s="10"/>
    </row>
    <row r="288" customFormat="false" ht="15.75" hidden="false" customHeight="false" outlineLevel="0" collapsed="false">
      <c r="M288" s="2"/>
      <c r="N288" s="10"/>
    </row>
    <row r="289" customFormat="false" ht="15.75" hidden="false" customHeight="false" outlineLevel="0" collapsed="false">
      <c r="M289" s="2"/>
      <c r="N289" s="10"/>
    </row>
    <row r="290" customFormat="false" ht="15.75" hidden="false" customHeight="false" outlineLevel="0" collapsed="false">
      <c r="M290" s="2"/>
      <c r="N290" s="10"/>
    </row>
    <row r="291" customFormat="false" ht="15.75" hidden="false" customHeight="false" outlineLevel="0" collapsed="false">
      <c r="M291" s="2"/>
      <c r="N291" s="10"/>
    </row>
    <row r="292" customFormat="false" ht="15.75" hidden="false" customHeight="false" outlineLevel="0" collapsed="false">
      <c r="M292" s="2"/>
      <c r="N292" s="10"/>
    </row>
    <row r="293" customFormat="false" ht="15.75" hidden="false" customHeight="false" outlineLevel="0" collapsed="false">
      <c r="M293" s="2"/>
      <c r="N293" s="10"/>
    </row>
    <row r="294" customFormat="false" ht="15.75" hidden="false" customHeight="false" outlineLevel="0" collapsed="false">
      <c r="M294" s="2"/>
      <c r="N294" s="10"/>
    </row>
    <row r="295" customFormat="false" ht="15.75" hidden="false" customHeight="false" outlineLevel="0" collapsed="false">
      <c r="M295" s="2"/>
      <c r="N295" s="10"/>
    </row>
    <row r="296" customFormat="false" ht="15.75" hidden="false" customHeight="false" outlineLevel="0" collapsed="false">
      <c r="M296" s="2"/>
      <c r="N296" s="10"/>
    </row>
    <row r="297" customFormat="false" ht="15.75" hidden="false" customHeight="false" outlineLevel="0" collapsed="false">
      <c r="M297" s="2"/>
      <c r="N297" s="10"/>
    </row>
    <row r="298" customFormat="false" ht="15.75" hidden="false" customHeight="false" outlineLevel="0" collapsed="false">
      <c r="M298" s="2"/>
      <c r="N298" s="10"/>
    </row>
    <row r="299" customFormat="false" ht="15.75" hidden="false" customHeight="false" outlineLevel="0" collapsed="false">
      <c r="M299" s="2"/>
      <c r="N299" s="10"/>
    </row>
    <row r="300" customFormat="false" ht="15.75" hidden="false" customHeight="false" outlineLevel="0" collapsed="false">
      <c r="M300" s="2"/>
      <c r="N300" s="10"/>
    </row>
    <row r="301" customFormat="false" ht="15.75" hidden="false" customHeight="false" outlineLevel="0" collapsed="false">
      <c r="M301" s="2"/>
      <c r="N301" s="10"/>
    </row>
    <row r="302" customFormat="false" ht="15.75" hidden="false" customHeight="false" outlineLevel="0" collapsed="false">
      <c r="M302" s="2"/>
      <c r="N302" s="10"/>
    </row>
    <row r="303" customFormat="false" ht="15.75" hidden="false" customHeight="false" outlineLevel="0" collapsed="false">
      <c r="M303" s="2"/>
      <c r="N303" s="10"/>
    </row>
    <row r="304" customFormat="false" ht="15.75" hidden="false" customHeight="false" outlineLevel="0" collapsed="false">
      <c r="M304" s="2"/>
      <c r="N304" s="10"/>
    </row>
    <row r="305" customFormat="false" ht="15.75" hidden="false" customHeight="false" outlineLevel="0" collapsed="false">
      <c r="M305" s="2"/>
      <c r="N305" s="10"/>
    </row>
    <row r="306" customFormat="false" ht="15.75" hidden="false" customHeight="false" outlineLevel="0" collapsed="false">
      <c r="M306" s="2"/>
      <c r="N306" s="10"/>
    </row>
    <row r="307" customFormat="false" ht="15.75" hidden="false" customHeight="false" outlineLevel="0" collapsed="false">
      <c r="M307" s="2"/>
      <c r="N307" s="10"/>
    </row>
    <row r="308" customFormat="false" ht="15.75" hidden="false" customHeight="false" outlineLevel="0" collapsed="false">
      <c r="M308" s="2"/>
      <c r="N308" s="10"/>
    </row>
    <row r="309" customFormat="false" ht="15.75" hidden="false" customHeight="false" outlineLevel="0" collapsed="false">
      <c r="M309" s="2"/>
      <c r="N309" s="10"/>
    </row>
    <row r="310" customFormat="false" ht="15.75" hidden="false" customHeight="false" outlineLevel="0" collapsed="false">
      <c r="M310" s="2"/>
      <c r="N310" s="10"/>
    </row>
    <row r="311" customFormat="false" ht="15.75" hidden="false" customHeight="false" outlineLevel="0" collapsed="false">
      <c r="M311" s="2"/>
      <c r="N311" s="10"/>
    </row>
    <row r="312" customFormat="false" ht="15.75" hidden="false" customHeight="false" outlineLevel="0" collapsed="false">
      <c r="M312" s="2"/>
      <c r="N312" s="10"/>
    </row>
    <row r="313" customFormat="false" ht="15.75" hidden="false" customHeight="false" outlineLevel="0" collapsed="false">
      <c r="M313" s="2"/>
      <c r="N313" s="10"/>
    </row>
    <row r="314" customFormat="false" ht="15.75" hidden="false" customHeight="false" outlineLevel="0" collapsed="false">
      <c r="M314" s="2"/>
      <c r="N314" s="10"/>
    </row>
    <row r="315" customFormat="false" ht="15.75" hidden="false" customHeight="false" outlineLevel="0" collapsed="false">
      <c r="M315" s="2"/>
      <c r="N315" s="10"/>
    </row>
    <row r="316" customFormat="false" ht="15.75" hidden="false" customHeight="false" outlineLevel="0" collapsed="false">
      <c r="M316" s="2"/>
      <c r="N316" s="10"/>
    </row>
    <row r="317" customFormat="false" ht="15.75" hidden="false" customHeight="false" outlineLevel="0" collapsed="false">
      <c r="M317" s="2"/>
      <c r="N317" s="10"/>
    </row>
    <row r="318" customFormat="false" ht="15.75" hidden="false" customHeight="false" outlineLevel="0" collapsed="false">
      <c r="M318" s="2"/>
      <c r="N318" s="10"/>
    </row>
    <row r="319" customFormat="false" ht="15.75" hidden="false" customHeight="false" outlineLevel="0" collapsed="false">
      <c r="M319" s="2"/>
      <c r="N319" s="10"/>
    </row>
    <row r="320" customFormat="false" ht="15.75" hidden="false" customHeight="false" outlineLevel="0" collapsed="false">
      <c r="M320" s="2"/>
      <c r="N320" s="10"/>
    </row>
    <row r="321" customFormat="false" ht="15.75" hidden="false" customHeight="false" outlineLevel="0" collapsed="false">
      <c r="M321" s="2"/>
      <c r="N321" s="10"/>
    </row>
    <row r="322" customFormat="false" ht="15.75" hidden="false" customHeight="false" outlineLevel="0" collapsed="false">
      <c r="M322" s="2"/>
      <c r="N322" s="10"/>
    </row>
    <row r="323" customFormat="false" ht="15.75" hidden="false" customHeight="false" outlineLevel="0" collapsed="false">
      <c r="M323" s="2"/>
      <c r="N323" s="10"/>
    </row>
    <row r="324" customFormat="false" ht="15.75" hidden="false" customHeight="false" outlineLevel="0" collapsed="false">
      <c r="M324" s="2"/>
      <c r="N324" s="10"/>
    </row>
    <row r="325" customFormat="false" ht="15.75" hidden="false" customHeight="false" outlineLevel="0" collapsed="false">
      <c r="M325" s="2"/>
      <c r="N325" s="10"/>
    </row>
    <row r="326" customFormat="false" ht="15.75" hidden="false" customHeight="false" outlineLevel="0" collapsed="false">
      <c r="M326" s="2"/>
      <c r="N326" s="10"/>
    </row>
    <row r="327" customFormat="false" ht="15.75" hidden="false" customHeight="false" outlineLevel="0" collapsed="false">
      <c r="M327" s="2"/>
      <c r="N327" s="10"/>
    </row>
    <row r="328" customFormat="false" ht="15.75" hidden="false" customHeight="false" outlineLevel="0" collapsed="false">
      <c r="M328" s="2"/>
      <c r="N328" s="10"/>
    </row>
    <row r="329" customFormat="false" ht="15.75" hidden="false" customHeight="false" outlineLevel="0" collapsed="false">
      <c r="M329" s="2"/>
      <c r="N329" s="10"/>
    </row>
    <row r="330" customFormat="false" ht="15.75" hidden="false" customHeight="false" outlineLevel="0" collapsed="false">
      <c r="M330" s="2"/>
      <c r="N330" s="10"/>
    </row>
    <row r="331" customFormat="false" ht="15.75" hidden="false" customHeight="false" outlineLevel="0" collapsed="false">
      <c r="M331" s="2"/>
      <c r="N331" s="10"/>
    </row>
    <row r="332" customFormat="false" ht="15.75" hidden="false" customHeight="false" outlineLevel="0" collapsed="false">
      <c r="M332" s="2"/>
      <c r="N332" s="10"/>
    </row>
    <row r="333" customFormat="false" ht="15.75" hidden="false" customHeight="false" outlineLevel="0" collapsed="false">
      <c r="M333" s="2"/>
      <c r="N333" s="10"/>
    </row>
    <row r="334" customFormat="false" ht="15.75" hidden="false" customHeight="false" outlineLevel="0" collapsed="false">
      <c r="M334" s="2"/>
      <c r="N334" s="10"/>
    </row>
    <row r="335" customFormat="false" ht="15.75" hidden="false" customHeight="false" outlineLevel="0" collapsed="false">
      <c r="M335" s="2"/>
      <c r="N335" s="10"/>
    </row>
    <row r="336" customFormat="false" ht="15.75" hidden="false" customHeight="false" outlineLevel="0" collapsed="false">
      <c r="M336" s="2"/>
      <c r="N336" s="10"/>
    </row>
    <row r="337" customFormat="false" ht="15.75" hidden="false" customHeight="false" outlineLevel="0" collapsed="false">
      <c r="M337" s="2"/>
      <c r="N337" s="10"/>
    </row>
    <row r="338" customFormat="false" ht="15.75" hidden="false" customHeight="false" outlineLevel="0" collapsed="false">
      <c r="M338" s="2"/>
      <c r="N338" s="10"/>
    </row>
    <row r="339" customFormat="false" ht="15.75" hidden="false" customHeight="false" outlineLevel="0" collapsed="false">
      <c r="M339" s="2"/>
      <c r="N339" s="10"/>
    </row>
    <row r="340" customFormat="false" ht="15.75" hidden="false" customHeight="false" outlineLevel="0" collapsed="false">
      <c r="M340" s="2"/>
      <c r="N340" s="10"/>
    </row>
    <row r="341" customFormat="false" ht="15.75" hidden="false" customHeight="false" outlineLevel="0" collapsed="false">
      <c r="M341" s="2"/>
      <c r="N341" s="10"/>
    </row>
    <row r="342" customFormat="false" ht="15.75" hidden="false" customHeight="false" outlineLevel="0" collapsed="false">
      <c r="M342" s="2"/>
      <c r="N342" s="10"/>
    </row>
    <row r="343" customFormat="false" ht="15.75" hidden="false" customHeight="false" outlineLevel="0" collapsed="false">
      <c r="M343" s="2"/>
      <c r="N343" s="10"/>
    </row>
    <row r="344" customFormat="false" ht="15.75" hidden="false" customHeight="false" outlineLevel="0" collapsed="false">
      <c r="M344" s="2"/>
      <c r="N344" s="10"/>
    </row>
    <row r="345" customFormat="false" ht="15.75" hidden="false" customHeight="false" outlineLevel="0" collapsed="false">
      <c r="M345" s="2"/>
      <c r="N345" s="10"/>
    </row>
    <row r="346" customFormat="false" ht="15.75" hidden="false" customHeight="false" outlineLevel="0" collapsed="false">
      <c r="M346" s="2"/>
      <c r="N346" s="10"/>
    </row>
    <row r="347" customFormat="false" ht="15.75" hidden="false" customHeight="false" outlineLevel="0" collapsed="false">
      <c r="M347" s="2"/>
      <c r="N347" s="10"/>
    </row>
    <row r="348" customFormat="false" ht="15.75" hidden="false" customHeight="false" outlineLevel="0" collapsed="false">
      <c r="M348" s="2"/>
      <c r="N348" s="10"/>
    </row>
    <row r="349" customFormat="false" ht="15.75" hidden="false" customHeight="false" outlineLevel="0" collapsed="false">
      <c r="M349" s="2"/>
      <c r="N349" s="10"/>
    </row>
    <row r="350" customFormat="false" ht="15.75" hidden="false" customHeight="false" outlineLevel="0" collapsed="false">
      <c r="M350" s="2"/>
      <c r="N350" s="10"/>
    </row>
    <row r="351" customFormat="false" ht="15.75" hidden="false" customHeight="false" outlineLevel="0" collapsed="false">
      <c r="M351" s="2"/>
      <c r="N351" s="10"/>
    </row>
    <row r="352" customFormat="false" ht="15.75" hidden="false" customHeight="false" outlineLevel="0" collapsed="false">
      <c r="M352" s="2"/>
      <c r="N352" s="10"/>
    </row>
    <row r="353" customFormat="false" ht="15.75" hidden="false" customHeight="false" outlineLevel="0" collapsed="false">
      <c r="M353" s="2"/>
      <c r="N353" s="10"/>
    </row>
    <row r="354" customFormat="false" ht="15.75" hidden="false" customHeight="false" outlineLevel="0" collapsed="false">
      <c r="M354" s="2"/>
      <c r="N354" s="10"/>
    </row>
    <row r="355" customFormat="false" ht="15.75" hidden="false" customHeight="false" outlineLevel="0" collapsed="false">
      <c r="M355" s="2"/>
      <c r="N355" s="10"/>
    </row>
    <row r="356" customFormat="false" ht="15.75" hidden="false" customHeight="false" outlineLevel="0" collapsed="false">
      <c r="M356" s="2"/>
      <c r="N356" s="10"/>
    </row>
    <row r="357" customFormat="false" ht="15.75" hidden="false" customHeight="false" outlineLevel="0" collapsed="false">
      <c r="M357" s="2"/>
      <c r="N357" s="10"/>
    </row>
    <row r="358" customFormat="false" ht="15.75" hidden="false" customHeight="false" outlineLevel="0" collapsed="false">
      <c r="M358" s="2"/>
      <c r="N358" s="10"/>
    </row>
    <row r="359" customFormat="false" ht="15.75" hidden="false" customHeight="false" outlineLevel="0" collapsed="false">
      <c r="M359" s="2"/>
      <c r="N359" s="10"/>
    </row>
    <row r="360" customFormat="false" ht="15.75" hidden="false" customHeight="false" outlineLevel="0" collapsed="false">
      <c r="M360" s="2"/>
      <c r="N360" s="10"/>
    </row>
    <row r="361" customFormat="false" ht="15.75" hidden="false" customHeight="false" outlineLevel="0" collapsed="false">
      <c r="M361" s="2"/>
      <c r="N361" s="10"/>
    </row>
    <row r="362" customFormat="false" ht="15.75" hidden="false" customHeight="false" outlineLevel="0" collapsed="false">
      <c r="M362" s="2"/>
      <c r="N362" s="10"/>
    </row>
    <row r="363" customFormat="false" ht="15.75" hidden="false" customHeight="false" outlineLevel="0" collapsed="false">
      <c r="M363" s="2"/>
      <c r="N363" s="10"/>
    </row>
    <row r="364" customFormat="false" ht="15.75" hidden="false" customHeight="false" outlineLevel="0" collapsed="false">
      <c r="M364" s="2"/>
      <c r="N364" s="10"/>
    </row>
    <row r="365" customFormat="false" ht="15.75" hidden="false" customHeight="false" outlineLevel="0" collapsed="false">
      <c r="M365" s="2"/>
      <c r="N365" s="10"/>
    </row>
    <row r="366" customFormat="false" ht="15.75" hidden="false" customHeight="false" outlineLevel="0" collapsed="false">
      <c r="M366" s="2"/>
      <c r="N366" s="10"/>
    </row>
    <row r="367" customFormat="false" ht="15.75" hidden="false" customHeight="false" outlineLevel="0" collapsed="false">
      <c r="M367" s="2"/>
      <c r="N367" s="10"/>
    </row>
    <row r="368" customFormat="false" ht="15.75" hidden="false" customHeight="false" outlineLevel="0" collapsed="false">
      <c r="M368" s="2"/>
      <c r="N368" s="10"/>
    </row>
    <row r="369" customFormat="false" ht="15.75" hidden="false" customHeight="false" outlineLevel="0" collapsed="false">
      <c r="M369" s="2"/>
      <c r="N369" s="10"/>
    </row>
    <row r="370" customFormat="false" ht="15.75" hidden="false" customHeight="false" outlineLevel="0" collapsed="false">
      <c r="M370" s="2"/>
      <c r="N370" s="10"/>
    </row>
    <row r="371" customFormat="false" ht="15.75" hidden="false" customHeight="false" outlineLevel="0" collapsed="false">
      <c r="M371" s="2"/>
      <c r="N371" s="10"/>
    </row>
    <row r="372" customFormat="false" ht="15.75" hidden="false" customHeight="false" outlineLevel="0" collapsed="false">
      <c r="M372" s="2"/>
      <c r="N372" s="10"/>
    </row>
    <row r="373" customFormat="false" ht="15.75" hidden="false" customHeight="false" outlineLevel="0" collapsed="false">
      <c r="M373" s="2"/>
      <c r="N373" s="10"/>
    </row>
    <row r="374" customFormat="false" ht="15.75" hidden="false" customHeight="false" outlineLevel="0" collapsed="false">
      <c r="M374" s="2"/>
      <c r="N374" s="10"/>
    </row>
    <row r="375" customFormat="false" ht="15.75" hidden="false" customHeight="false" outlineLevel="0" collapsed="false">
      <c r="M375" s="2"/>
      <c r="N375" s="10"/>
    </row>
    <row r="376" customFormat="false" ht="15.75" hidden="false" customHeight="false" outlineLevel="0" collapsed="false">
      <c r="M376" s="2"/>
      <c r="N376" s="10"/>
    </row>
    <row r="377" customFormat="false" ht="15.75" hidden="false" customHeight="false" outlineLevel="0" collapsed="false">
      <c r="M377" s="2"/>
      <c r="N377" s="10"/>
    </row>
    <row r="378" customFormat="false" ht="15.75" hidden="false" customHeight="false" outlineLevel="0" collapsed="false">
      <c r="M378" s="2"/>
      <c r="N378" s="10"/>
    </row>
    <row r="379" customFormat="false" ht="15.75" hidden="false" customHeight="false" outlineLevel="0" collapsed="false">
      <c r="M379" s="2"/>
      <c r="N379" s="10"/>
    </row>
    <row r="380" customFormat="false" ht="15.75" hidden="false" customHeight="false" outlineLevel="0" collapsed="false">
      <c r="M380" s="2"/>
      <c r="N380" s="10"/>
    </row>
    <row r="381" customFormat="false" ht="15.75" hidden="false" customHeight="false" outlineLevel="0" collapsed="false">
      <c r="M381" s="2"/>
      <c r="N381" s="10"/>
    </row>
    <row r="382" customFormat="false" ht="15.75" hidden="false" customHeight="false" outlineLevel="0" collapsed="false">
      <c r="M382" s="2"/>
      <c r="N382" s="10"/>
    </row>
    <row r="383" customFormat="false" ht="15.75" hidden="false" customHeight="false" outlineLevel="0" collapsed="false">
      <c r="M383" s="2"/>
      <c r="N383" s="10"/>
    </row>
    <row r="384" customFormat="false" ht="15.75" hidden="false" customHeight="false" outlineLevel="0" collapsed="false">
      <c r="M384" s="2"/>
      <c r="N384" s="10"/>
    </row>
    <row r="385" customFormat="false" ht="15.75" hidden="false" customHeight="false" outlineLevel="0" collapsed="false">
      <c r="M385" s="2"/>
      <c r="N385" s="10"/>
    </row>
    <row r="386" customFormat="false" ht="15.75" hidden="false" customHeight="false" outlineLevel="0" collapsed="false">
      <c r="M386" s="2"/>
      <c r="N386" s="10"/>
    </row>
    <row r="387" customFormat="false" ht="15.75" hidden="false" customHeight="false" outlineLevel="0" collapsed="false">
      <c r="M387" s="2"/>
      <c r="N387" s="10"/>
    </row>
    <row r="388" customFormat="false" ht="15.75" hidden="false" customHeight="false" outlineLevel="0" collapsed="false">
      <c r="M388" s="2"/>
      <c r="N388" s="10"/>
    </row>
    <row r="389" customFormat="false" ht="15.75" hidden="false" customHeight="false" outlineLevel="0" collapsed="false">
      <c r="M389" s="2"/>
      <c r="N389" s="10"/>
    </row>
    <row r="390" customFormat="false" ht="15.75" hidden="false" customHeight="false" outlineLevel="0" collapsed="false">
      <c r="M390" s="2"/>
      <c r="N390" s="10"/>
    </row>
    <row r="391" customFormat="false" ht="15.75" hidden="false" customHeight="false" outlineLevel="0" collapsed="false">
      <c r="M391" s="2"/>
      <c r="N391" s="10"/>
    </row>
    <row r="392" customFormat="false" ht="15.75" hidden="false" customHeight="false" outlineLevel="0" collapsed="false">
      <c r="M392" s="2"/>
      <c r="N392" s="10"/>
    </row>
    <row r="393" customFormat="false" ht="15.75" hidden="false" customHeight="false" outlineLevel="0" collapsed="false">
      <c r="M393" s="2"/>
      <c r="N393" s="10"/>
    </row>
    <row r="394" customFormat="false" ht="15.75" hidden="false" customHeight="false" outlineLevel="0" collapsed="false">
      <c r="M394" s="2"/>
      <c r="N394" s="10"/>
    </row>
    <row r="395" customFormat="false" ht="15.75" hidden="false" customHeight="false" outlineLevel="0" collapsed="false">
      <c r="M395" s="2"/>
      <c r="N395" s="10"/>
    </row>
    <row r="396" customFormat="false" ht="15.75" hidden="false" customHeight="false" outlineLevel="0" collapsed="false">
      <c r="M396" s="2"/>
      <c r="N396" s="10"/>
    </row>
    <row r="397" customFormat="false" ht="15.75" hidden="false" customHeight="false" outlineLevel="0" collapsed="false">
      <c r="M397" s="2"/>
      <c r="N397" s="10"/>
    </row>
    <row r="398" customFormat="false" ht="15.75" hidden="false" customHeight="false" outlineLevel="0" collapsed="false">
      <c r="M398" s="2"/>
      <c r="N398" s="10"/>
    </row>
    <row r="399" customFormat="false" ht="15.75" hidden="false" customHeight="false" outlineLevel="0" collapsed="false">
      <c r="M399" s="2"/>
      <c r="N399" s="10"/>
    </row>
    <row r="400" customFormat="false" ht="15.75" hidden="false" customHeight="false" outlineLevel="0" collapsed="false">
      <c r="M400" s="2"/>
      <c r="N400" s="10"/>
    </row>
    <row r="401" customFormat="false" ht="15.75" hidden="false" customHeight="false" outlineLevel="0" collapsed="false">
      <c r="M401" s="2"/>
      <c r="N401" s="10"/>
    </row>
    <row r="402" customFormat="false" ht="15.75" hidden="false" customHeight="false" outlineLevel="0" collapsed="false">
      <c r="M402" s="2"/>
      <c r="N402" s="10"/>
    </row>
    <row r="403" customFormat="false" ht="15.75" hidden="false" customHeight="false" outlineLevel="0" collapsed="false">
      <c r="M403" s="2"/>
      <c r="N403" s="10"/>
    </row>
    <row r="404" customFormat="false" ht="15.75" hidden="false" customHeight="false" outlineLevel="0" collapsed="false">
      <c r="M404" s="2"/>
      <c r="N404" s="10"/>
    </row>
    <row r="405" customFormat="false" ht="15.75" hidden="false" customHeight="false" outlineLevel="0" collapsed="false">
      <c r="M405" s="2"/>
      <c r="N405" s="10"/>
    </row>
    <row r="406" customFormat="false" ht="15.75" hidden="false" customHeight="false" outlineLevel="0" collapsed="false">
      <c r="M406" s="2"/>
      <c r="N406" s="10"/>
    </row>
    <row r="407" customFormat="false" ht="15.75" hidden="false" customHeight="false" outlineLevel="0" collapsed="false">
      <c r="M407" s="2"/>
      <c r="N407" s="10"/>
    </row>
    <row r="408" customFormat="false" ht="15.75" hidden="false" customHeight="false" outlineLevel="0" collapsed="false">
      <c r="M408" s="2"/>
      <c r="N408" s="10"/>
    </row>
    <row r="409" customFormat="false" ht="15.75" hidden="false" customHeight="false" outlineLevel="0" collapsed="false">
      <c r="M409" s="2"/>
      <c r="N409" s="10"/>
    </row>
    <row r="410" customFormat="false" ht="15.75" hidden="false" customHeight="false" outlineLevel="0" collapsed="false">
      <c r="M410" s="2"/>
      <c r="N410" s="10"/>
    </row>
    <row r="411" customFormat="false" ht="15.75" hidden="false" customHeight="false" outlineLevel="0" collapsed="false">
      <c r="M411" s="2"/>
      <c r="N411" s="10"/>
    </row>
    <row r="412" customFormat="false" ht="15.75" hidden="false" customHeight="false" outlineLevel="0" collapsed="false">
      <c r="M412" s="2"/>
      <c r="N412" s="10"/>
    </row>
    <row r="413" customFormat="false" ht="15.75" hidden="false" customHeight="false" outlineLevel="0" collapsed="false">
      <c r="M413" s="2"/>
      <c r="N413" s="10"/>
    </row>
    <row r="414" customFormat="false" ht="15.75" hidden="false" customHeight="false" outlineLevel="0" collapsed="false">
      <c r="M414" s="2"/>
      <c r="N414" s="10"/>
    </row>
    <row r="415" customFormat="false" ht="15.75" hidden="false" customHeight="false" outlineLevel="0" collapsed="false">
      <c r="M415" s="2"/>
      <c r="N415" s="10"/>
    </row>
    <row r="416" customFormat="false" ht="15.75" hidden="false" customHeight="false" outlineLevel="0" collapsed="false">
      <c r="M416" s="2"/>
      <c r="N416" s="10"/>
    </row>
    <row r="417" customFormat="false" ht="15.75" hidden="false" customHeight="false" outlineLevel="0" collapsed="false">
      <c r="M417" s="2"/>
      <c r="N417" s="10"/>
    </row>
    <row r="418" customFormat="false" ht="15.75" hidden="false" customHeight="false" outlineLevel="0" collapsed="false">
      <c r="M418" s="2"/>
      <c r="N418" s="10"/>
    </row>
    <row r="419" customFormat="false" ht="15.75" hidden="false" customHeight="false" outlineLevel="0" collapsed="false">
      <c r="M419" s="2"/>
      <c r="N419" s="10"/>
    </row>
    <row r="420" customFormat="false" ht="15.75" hidden="false" customHeight="false" outlineLevel="0" collapsed="false">
      <c r="M420" s="2"/>
      <c r="N420" s="10"/>
    </row>
    <row r="421" customFormat="false" ht="15.75" hidden="false" customHeight="false" outlineLevel="0" collapsed="false">
      <c r="M421" s="2"/>
      <c r="N421" s="10"/>
    </row>
    <row r="422" customFormat="false" ht="15.75" hidden="false" customHeight="false" outlineLevel="0" collapsed="false">
      <c r="M422" s="2"/>
      <c r="N422" s="10"/>
    </row>
    <row r="423" customFormat="false" ht="15.75" hidden="false" customHeight="false" outlineLevel="0" collapsed="false">
      <c r="M423" s="2"/>
      <c r="N423" s="10"/>
    </row>
    <row r="424" customFormat="false" ht="15.75" hidden="false" customHeight="false" outlineLevel="0" collapsed="false">
      <c r="M424" s="2"/>
      <c r="N424" s="10"/>
    </row>
    <row r="425" customFormat="false" ht="15.75" hidden="false" customHeight="false" outlineLevel="0" collapsed="false">
      <c r="M425" s="2"/>
      <c r="N425" s="10"/>
    </row>
    <row r="426" customFormat="false" ht="15.75" hidden="false" customHeight="false" outlineLevel="0" collapsed="false">
      <c r="M426" s="2"/>
      <c r="N426" s="10"/>
    </row>
    <row r="427" customFormat="false" ht="15.75" hidden="false" customHeight="false" outlineLevel="0" collapsed="false">
      <c r="M427" s="2"/>
      <c r="N427" s="10"/>
    </row>
    <row r="428" customFormat="false" ht="15.75" hidden="false" customHeight="false" outlineLevel="0" collapsed="false">
      <c r="M428" s="2"/>
      <c r="N428" s="10"/>
    </row>
    <row r="429" customFormat="false" ht="15.75" hidden="false" customHeight="false" outlineLevel="0" collapsed="false">
      <c r="M429" s="2"/>
      <c r="N429" s="10"/>
    </row>
    <row r="430" customFormat="false" ht="15.75" hidden="false" customHeight="false" outlineLevel="0" collapsed="false">
      <c r="M430" s="2"/>
      <c r="N430" s="10"/>
    </row>
    <row r="431" customFormat="false" ht="15.75" hidden="false" customHeight="false" outlineLevel="0" collapsed="false">
      <c r="M431" s="2"/>
      <c r="N431" s="10"/>
    </row>
    <row r="432" customFormat="false" ht="15.75" hidden="false" customHeight="false" outlineLevel="0" collapsed="false">
      <c r="M432" s="2"/>
      <c r="N432" s="10"/>
    </row>
    <row r="433" customFormat="false" ht="15.75" hidden="false" customHeight="false" outlineLevel="0" collapsed="false">
      <c r="M433" s="2"/>
      <c r="N433" s="10"/>
    </row>
    <row r="434" customFormat="false" ht="15.75" hidden="false" customHeight="false" outlineLevel="0" collapsed="false">
      <c r="M434" s="2"/>
      <c r="N434" s="10"/>
    </row>
    <row r="435" customFormat="false" ht="15.75" hidden="false" customHeight="false" outlineLevel="0" collapsed="false">
      <c r="M435" s="2"/>
      <c r="N435" s="10"/>
    </row>
    <row r="436" customFormat="false" ht="15.75" hidden="false" customHeight="false" outlineLevel="0" collapsed="false">
      <c r="M436" s="2"/>
      <c r="N436" s="10"/>
    </row>
    <row r="437" customFormat="false" ht="15.75" hidden="false" customHeight="false" outlineLevel="0" collapsed="false">
      <c r="M437" s="2"/>
      <c r="N437" s="10"/>
    </row>
    <row r="438" customFormat="false" ht="15.75" hidden="false" customHeight="false" outlineLevel="0" collapsed="false">
      <c r="M438" s="2"/>
      <c r="N438" s="10"/>
    </row>
    <row r="439" customFormat="false" ht="15.75" hidden="false" customHeight="false" outlineLevel="0" collapsed="false">
      <c r="M439" s="2"/>
      <c r="N439" s="10"/>
    </row>
    <row r="440" customFormat="false" ht="15.75" hidden="false" customHeight="false" outlineLevel="0" collapsed="false">
      <c r="M440" s="2"/>
      <c r="N440" s="10"/>
    </row>
    <row r="441" customFormat="false" ht="15.75" hidden="false" customHeight="false" outlineLevel="0" collapsed="false">
      <c r="M441" s="2"/>
      <c r="N441" s="10"/>
    </row>
    <row r="442" customFormat="false" ht="15.75" hidden="false" customHeight="false" outlineLevel="0" collapsed="false">
      <c r="M442" s="2"/>
      <c r="N442" s="10"/>
    </row>
    <row r="443" customFormat="false" ht="15.75" hidden="false" customHeight="false" outlineLevel="0" collapsed="false">
      <c r="M443" s="2"/>
      <c r="N443" s="10"/>
    </row>
    <row r="444" customFormat="false" ht="15.75" hidden="false" customHeight="false" outlineLevel="0" collapsed="false">
      <c r="M444" s="2"/>
      <c r="N444" s="10"/>
    </row>
    <row r="445" customFormat="false" ht="15.75" hidden="false" customHeight="false" outlineLevel="0" collapsed="false">
      <c r="M445" s="2"/>
      <c r="N445" s="10"/>
    </row>
    <row r="446" customFormat="false" ht="15.75" hidden="false" customHeight="false" outlineLevel="0" collapsed="false">
      <c r="M446" s="2"/>
      <c r="N446" s="10"/>
    </row>
    <row r="447" customFormat="false" ht="15.75" hidden="false" customHeight="false" outlineLevel="0" collapsed="false">
      <c r="M447" s="2"/>
      <c r="N447" s="10"/>
    </row>
    <row r="448" customFormat="false" ht="15.75" hidden="false" customHeight="false" outlineLevel="0" collapsed="false">
      <c r="M448" s="2"/>
      <c r="N448" s="10"/>
    </row>
    <row r="449" customFormat="false" ht="15.75" hidden="false" customHeight="false" outlineLevel="0" collapsed="false">
      <c r="M449" s="2"/>
      <c r="N449" s="10"/>
    </row>
    <row r="450" customFormat="false" ht="15.75" hidden="false" customHeight="false" outlineLevel="0" collapsed="false">
      <c r="M450" s="2"/>
      <c r="N450" s="10"/>
    </row>
    <row r="451" customFormat="false" ht="15.75" hidden="false" customHeight="false" outlineLevel="0" collapsed="false">
      <c r="M451" s="2"/>
      <c r="N451" s="10"/>
    </row>
    <row r="452" customFormat="false" ht="15.75" hidden="false" customHeight="false" outlineLevel="0" collapsed="false">
      <c r="M452" s="2"/>
      <c r="N452" s="10"/>
    </row>
    <row r="453" customFormat="false" ht="15.75" hidden="false" customHeight="false" outlineLevel="0" collapsed="false">
      <c r="M453" s="2"/>
      <c r="N453" s="10"/>
    </row>
    <row r="454" customFormat="false" ht="15.75" hidden="false" customHeight="false" outlineLevel="0" collapsed="false">
      <c r="M454" s="2"/>
      <c r="N454" s="10"/>
    </row>
    <row r="455" customFormat="false" ht="15.75" hidden="false" customHeight="false" outlineLevel="0" collapsed="false">
      <c r="M455" s="2"/>
      <c r="N455" s="10"/>
    </row>
    <row r="456" customFormat="false" ht="15.75" hidden="false" customHeight="false" outlineLevel="0" collapsed="false">
      <c r="M456" s="2"/>
      <c r="N456" s="10"/>
    </row>
    <row r="457" customFormat="false" ht="15.75" hidden="false" customHeight="false" outlineLevel="0" collapsed="false">
      <c r="M457" s="2"/>
      <c r="N457" s="10"/>
    </row>
    <row r="458" customFormat="false" ht="15.75" hidden="false" customHeight="false" outlineLevel="0" collapsed="false">
      <c r="M458" s="2"/>
      <c r="N458" s="10"/>
    </row>
    <row r="459" customFormat="false" ht="15.75" hidden="false" customHeight="false" outlineLevel="0" collapsed="false">
      <c r="M459" s="2"/>
      <c r="N459" s="10"/>
    </row>
    <row r="460" customFormat="false" ht="15.75" hidden="false" customHeight="false" outlineLevel="0" collapsed="false">
      <c r="M460" s="2"/>
      <c r="N460" s="10"/>
    </row>
    <row r="461" customFormat="false" ht="15.75" hidden="false" customHeight="false" outlineLevel="0" collapsed="false">
      <c r="M461" s="2"/>
      <c r="N461" s="10"/>
    </row>
    <row r="462" customFormat="false" ht="15.75" hidden="false" customHeight="false" outlineLevel="0" collapsed="false">
      <c r="M462" s="2"/>
      <c r="N462" s="10"/>
    </row>
    <row r="463" customFormat="false" ht="15.75" hidden="false" customHeight="false" outlineLevel="0" collapsed="false">
      <c r="M463" s="2"/>
      <c r="N463" s="10"/>
    </row>
    <row r="464" customFormat="false" ht="15.75" hidden="false" customHeight="false" outlineLevel="0" collapsed="false">
      <c r="M464" s="2"/>
      <c r="N464" s="10"/>
    </row>
    <row r="465" customFormat="false" ht="15.75" hidden="false" customHeight="false" outlineLevel="0" collapsed="false">
      <c r="M465" s="2"/>
      <c r="N465" s="10"/>
    </row>
    <row r="466" customFormat="false" ht="15.75" hidden="false" customHeight="false" outlineLevel="0" collapsed="false">
      <c r="M466" s="2"/>
      <c r="N466" s="10"/>
    </row>
    <row r="467" customFormat="false" ht="15.75" hidden="false" customHeight="false" outlineLevel="0" collapsed="false">
      <c r="M467" s="2"/>
      <c r="N467" s="10"/>
    </row>
    <row r="468" customFormat="false" ht="15.75" hidden="false" customHeight="false" outlineLevel="0" collapsed="false">
      <c r="M468" s="2"/>
      <c r="N468" s="10"/>
    </row>
    <row r="469" customFormat="false" ht="15.75" hidden="false" customHeight="false" outlineLevel="0" collapsed="false">
      <c r="M469" s="2"/>
      <c r="N469" s="10"/>
    </row>
    <row r="470" customFormat="false" ht="15.75" hidden="false" customHeight="false" outlineLevel="0" collapsed="false">
      <c r="M470" s="2"/>
      <c r="N470" s="10"/>
    </row>
    <row r="471" customFormat="false" ht="15.75" hidden="false" customHeight="false" outlineLevel="0" collapsed="false">
      <c r="M471" s="2"/>
      <c r="N471" s="10"/>
    </row>
    <row r="472" customFormat="false" ht="15.75" hidden="false" customHeight="false" outlineLevel="0" collapsed="false">
      <c r="M472" s="2"/>
      <c r="N472" s="10"/>
    </row>
    <row r="473" customFormat="false" ht="15.75" hidden="false" customHeight="false" outlineLevel="0" collapsed="false">
      <c r="M473" s="2"/>
      <c r="N473" s="10"/>
    </row>
    <row r="474" customFormat="false" ht="15.75" hidden="false" customHeight="false" outlineLevel="0" collapsed="false">
      <c r="M474" s="2"/>
      <c r="N474" s="10"/>
    </row>
    <row r="475" customFormat="false" ht="15.75" hidden="false" customHeight="false" outlineLevel="0" collapsed="false">
      <c r="M475" s="2"/>
      <c r="N475" s="10"/>
    </row>
    <row r="476" customFormat="false" ht="15.75" hidden="false" customHeight="false" outlineLevel="0" collapsed="false">
      <c r="M476" s="2"/>
      <c r="N476" s="10"/>
    </row>
    <row r="477" customFormat="false" ht="15.75" hidden="false" customHeight="false" outlineLevel="0" collapsed="false">
      <c r="M477" s="2"/>
      <c r="N477" s="10"/>
    </row>
    <row r="478" customFormat="false" ht="15.75" hidden="false" customHeight="false" outlineLevel="0" collapsed="false">
      <c r="M478" s="2"/>
      <c r="N478" s="10"/>
    </row>
    <row r="479" customFormat="false" ht="15.75" hidden="false" customHeight="false" outlineLevel="0" collapsed="false">
      <c r="M479" s="2"/>
      <c r="N479" s="10"/>
    </row>
    <row r="480" customFormat="false" ht="15.75" hidden="false" customHeight="false" outlineLevel="0" collapsed="false">
      <c r="M480" s="2"/>
      <c r="N480" s="10"/>
    </row>
    <row r="481" customFormat="false" ht="15.75" hidden="false" customHeight="false" outlineLevel="0" collapsed="false">
      <c r="M481" s="2"/>
      <c r="N481" s="10"/>
    </row>
    <row r="482" customFormat="false" ht="15.75" hidden="false" customHeight="false" outlineLevel="0" collapsed="false">
      <c r="M482" s="2"/>
      <c r="N482" s="10"/>
    </row>
    <row r="483" customFormat="false" ht="15.75" hidden="false" customHeight="false" outlineLevel="0" collapsed="false">
      <c r="M483" s="2"/>
      <c r="N483" s="10"/>
    </row>
    <row r="484" customFormat="false" ht="15.75" hidden="false" customHeight="false" outlineLevel="0" collapsed="false">
      <c r="M484" s="2"/>
      <c r="N484" s="10"/>
    </row>
    <row r="485" customFormat="false" ht="15.75" hidden="false" customHeight="false" outlineLevel="0" collapsed="false">
      <c r="M485" s="2"/>
      <c r="N485" s="10"/>
    </row>
    <row r="486" customFormat="false" ht="15.75" hidden="false" customHeight="false" outlineLevel="0" collapsed="false">
      <c r="M486" s="2"/>
      <c r="N486" s="10"/>
    </row>
    <row r="487" customFormat="false" ht="15.75" hidden="false" customHeight="false" outlineLevel="0" collapsed="false">
      <c r="M487" s="2"/>
      <c r="N487" s="10"/>
    </row>
    <row r="488" customFormat="false" ht="15.75" hidden="false" customHeight="false" outlineLevel="0" collapsed="false">
      <c r="M488" s="2"/>
      <c r="N488" s="10"/>
    </row>
    <row r="489" customFormat="false" ht="15.75" hidden="false" customHeight="false" outlineLevel="0" collapsed="false">
      <c r="M489" s="2"/>
      <c r="N489" s="10"/>
    </row>
    <row r="490" customFormat="false" ht="15.75" hidden="false" customHeight="false" outlineLevel="0" collapsed="false">
      <c r="M490" s="2"/>
      <c r="N490" s="10"/>
    </row>
    <row r="491" customFormat="false" ht="15.75" hidden="false" customHeight="false" outlineLevel="0" collapsed="false">
      <c r="M491" s="2"/>
      <c r="N491" s="10"/>
    </row>
    <row r="492" customFormat="false" ht="15.75" hidden="false" customHeight="false" outlineLevel="0" collapsed="false">
      <c r="M492" s="2"/>
      <c r="N492" s="10"/>
    </row>
    <row r="493" customFormat="false" ht="15.75" hidden="false" customHeight="false" outlineLevel="0" collapsed="false">
      <c r="M493" s="2"/>
      <c r="N493" s="10"/>
    </row>
    <row r="494" customFormat="false" ht="15.75" hidden="false" customHeight="false" outlineLevel="0" collapsed="false">
      <c r="M494" s="2"/>
      <c r="N494" s="10"/>
    </row>
    <row r="495" customFormat="false" ht="15.75" hidden="false" customHeight="false" outlineLevel="0" collapsed="false">
      <c r="M495" s="2"/>
      <c r="N495" s="10"/>
    </row>
    <row r="496" customFormat="false" ht="15.75" hidden="false" customHeight="false" outlineLevel="0" collapsed="false">
      <c r="M496" s="2"/>
      <c r="N496" s="10"/>
    </row>
    <row r="497" customFormat="false" ht="15.75" hidden="false" customHeight="false" outlineLevel="0" collapsed="false">
      <c r="M497" s="2"/>
      <c r="N497" s="10"/>
    </row>
    <row r="498" customFormat="false" ht="15.75" hidden="false" customHeight="false" outlineLevel="0" collapsed="false">
      <c r="M498" s="2"/>
      <c r="N498" s="10"/>
    </row>
    <row r="499" customFormat="false" ht="15.75" hidden="false" customHeight="false" outlineLevel="0" collapsed="false">
      <c r="M499" s="2"/>
      <c r="N499" s="10"/>
    </row>
    <row r="500" customFormat="false" ht="15.75" hidden="false" customHeight="false" outlineLevel="0" collapsed="false">
      <c r="M500" s="2"/>
      <c r="N500" s="10"/>
    </row>
    <row r="501" customFormat="false" ht="15.75" hidden="false" customHeight="false" outlineLevel="0" collapsed="false">
      <c r="M501" s="2"/>
      <c r="N501" s="10"/>
    </row>
    <row r="502" customFormat="false" ht="15.75" hidden="false" customHeight="false" outlineLevel="0" collapsed="false">
      <c r="M502" s="2"/>
      <c r="N502" s="10"/>
    </row>
    <row r="503" customFormat="false" ht="15.75" hidden="false" customHeight="false" outlineLevel="0" collapsed="false">
      <c r="M503" s="2"/>
      <c r="N503" s="10"/>
    </row>
    <row r="504" customFormat="false" ht="15.75" hidden="false" customHeight="false" outlineLevel="0" collapsed="false">
      <c r="M504" s="2"/>
      <c r="N504" s="10"/>
    </row>
    <row r="505" customFormat="false" ht="15.75" hidden="false" customHeight="false" outlineLevel="0" collapsed="false">
      <c r="M505" s="2"/>
      <c r="N505" s="10"/>
    </row>
    <row r="506" customFormat="false" ht="15.75" hidden="false" customHeight="false" outlineLevel="0" collapsed="false">
      <c r="M506" s="2"/>
      <c r="N506" s="10"/>
    </row>
    <row r="507" customFormat="false" ht="15.75" hidden="false" customHeight="false" outlineLevel="0" collapsed="false">
      <c r="M507" s="2"/>
      <c r="N507" s="10"/>
    </row>
    <row r="508" customFormat="false" ht="15.75" hidden="false" customHeight="false" outlineLevel="0" collapsed="false">
      <c r="M508" s="2"/>
      <c r="N508" s="10"/>
    </row>
    <row r="509" customFormat="false" ht="15.75" hidden="false" customHeight="false" outlineLevel="0" collapsed="false">
      <c r="M509" s="2"/>
      <c r="N509" s="10"/>
    </row>
    <row r="510" customFormat="false" ht="15.75" hidden="false" customHeight="false" outlineLevel="0" collapsed="false">
      <c r="M510" s="2"/>
      <c r="N510" s="10"/>
    </row>
    <row r="511" customFormat="false" ht="15.75" hidden="false" customHeight="false" outlineLevel="0" collapsed="false">
      <c r="M511" s="2"/>
      <c r="N511" s="10"/>
    </row>
    <row r="512" customFormat="false" ht="15.75" hidden="false" customHeight="false" outlineLevel="0" collapsed="false">
      <c r="M512" s="2"/>
      <c r="N512" s="10"/>
    </row>
    <row r="513" customFormat="false" ht="15.75" hidden="false" customHeight="false" outlineLevel="0" collapsed="false">
      <c r="M513" s="2"/>
      <c r="N513" s="10"/>
    </row>
    <row r="514" customFormat="false" ht="15.75" hidden="false" customHeight="false" outlineLevel="0" collapsed="false">
      <c r="M514" s="2"/>
      <c r="N514" s="10"/>
    </row>
    <row r="515" customFormat="false" ht="15.75" hidden="false" customHeight="false" outlineLevel="0" collapsed="false">
      <c r="M515" s="2"/>
      <c r="N515" s="10"/>
    </row>
    <row r="516" customFormat="false" ht="15.75" hidden="false" customHeight="false" outlineLevel="0" collapsed="false">
      <c r="M516" s="2"/>
      <c r="N516" s="10"/>
    </row>
    <row r="517" customFormat="false" ht="15.75" hidden="false" customHeight="false" outlineLevel="0" collapsed="false">
      <c r="M517" s="2"/>
      <c r="N517" s="10"/>
    </row>
    <row r="518" customFormat="false" ht="15.75" hidden="false" customHeight="false" outlineLevel="0" collapsed="false">
      <c r="M518" s="2"/>
      <c r="N518" s="10"/>
    </row>
    <row r="519" customFormat="false" ht="15.75" hidden="false" customHeight="false" outlineLevel="0" collapsed="false">
      <c r="M519" s="2"/>
      <c r="N519" s="10"/>
    </row>
    <row r="520" customFormat="false" ht="15.75" hidden="false" customHeight="false" outlineLevel="0" collapsed="false">
      <c r="M520" s="2"/>
      <c r="N520" s="10"/>
    </row>
    <row r="521" customFormat="false" ht="15.75" hidden="false" customHeight="false" outlineLevel="0" collapsed="false">
      <c r="M521" s="2"/>
      <c r="N521" s="10"/>
    </row>
    <row r="522" customFormat="false" ht="15.75" hidden="false" customHeight="false" outlineLevel="0" collapsed="false">
      <c r="M522" s="2"/>
      <c r="N522" s="10"/>
    </row>
    <row r="523" customFormat="false" ht="15.75" hidden="false" customHeight="false" outlineLevel="0" collapsed="false">
      <c r="M523" s="2"/>
      <c r="N523" s="10"/>
    </row>
    <row r="524" customFormat="false" ht="15.75" hidden="false" customHeight="false" outlineLevel="0" collapsed="false">
      <c r="M524" s="2"/>
      <c r="N524" s="10"/>
    </row>
    <row r="525" customFormat="false" ht="15.75" hidden="false" customHeight="false" outlineLevel="0" collapsed="false">
      <c r="M525" s="2"/>
      <c r="N525" s="10"/>
    </row>
    <row r="526" customFormat="false" ht="15.75" hidden="false" customHeight="false" outlineLevel="0" collapsed="false">
      <c r="M526" s="2"/>
      <c r="N526" s="10"/>
    </row>
    <row r="527" customFormat="false" ht="15.75" hidden="false" customHeight="false" outlineLevel="0" collapsed="false">
      <c r="M527" s="2"/>
      <c r="N527" s="10"/>
    </row>
    <row r="528" customFormat="false" ht="15.75" hidden="false" customHeight="false" outlineLevel="0" collapsed="false">
      <c r="M528" s="2"/>
      <c r="N528" s="10"/>
    </row>
    <row r="529" customFormat="false" ht="15.75" hidden="false" customHeight="false" outlineLevel="0" collapsed="false">
      <c r="M529" s="2"/>
      <c r="N529" s="10"/>
    </row>
    <row r="530" customFormat="false" ht="15.75" hidden="false" customHeight="false" outlineLevel="0" collapsed="false">
      <c r="M530" s="2"/>
      <c r="N530" s="10"/>
    </row>
    <row r="531" customFormat="false" ht="15.75" hidden="false" customHeight="false" outlineLevel="0" collapsed="false">
      <c r="M531" s="2"/>
      <c r="N531" s="10"/>
    </row>
    <row r="532" customFormat="false" ht="15.75" hidden="false" customHeight="false" outlineLevel="0" collapsed="false">
      <c r="M532" s="2"/>
      <c r="N532" s="10"/>
    </row>
    <row r="533" customFormat="false" ht="15.75" hidden="false" customHeight="false" outlineLevel="0" collapsed="false">
      <c r="M533" s="2"/>
      <c r="N533" s="10"/>
    </row>
    <row r="534" customFormat="false" ht="15.75" hidden="false" customHeight="false" outlineLevel="0" collapsed="false">
      <c r="M534" s="2"/>
      <c r="N534" s="10"/>
    </row>
    <row r="535" customFormat="false" ht="15.75" hidden="false" customHeight="false" outlineLevel="0" collapsed="false">
      <c r="M535" s="2"/>
      <c r="N535" s="10"/>
    </row>
    <row r="536" customFormat="false" ht="15.75" hidden="false" customHeight="false" outlineLevel="0" collapsed="false">
      <c r="M536" s="2"/>
      <c r="N536" s="10"/>
    </row>
    <row r="537" customFormat="false" ht="15.75" hidden="false" customHeight="false" outlineLevel="0" collapsed="false">
      <c r="M537" s="2"/>
      <c r="N537" s="10"/>
    </row>
    <row r="538" customFormat="false" ht="15.75" hidden="false" customHeight="false" outlineLevel="0" collapsed="false">
      <c r="M538" s="2"/>
      <c r="N538" s="10"/>
    </row>
    <row r="539" customFormat="false" ht="15.75" hidden="false" customHeight="false" outlineLevel="0" collapsed="false">
      <c r="M539" s="2"/>
      <c r="N539" s="10"/>
    </row>
    <row r="540" customFormat="false" ht="15.75" hidden="false" customHeight="false" outlineLevel="0" collapsed="false">
      <c r="M540" s="2"/>
      <c r="N540" s="10"/>
    </row>
    <row r="541" customFormat="false" ht="15.75" hidden="false" customHeight="false" outlineLevel="0" collapsed="false">
      <c r="M541" s="2"/>
      <c r="N541" s="10"/>
    </row>
    <row r="542" customFormat="false" ht="15.75" hidden="false" customHeight="false" outlineLevel="0" collapsed="false">
      <c r="M542" s="2"/>
      <c r="N542" s="10"/>
    </row>
    <row r="543" customFormat="false" ht="15.75" hidden="false" customHeight="false" outlineLevel="0" collapsed="false">
      <c r="M543" s="2"/>
      <c r="N543" s="10"/>
    </row>
    <row r="544" customFormat="false" ht="15.75" hidden="false" customHeight="false" outlineLevel="0" collapsed="false">
      <c r="M544" s="2"/>
      <c r="N544" s="10"/>
    </row>
    <row r="545" customFormat="false" ht="15.75" hidden="false" customHeight="false" outlineLevel="0" collapsed="false">
      <c r="M545" s="2"/>
      <c r="N545" s="10"/>
    </row>
    <row r="546" customFormat="false" ht="15.75" hidden="false" customHeight="false" outlineLevel="0" collapsed="false">
      <c r="M546" s="2"/>
      <c r="N546" s="10"/>
    </row>
    <row r="547" customFormat="false" ht="15.75" hidden="false" customHeight="false" outlineLevel="0" collapsed="false">
      <c r="M547" s="2"/>
      <c r="N547" s="10"/>
    </row>
    <row r="548" customFormat="false" ht="15.75" hidden="false" customHeight="false" outlineLevel="0" collapsed="false">
      <c r="M548" s="2"/>
      <c r="N548" s="10"/>
    </row>
    <row r="549" customFormat="false" ht="15.75" hidden="false" customHeight="false" outlineLevel="0" collapsed="false">
      <c r="M549" s="2"/>
      <c r="N549" s="10"/>
    </row>
    <row r="550" customFormat="false" ht="15.75" hidden="false" customHeight="false" outlineLevel="0" collapsed="false">
      <c r="M550" s="2"/>
      <c r="N550" s="10"/>
    </row>
    <row r="551" customFormat="false" ht="15.75" hidden="false" customHeight="false" outlineLevel="0" collapsed="false">
      <c r="M551" s="2"/>
      <c r="N551" s="10"/>
    </row>
    <row r="552" customFormat="false" ht="15.75" hidden="false" customHeight="false" outlineLevel="0" collapsed="false">
      <c r="M552" s="2"/>
      <c r="N552" s="10"/>
    </row>
    <row r="553" customFormat="false" ht="15.75" hidden="false" customHeight="false" outlineLevel="0" collapsed="false">
      <c r="M553" s="2"/>
      <c r="N553" s="10"/>
    </row>
    <row r="554" customFormat="false" ht="15.75" hidden="false" customHeight="false" outlineLevel="0" collapsed="false">
      <c r="M554" s="2"/>
      <c r="N554" s="10"/>
    </row>
    <row r="555" customFormat="false" ht="15.75" hidden="false" customHeight="false" outlineLevel="0" collapsed="false">
      <c r="M555" s="2"/>
      <c r="N555" s="10"/>
    </row>
    <row r="556" customFormat="false" ht="15.75" hidden="false" customHeight="false" outlineLevel="0" collapsed="false">
      <c r="M556" s="2"/>
      <c r="N556" s="10"/>
    </row>
    <row r="557" customFormat="false" ht="15.75" hidden="false" customHeight="false" outlineLevel="0" collapsed="false">
      <c r="M557" s="2"/>
      <c r="N557" s="10"/>
    </row>
    <row r="558" customFormat="false" ht="15.75" hidden="false" customHeight="false" outlineLevel="0" collapsed="false">
      <c r="M558" s="2"/>
      <c r="N558" s="10"/>
    </row>
    <row r="559" customFormat="false" ht="15.75" hidden="false" customHeight="false" outlineLevel="0" collapsed="false">
      <c r="M559" s="2"/>
      <c r="N559" s="10"/>
    </row>
    <row r="560" customFormat="false" ht="15.75" hidden="false" customHeight="false" outlineLevel="0" collapsed="false">
      <c r="M560" s="2"/>
      <c r="N560" s="10"/>
    </row>
    <row r="561" customFormat="false" ht="15.75" hidden="false" customHeight="false" outlineLevel="0" collapsed="false">
      <c r="M561" s="2"/>
      <c r="N561" s="10"/>
    </row>
    <row r="562" customFormat="false" ht="15.75" hidden="false" customHeight="false" outlineLevel="0" collapsed="false">
      <c r="M562" s="2"/>
      <c r="N562" s="10"/>
    </row>
    <row r="563" customFormat="false" ht="15.75" hidden="false" customHeight="false" outlineLevel="0" collapsed="false">
      <c r="M563" s="2"/>
      <c r="N563" s="10"/>
    </row>
    <row r="564" customFormat="false" ht="15.75" hidden="false" customHeight="false" outlineLevel="0" collapsed="false">
      <c r="M564" s="2"/>
      <c r="N564" s="10"/>
    </row>
    <row r="565" customFormat="false" ht="15.75" hidden="false" customHeight="false" outlineLevel="0" collapsed="false">
      <c r="M565" s="2"/>
      <c r="N565" s="10"/>
    </row>
    <row r="566" customFormat="false" ht="15.75" hidden="false" customHeight="false" outlineLevel="0" collapsed="false">
      <c r="M566" s="2"/>
      <c r="N566" s="10"/>
    </row>
    <row r="567" customFormat="false" ht="15.75" hidden="false" customHeight="false" outlineLevel="0" collapsed="false">
      <c r="M567" s="2"/>
      <c r="N567" s="10"/>
    </row>
    <row r="568" customFormat="false" ht="15.75" hidden="false" customHeight="false" outlineLevel="0" collapsed="false">
      <c r="M568" s="2"/>
      <c r="N568" s="10"/>
    </row>
    <row r="569" customFormat="false" ht="15.75" hidden="false" customHeight="false" outlineLevel="0" collapsed="false">
      <c r="M569" s="2"/>
      <c r="N569" s="10"/>
    </row>
    <row r="570" customFormat="false" ht="15.75" hidden="false" customHeight="false" outlineLevel="0" collapsed="false">
      <c r="M570" s="2"/>
      <c r="N570" s="10"/>
    </row>
    <row r="571" customFormat="false" ht="15.75" hidden="false" customHeight="false" outlineLevel="0" collapsed="false">
      <c r="M571" s="2"/>
      <c r="N571" s="10"/>
    </row>
    <row r="572" customFormat="false" ht="15.75" hidden="false" customHeight="false" outlineLevel="0" collapsed="false">
      <c r="M572" s="2"/>
      <c r="N572" s="10"/>
    </row>
    <row r="573" customFormat="false" ht="15.75" hidden="false" customHeight="false" outlineLevel="0" collapsed="false">
      <c r="M573" s="2"/>
      <c r="N573" s="10"/>
    </row>
    <row r="574" customFormat="false" ht="15.75" hidden="false" customHeight="false" outlineLevel="0" collapsed="false">
      <c r="M574" s="2"/>
      <c r="N574" s="10"/>
    </row>
    <row r="575" customFormat="false" ht="15.75" hidden="false" customHeight="false" outlineLevel="0" collapsed="false">
      <c r="M575" s="2"/>
      <c r="N575" s="10"/>
    </row>
    <row r="576" customFormat="false" ht="15.75" hidden="false" customHeight="false" outlineLevel="0" collapsed="false">
      <c r="M576" s="2"/>
      <c r="N576" s="10"/>
    </row>
    <row r="577" customFormat="false" ht="15.75" hidden="false" customHeight="false" outlineLevel="0" collapsed="false">
      <c r="M577" s="2"/>
      <c r="N577" s="10"/>
    </row>
    <row r="578" customFormat="false" ht="15.75" hidden="false" customHeight="false" outlineLevel="0" collapsed="false">
      <c r="M578" s="2"/>
      <c r="N578" s="10"/>
    </row>
    <row r="579" customFormat="false" ht="15.75" hidden="false" customHeight="false" outlineLevel="0" collapsed="false">
      <c r="M579" s="2"/>
      <c r="N579" s="10"/>
    </row>
    <row r="580" customFormat="false" ht="15.75" hidden="false" customHeight="false" outlineLevel="0" collapsed="false">
      <c r="M580" s="2"/>
      <c r="N580" s="10"/>
    </row>
    <row r="581" customFormat="false" ht="15.75" hidden="false" customHeight="false" outlineLevel="0" collapsed="false">
      <c r="M581" s="2"/>
      <c r="N581" s="10"/>
    </row>
    <row r="582" customFormat="false" ht="15.75" hidden="false" customHeight="false" outlineLevel="0" collapsed="false">
      <c r="M582" s="2"/>
      <c r="N582" s="10"/>
    </row>
    <row r="583" customFormat="false" ht="15.75" hidden="false" customHeight="false" outlineLevel="0" collapsed="false">
      <c r="M583" s="2"/>
      <c r="N583" s="10"/>
    </row>
    <row r="584" customFormat="false" ht="15.75" hidden="false" customHeight="false" outlineLevel="0" collapsed="false">
      <c r="M584" s="2"/>
      <c r="N584" s="10"/>
    </row>
    <row r="585" customFormat="false" ht="15.75" hidden="false" customHeight="false" outlineLevel="0" collapsed="false">
      <c r="M585" s="2"/>
      <c r="N585" s="10"/>
    </row>
    <row r="586" customFormat="false" ht="15.75" hidden="false" customHeight="false" outlineLevel="0" collapsed="false">
      <c r="M586" s="2"/>
      <c r="N586" s="10"/>
    </row>
    <row r="587" customFormat="false" ht="15.75" hidden="false" customHeight="false" outlineLevel="0" collapsed="false">
      <c r="M587" s="2"/>
      <c r="N587" s="10"/>
    </row>
    <row r="588" customFormat="false" ht="15.75" hidden="false" customHeight="false" outlineLevel="0" collapsed="false">
      <c r="M588" s="2"/>
      <c r="N588" s="10"/>
    </row>
    <row r="589" customFormat="false" ht="15.75" hidden="false" customHeight="false" outlineLevel="0" collapsed="false">
      <c r="M589" s="2"/>
      <c r="N589" s="10"/>
    </row>
    <row r="590" customFormat="false" ht="15.75" hidden="false" customHeight="false" outlineLevel="0" collapsed="false">
      <c r="M590" s="2"/>
      <c r="N590" s="10"/>
    </row>
    <row r="591" customFormat="false" ht="15.75" hidden="false" customHeight="false" outlineLevel="0" collapsed="false">
      <c r="M591" s="2"/>
      <c r="N591" s="10"/>
    </row>
    <row r="592" customFormat="false" ht="15.75" hidden="false" customHeight="false" outlineLevel="0" collapsed="false">
      <c r="M592" s="2"/>
      <c r="N592" s="10"/>
    </row>
    <row r="593" customFormat="false" ht="15.75" hidden="false" customHeight="false" outlineLevel="0" collapsed="false">
      <c r="M593" s="2"/>
      <c r="N593" s="10"/>
    </row>
    <row r="594" customFormat="false" ht="15.75" hidden="false" customHeight="false" outlineLevel="0" collapsed="false">
      <c r="M594" s="2"/>
      <c r="N594" s="10"/>
    </row>
    <row r="595" customFormat="false" ht="15.75" hidden="false" customHeight="false" outlineLevel="0" collapsed="false">
      <c r="M595" s="2"/>
      <c r="N595" s="10"/>
    </row>
    <row r="596" customFormat="false" ht="15.75" hidden="false" customHeight="false" outlineLevel="0" collapsed="false">
      <c r="M596" s="2"/>
      <c r="N596" s="10"/>
    </row>
    <row r="597" customFormat="false" ht="15.75" hidden="false" customHeight="false" outlineLevel="0" collapsed="false">
      <c r="M597" s="2"/>
      <c r="N597" s="10"/>
    </row>
    <row r="598" customFormat="false" ht="15.75" hidden="false" customHeight="false" outlineLevel="0" collapsed="false">
      <c r="M598" s="2"/>
      <c r="N598" s="10"/>
    </row>
    <row r="599" customFormat="false" ht="15.75" hidden="false" customHeight="false" outlineLevel="0" collapsed="false">
      <c r="M599" s="2"/>
      <c r="N599" s="10"/>
    </row>
    <row r="600" customFormat="false" ht="15.75" hidden="false" customHeight="false" outlineLevel="0" collapsed="false">
      <c r="M600" s="2"/>
      <c r="N600" s="10"/>
    </row>
    <row r="601" customFormat="false" ht="15.75" hidden="false" customHeight="false" outlineLevel="0" collapsed="false">
      <c r="M601" s="2"/>
      <c r="N601" s="10"/>
    </row>
    <row r="602" customFormat="false" ht="15.75" hidden="false" customHeight="false" outlineLevel="0" collapsed="false">
      <c r="M602" s="2"/>
      <c r="N602" s="10"/>
    </row>
    <row r="603" customFormat="false" ht="15.75" hidden="false" customHeight="false" outlineLevel="0" collapsed="false">
      <c r="M603" s="2"/>
      <c r="N603" s="10"/>
    </row>
    <row r="604" customFormat="false" ht="15.75" hidden="false" customHeight="false" outlineLevel="0" collapsed="false">
      <c r="M604" s="2"/>
      <c r="N604" s="10"/>
    </row>
    <row r="605" customFormat="false" ht="15.75" hidden="false" customHeight="false" outlineLevel="0" collapsed="false">
      <c r="M605" s="2"/>
      <c r="N605" s="10"/>
    </row>
    <row r="606" customFormat="false" ht="15.75" hidden="false" customHeight="false" outlineLevel="0" collapsed="false">
      <c r="M606" s="2"/>
      <c r="N606" s="10"/>
    </row>
    <row r="607" customFormat="false" ht="15.75" hidden="false" customHeight="false" outlineLevel="0" collapsed="false">
      <c r="M607" s="2"/>
      <c r="N607" s="10"/>
    </row>
    <row r="608" customFormat="false" ht="15.75" hidden="false" customHeight="false" outlineLevel="0" collapsed="false">
      <c r="M608" s="2"/>
      <c r="N608" s="10"/>
    </row>
    <row r="609" customFormat="false" ht="15.75" hidden="false" customHeight="false" outlineLevel="0" collapsed="false">
      <c r="M609" s="2"/>
      <c r="N609" s="10"/>
    </row>
    <row r="610" customFormat="false" ht="15.75" hidden="false" customHeight="false" outlineLevel="0" collapsed="false">
      <c r="M610" s="2"/>
      <c r="N610" s="10"/>
    </row>
    <row r="611" customFormat="false" ht="15.75" hidden="false" customHeight="false" outlineLevel="0" collapsed="false">
      <c r="M611" s="2"/>
      <c r="N611" s="10"/>
    </row>
    <row r="612" customFormat="false" ht="15.75" hidden="false" customHeight="false" outlineLevel="0" collapsed="false">
      <c r="M612" s="2"/>
      <c r="N612" s="10"/>
    </row>
    <row r="613" customFormat="false" ht="15.75" hidden="false" customHeight="false" outlineLevel="0" collapsed="false">
      <c r="M613" s="2"/>
      <c r="N613" s="10"/>
    </row>
    <row r="614" customFormat="false" ht="15.75" hidden="false" customHeight="false" outlineLevel="0" collapsed="false">
      <c r="M614" s="2"/>
      <c r="N614" s="10"/>
    </row>
    <row r="615" customFormat="false" ht="15.75" hidden="false" customHeight="false" outlineLevel="0" collapsed="false">
      <c r="M615" s="2"/>
      <c r="N615" s="10"/>
    </row>
    <row r="616" customFormat="false" ht="15.75" hidden="false" customHeight="false" outlineLevel="0" collapsed="false">
      <c r="M616" s="2"/>
      <c r="N616" s="10"/>
    </row>
    <row r="617" customFormat="false" ht="15.75" hidden="false" customHeight="false" outlineLevel="0" collapsed="false">
      <c r="M617" s="2"/>
      <c r="N617" s="10"/>
    </row>
    <row r="618" customFormat="false" ht="15.75" hidden="false" customHeight="false" outlineLevel="0" collapsed="false">
      <c r="M618" s="2"/>
      <c r="N618" s="10"/>
    </row>
    <row r="619" customFormat="false" ht="15.75" hidden="false" customHeight="false" outlineLevel="0" collapsed="false">
      <c r="M619" s="2"/>
      <c r="N619" s="10"/>
    </row>
    <row r="620" customFormat="false" ht="15.75" hidden="false" customHeight="false" outlineLevel="0" collapsed="false">
      <c r="M620" s="2"/>
      <c r="N620" s="10"/>
    </row>
    <row r="621" customFormat="false" ht="15.75" hidden="false" customHeight="false" outlineLevel="0" collapsed="false">
      <c r="M621" s="2"/>
      <c r="N621" s="10"/>
    </row>
    <row r="622" customFormat="false" ht="15.75" hidden="false" customHeight="false" outlineLevel="0" collapsed="false">
      <c r="M622" s="2"/>
      <c r="N622" s="10"/>
    </row>
    <row r="623" customFormat="false" ht="15.75" hidden="false" customHeight="false" outlineLevel="0" collapsed="false">
      <c r="M623" s="2"/>
      <c r="N623" s="10"/>
    </row>
    <row r="624" customFormat="false" ht="15.75" hidden="false" customHeight="false" outlineLevel="0" collapsed="false">
      <c r="M624" s="2"/>
      <c r="N624" s="10"/>
    </row>
    <row r="625" customFormat="false" ht="15.75" hidden="false" customHeight="false" outlineLevel="0" collapsed="false">
      <c r="M625" s="2"/>
      <c r="N625" s="10"/>
    </row>
    <row r="626" customFormat="false" ht="15.75" hidden="false" customHeight="false" outlineLevel="0" collapsed="false">
      <c r="M626" s="2"/>
      <c r="N626" s="10"/>
    </row>
    <row r="627" customFormat="false" ht="15.75" hidden="false" customHeight="false" outlineLevel="0" collapsed="false">
      <c r="M627" s="2"/>
      <c r="N627" s="10"/>
    </row>
    <row r="628" customFormat="false" ht="15.75" hidden="false" customHeight="false" outlineLevel="0" collapsed="false">
      <c r="M628" s="2"/>
      <c r="N628" s="10"/>
    </row>
    <row r="629" customFormat="false" ht="15.75" hidden="false" customHeight="false" outlineLevel="0" collapsed="false">
      <c r="M629" s="2"/>
      <c r="N629" s="10"/>
    </row>
    <row r="630" customFormat="false" ht="15.75" hidden="false" customHeight="false" outlineLevel="0" collapsed="false">
      <c r="M630" s="2"/>
      <c r="N630" s="10"/>
    </row>
    <row r="631" customFormat="false" ht="15.75" hidden="false" customHeight="false" outlineLevel="0" collapsed="false">
      <c r="M631" s="2"/>
      <c r="N631" s="10"/>
    </row>
    <row r="632" customFormat="false" ht="15.75" hidden="false" customHeight="false" outlineLevel="0" collapsed="false">
      <c r="M632" s="2"/>
      <c r="N632" s="10"/>
    </row>
    <row r="633" customFormat="false" ht="15.75" hidden="false" customHeight="false" outlineLevel="0" collapsed="false">
      <c r="M633" s="2"/>
      <c r="N633" s="10"/>
    </row>
    <row r="634" customFormat="false" ht="15.75" hidden="false" customHeight="false" outlineLevel="0" collapsed="false">
      <c r="M634" s="2"/>
      <c r="N634" s="10"/>
    </row>
    <row r="635" customFormat="false" ht="15.75" hidden="false" customHeight="false" outlineLevel="0" collapsed="false">
      <c r="M635" s="2"/>
      <c r="N635" s="10"/>
    </row>
    <row r="636" customFormat="false" ht="15.75" hidden="false" customHeight="false" outlineLevel="0" collapsed="false">
      <c r="M636" s="2"/>
      <c r="N636" s="10"/>
    </row>
    <row r="637" customFormat="false" ht="15.75" hidden="false" customHeight="false" outlineLevel="0" collapsed="false">
      <c r="M637" s="2"/>
      <c r="N637" s="10"/>
    </row>
    <row r="638" customFormat="false" ht="15.75" hidden="false" customHeight="false" outlineLevel="0" collapsed="false">
      <c r="M638" s="2"/>
      <c r="N638" s="10"/>
    </row>
    <row r="639" customFormat="false" ht="15.75" hidden="false" customHeight="false" outlineLevel="0" collapsed="false">
      <c r="M639" s="2"/>
      <c r="N639" s="10"/>
    </row>
    <row r="640" customFormat="false" ht="15.75" hidden="false" customHeight="false" outlineLevel="0" collapsed="false">
      <c r="M640" s="2"/>
      <c r="N640" s="10"/>
    </row>
    <row r="641" customFormat="false" ht="15.75" hidden="false" customHeight="false" outlineLevel="0" collapsed="false">
      <c r="M641" s="2"/>
      <c r="N641" s="10"/>
    </row>
    <row r="642" customFormat="false" ht="15.75" hidden="false" customHeight="false" outlineLevel="0" collapsed="false">
      <c r="M642" s="2"/>
      <c r="N642" s="10"/>
    </row>
    <row r="643" customFormat="false" ht="15.75" hidden="false" customHeight="false" outlineLevel="0" collapsed="false">
      <c r="M643" s="2"/>
      <c r="N643" s="10"/>
    </row>
    <row r="644" customFormat="false" ht="15.75" hidden="false" customHeight="false" outlineLevel="0" collapsed="false">
      <c r="M644" s="2"/>
      <c r="N644" s="10"/>
    </row>
    <row r="645" customFormat="false" ht="15.75" hidden="false" customHeight="false" outlineLevel="0" collapsed="false">
      <c r="M645" s="2"/>
      <c r="N645" s="10"/>
    </row>
    <row r="646" customFormat="false" ht="15.75" hidden="false" customHeight="false" outlineLevel="0" collapsed="false">
      <c r="M646" s="2"/>
      <c r="N646" s="10"/>
    </row>
    <row r="647" customFormat="false" ht="15.75" hidden="false" customHeight="false" outlineLevel="0" collapsed="false">
      <c r="M647" s="2"/>
      <c r="N647" s="10"/>
    </row>
    <row r="648" customFormat="false" ht="15.75" hidden="false" customHeight="false" outlineLevel="0" collapsed="false">
      <c r="M648" s="2"/>
      <c r="N648" s="10"/>
    </row>
    <row r="649" customFormat="false" ht="15.75" hidden="false" customHeight="false" outlineLevel="0" collapsed="false">
      <c r="M649" s="2"/>
      <c r="N649" s="10"/>
    </row>
    <row r="650" customFormat="false" ht="15.75" hidden="false" customHeight="false" outlineLevel="0" collapsed="false">
      <c r="M650" s="2"/>
      <c r="N650" s="10"/>
    </row>
    <row r="651" customFormat="false" ht="15.75" hidden="false" customHeight="false" outlineLevel="0" collapsed="false">
      <c r="M651" s="2"/>
      <c r="N651" s="10"/>
    </row>
    <row r="652" customFormat="false" ht="15.75" hidden="false" customHeight="false" outlineLevel="0" collapsed="false">
      <c r="M652" s="2"/>
      <c r="N652" s="10"/>
    </row>
    <row r="653" customFormat="false" ht="15.75" hidden="false" customHeight="false" outlineLevel="0" collapsed="false">
      <c r="M653" s="2"/>
      <c r="N653" s="10"/>
    </row>
    <row r="654" customFormat="false" ht="15.75" hidden="false" customHeight="false" outlineLevel="0" collapsed="false">
      <c r="M654" s="2"/>
      <c r="N654" s="10"/>
    </row>
    <row r="655" customFormat="false" ht="15.75" hidden="false" customHeight="false" outlineLevel="0" collapsed="false">
      <c r="M655" s="2"/>
      <c r="N655" s="10"/>
    </row>
    <row r="656" customFormat="false" ht="15.75" hidden="false" customHeight="false" outlineLevel="0" collapsed="false">
      <c r="M656" s="2"/>
      <c r="N656" s="10"/>
    </row>
    <row r="657" customFormat="false" ht="15.75" hidden="false" customHeight="false" outlineLevel="0" collapsed="false">
      <c r="M657" s="2"/>
      <c r="N657" s="10"/>
    </row>
    <row r="658" customFormat="false" ht="15.75" hidden="false" customHeight="false" outlineLevel="0" collapsed="false">
      <c r="M658" s="2"/>
      <c r="N658" s="10"/>
    </row>
    <row r="659" customFormat="false" ht="15.75" hidden="false" customHeight="false" outlineLevel="0" collapsed="false">
      <c r="M659" s="2"/>
      <c r="N659" s="10"/>
    </row>
    <row r="660" customFormat="false" ht="15.75" hidden="false" customHeight="false" outlineLevel="0" collapsed="false">
      <c r="M660" s="2"/>
      <c r="N660" s="10"/>
    </row>
    <row r="661" customFormat="false" ht="15.75" hidden="false" customHeight="false" outlineLevel="0" collapsed="false">
      <c r="M661" s="2"/>
      <c r="N661" s="10"/>
    </row>
    <row r="662" customFormat="false" ht="15.75" hidden="false" customHeight="false" outlineLevel="0" collapsed="false">
      <c r="M662" s="2"/>
      <c r="N662" s="10"/>
    </row>
    <row r="663" customFormat="false" ht="15.75" hidden="false" customHeight="false" outlineLevel="0" collapsed="false">
      <c r="M663" s="2"/>
      <c r="N663" s="10"/>
    </row>
    <row r="664" customFormat="false" ht="15.75" hidden="false" customHeight="false" outlineLevel="0" collapsed="false">
      <c r="M664" s="2"/>
      <c r="N664" s="10"/>
    </row>
    <row r="665" customFormat="false" ht="15.75" hidden="false" customHeight="false" outlineLevel="0" collapsed="false">
      <c r="M665" s="2"/>
      <c r="N665" s="10"/>
    </row>
    <row r="666" customFormat="false" ht="15.75" hidden="false" customHeight="false" outlineLevel="0" collapsed="false">
      <c r="M666" s="2"/>
      <c r="N666" s="10"/>
    </row>
    <row r="667" customFormat="false" ht="15.75" hidden="false" customHeight="false" outlineLevel="0" collapsed="false">
      <c r="M667" s="2"/>
      <c r="N667" s="10"/>
    </row>
    <row r="668" customFormat="false" ht="15.75" hidden="false" customHeight="false" outlineLevel="0" collapsed="false">
      <c r="M668" s="2"/>
      <c r="N668" s="10"/>
    </row>
    <row r="669" customFormat="false" ht="15.75" hidden="false" customHeight="false" outlineLevel="0" collapsed="false">
      <c r="M669" s="2"/>
      <c r="N669" s="10"/>
    </row>
    <row r="670" customFormat="false" ht="15.75" hidden="false" customHeight="false" outlineLevel="0" collapsed="false">
      <c r="M670" s="2"/>
      <c r="N670" s="10"/>
    </row>
    <row r="671" customFormat="false" ht="15.75" hidden="false" customHeight="false" outlineLevel="0" collapsed="false">
      <c r="M671" s="2"/>
      <c r="N671" s="10"/>
    </row>
    <row r="672" customFormat="false" ht="15.75" hidden="false" customHeight="false" outlineLevel="0" collapsed="false">
      <c r="M672" s="2"/>
      <c r="N672" s="10"/>
    </row>
    <row r="673" customFormat="false" ht="15.75" hidden="false" customHeight="false" outlineLevel="0" collapsed="false">
      <c r="M673" s="2"/>
      <c r="N673" s="10"/>
    </row>
    <row r="674" customFormat="false" ht="15.75" hidden="false" customHeight="false" outlineLevel="0" collapsed="false">
      <c r="M674" s="2"/>
      <c r="N674" s="10"/>
    </row>
    <row r="675" customFormat="false" ht="15.75" hidden="false" customHeight="false" outlineLevel="0" collapsed="false">
      <c r="M675" s="2"/>
      <c r="N675" s="10"/>
    </row>
    <row r="676" customFormat="false" ht="15.75" hidden="false" customHeight="false" outlineLevel="0" collapsed="false">
      <c r="M676" s="2"/>
      <c r="N676" s="10"/>
    </row>
    <row r="677" customFormat="false" ht="15.75" hidden="false" customHeight="false" outlineLevel="0" collapsed="false">
      <c r="M677" s="2"/>
      <c r="N677" s="10"/>
    </row>
    <row r="678" customFormat="false" ht="15.75" hidden="false" customHeight="false" outlineLevel="0" collapsed="false">
      <c r="M678" s="2"/>
      <c r="N678" s="10"/>
    </row>
    <row r="679" customFormat="false" ht="15.75" hidden="false" customHeight="false" outlineLevel="0" collapsed="false">
      <c r="M679" s="2"/>
      <c r="N679" s="10"/>
    </row>
    <row r="680" customFormat="false" ht="15.75" hidden="false" customHeight="false" outlineLevel="0" collapsed="false">
      <c r="M680" s="2"/>
      <c r="N680" s="10"/>
    </row>
    <row r="681" customFormat="false" ht="15.75" hidden="false" customHeight="false" outlineLevel="0" collapsed="false">
      <c r="M681" s="2"/>
      <c r="N681" s="10"/>
    </row>
    <row r="682" customFormat="false" ht="15.75" hidden="false" customHeight="false" outlineLevel="0" collapsed="false">
      <c r="M682" s="2"/>
      <c r="N682" s="10"/>
    </row>
    <row r="683" customFormat="false" ht="15.75" hidden="false" customHeight="false" outlineLevel="0" collapsed="false">
      <c r="M683" s="2"/>
      <c r="N683" s="10"/>
    </row>
    <row r="684" customFormat="false" ht="15.75" hidden="false" customHeight="false" outlineLevel="0" collapsed="false">
      <c r="M684" s="2"/>
      <c r="N684" s="10"/>
    </row>
    <row r="685" customFormat="false" ht="15.75" hidden="false" customHeight="false" outlineLevel="0" collapsed="false">
      <c r="M685" s="2"/>
      <c r="N685" s="10"/>
    </row>
    <row r="686" customFormat="false" ht="15.75" hidden="false" customHeight="false" outlineLevel="0" collapsed="false">
      <c r="M686" s="2"/>
      <c r="N686" s="10"/>
    </row>
    <row r="687" customFormat="false" ht="15.75" hidden="false" customHeight="false" outlineLevel="0" collapsed="false">
      <c r="M687" s="2"/>
      <c r="N687" s="10"/>
    </row>
    <row r="688" customFormat="false" ht="15.75" hidden="false" customHeight="false" outlineLevel="0" collapsed="false">
      <c r="M688" s="2"/>
      <c r="N688" s="10"/>
    </row>
    <row r="689" customFormat="false" ht="15.75" hidden="false" customHeight="false" outlineLevel="0" collapsed="false">
      <c r="M689" s="2"/>
      <c r="N689" s="10"/>
    </row>
    <row r="690" customFormat="false" ht="15.75" hidden="false" customHeight="false" outlineLevel="0" collapsed="false">
      <c r="M690" s="2"/>
      <c r="N690" s="10"/>
    </row>
    <row r="691" customFormat="false" ht="15.75" hidden="false" customHeight="false" outlineLevel="0" collapsed="false">
      <c r="M691" s="2"/>
      <c r="N691" s="10"/>
    </row>
    <row r="692" customFormat="false" ht="15.75" hidden="false" customHeight="false" outlineLevel="0" collapsed="false">
      <c r="M692" s="2"/>
      <c r="N692" s="10"/>
    </row>
    <row r="693" customFormat="false" ht="15.75" hidden="false" customHeight="false" outlineLevel="0" collapsed="false">
      <c r="M693" s="2"/>
      <c r="N693" s="10"/>
    </row>
    <row r="694" customFormat="false" ht="15.75" hidden="false" customHeight="false" outlineLevel="0" collapsed="false">
      <c r="M694" s="2"/>
      <c r="N694" s="10"/>
    </row>
    <row r="695" customFormat="false" ht="15.75" hidden="false" customHeight="false" outlineLevel="0" collapsed="false">
      <c r="M695" s="2"/>
      <c r="N695" s="10"/>
    </row>
    <row r="696" customFormat="false" ht="15.75" hidden="false" customHeight="false" outlineLevel="0" collapsed="false">
      <c r="M696" s="2"/>
      <c r="N696" s="10"/>
    </row>
    <row r="697" customFormat="false" ht="15.75" hidden="false" customHeight="false" outlineLevel="0" collapsed="false">
      <c r="M697" s="2"/>
      <c r="N697" s="10"/>
    </row>
    <row r="698" customFormat="false" ht="15.75" hidden="false" customHeight="false" outlineLevel="0" collapsed="false">
      <c r="M698" s="2"/>
      <c r="N698" s="10"/>
    </row>
    <row r="699" customFormat="false" ht="15.75" hidden="false" customHeight="false" outlineLevel="0" collapsed="false">
      <c r="M699" s="2"/>
      <c r="N699" s="10"/>
    </row>
    <row r="700" customFormat="false" ht="15.75" hidden="false" customHeight="false" outlineLevel="0" collapsed="false">
      <c r="M700" s="2"/>
      <c r="N700" s="10"/>
    </row>
    <row r="701" customFormat="false" ht="15.75" hidden="false" customHeight="false" outlineLevel="0" collapsed="false">
      <c r="M701" s="2"/>
      <c r="N701" s="10"/>
    </row>
    <row r="702" customFormat="false" ht="15.75" hidden="false" customHeight="false" outlineLevel="0" collapsed="false">
      <c r="M702" s="2"/>
      <c r="N702" s="10"/>
    </row>
    <row r="703" customFormat="false" ht="15.75" hidden="false" customHeight="false" outlineLevel="0" collapsed="false">
      <c r="M703" s="2"/>
      <c r="N703" s="10"/>
    </row>
    <row r="704" customFormat="false" ht="15.75" hidden="false" customHeight="false" outlineLevel="0" collapsed="false">
      <c r="M704" s="2"/>
      <c r="N704" s="10"/>
    </row>
    <row r="705" customFormat="false" ht="15.75" hidden="false" customHeight="false" outlineLevel="0" collapsed="false">
      <c r="M705" s="2"/>
      <c r="N705" s="10"/>
    </row>
    <row r="706" customFormat="false" ht="15.75" hidden="false" customHeight="false" outlineLevel="0" collapsed="false">
      <c r="M706" s="2"/>
      <c r="N706" s="10"/>
    </row>
    <row r="707" customFormat="false" ht="15.75" hidden="false" customHeight="false" outlineLevel="0" collapsed="false">
      <c r="M707" s="2"/>
      <c r="N707" s="10"/>
    </row>
    <row r="708" customFormat="false" ht="15.75" hidden="false" customHeight="false" outlineLevel="0" collapsed="false">
      <c r="M708" s="2"/>
      <c r="N708" s="10"/>
    </row>
    <row r="709" customFormat="false" ht="15.75" hidden="false" customHeight="false" outlineLevel="0" collapsed="false">
      <c r="M709" s="2"/>
      <c r="N709" s="10"/>
    </row>
    <row r="710" customFormat="false" ht="15.75" hidden="false" customHeight="false" outlineLevel="0" collapsed="false">
      <c r="M710" s="2"/>
      <c r="N710" s="10"/>
    </row>
    <row r="711" customFormat="false" ht="15.75" hidden="false" customHeight="false" outlineLevel="0" collapsed="false">
      <c r="M711" s="2"/>
      <c r="N711" s="10"/>
    </row>
    <row r="712" customFormat="false" ht="15.75" hidden="false" customHeight="false" outlineLevel="0" collapsed="false">
      <c r="M712" s="2"/>
      <c r="N712" s="10"/>
    </row>
    <row r="713" customFormat="false" ht="15.75" hidden="false" customHeight="false" outlineLevel="0" collapsed="false">
      <c r="M713" s="2"/>
      <c r="N713" s="10"/>
    </row>
    <row r="714" customFormat="false" ht="15.75" hidden="false" customHeight="false" outlineLevel="0" collapsed="false">
      <c r="M714" s="2"/>
      <c r="N714" s="10"/>
    </row>
    <row r="715" customFormat="false" ht="15.75" hidden="false" customHeight="false" outlineLevel="0" collapsed="false">
      <c r="M715" s="2"/>
      <c r="N715" s="10"/>
    </row>
    <row r="716" customFormat="false" ht="15.75" hidden="false" customHeight="false" outlineLevel="0" collapsed="false">
      <c r="M716" s="2"/>
      <c r="N716" s="10"/>
    </row>
    <row r="717" customFormat="false" ht="15.75" hidden="false" customHeight="false" outlineLevel="0" collapsed="false">
      <c r="M717" s="2"/>
      <c r="N717" s="10"/>
    </row>
    <row r="718" customFormat="false" ht="15.75" hidden="false" customHeight="false" outlineLevel="0" collapsed="false">
      <c r="M718" s="2"/>
      <c r="N718" s="10"/>
    </row>
    <row r="719" customFormat="false" ht="15.75" hidden="false" customHeight="false" outlineLevel="0" collapsed="false">
      <c r="M719" s="2"/>
      <c r="N719" s="10"/>
    </row>
    <row r="720" customFormat="false" ht="15.75" hidden="false" customHeight="false" outlineLevel="0" collapsed="false">
      <c r="M720" s="2"/>
      <c r="N720" s="10"/>
    </row>
    <row r="721" customFormat="false" ht="15.75" hidden="false" customHeight="false" outlineLevel="0" collapsed="false">
      <c r="M721" s="2"/>
      <c r="N721" s="10"/>
    </row>
    <row r="722" customFormat="false" ht="15.75" hidden="false" customHeight="false" outlineLevel="0" collapsed="false">
      <c r="M722" s="2"/>
      <c r="N722" s="10"/>
    </row>
    <row r="723" customFormat="false" ht="15.75" hidden="false" customHeight="false" outlineLevel="0" collapsed="false">
      <c r="M723" s="2"/>
      <c r="N723" s="10"/>
    </row>
    <row r="724" customFormat="false" ht="15.75" hidden="false" customHeight="false" outlineLevel="0" collapsed="false">
      <c r="M724" s="2"/>
      <c r="N724" s="10"/>
    </row>
    <row r="725" customFormat="false" ht="15.75" hidden="false" customHeight="false" outlineLevel="0" collapsed="false">
      <c r="M725" s="2"/>
      <c r="N725" s="10"/>
    </row>
    <row r="726" customFormat="false" ht="15.75" hidden="false" customHeight="false" outlineLevel="0" collapsed="false">
      <c r="M726" s="2"/>
      <c r="N726" s="10"/>
    </row>
    <row r="727" customFormat="false" ht="15.75" hidden="false" customHeight="false" outlineLevel="0" collapsed="false">
      <c r="M727" s="2"/>
      <c r="N727" s="10"/>
    </row>
    <row r="728" customFormat="false" ht="15.75" hidden="false" customHeight="false" outlineLevel="0" collapsed="false">
      <c r="M728" s="2"/>
      <c r="N728" s="10"/>
    </row>
    <row r="729" customFormat="false" ht="15.75" hidden="false" customHeight="false" outlineLevel="0" collapsed="false">
      <c r="M729" s="2"/>
      <c r="N729" s="10"/>
    </row>
    <row r="730" customFormat="false" ht="15.75" hidden="false" customHeight="false" outlineLevel="0" collapsed="false">
      <c r="M730" s="2"/>
      <c r="N730" s="10"/>
    </row>
    <row r="731" customFormat="false" ht="15.75" hidden="false" customHeight="false" outlineLevel="0" collapsed="false">
      <c r="M731" s="2"/>
      <c r="N731" s="10"/>
    </row>
    <row r="732" customFormat="false" ht="15.75" hidden="false" customHeight="false" outlineLevel="0" collapsed="false">
      <c r="M732" s="2"/>
      <c r="N732" s="10"/>
    </row>
    <row r="733" customFormat="false" ht="15.75" hidden="false" customHeight="false" outlineLevel="0" collapsed="false">
      <c r="M733" s="2"/>
      <c r="N733" s="10"/>
    </row>
    <row r="734" customFormat="false" ht="15.75" hidden="false" customHeight="false" outlineLevel="0" collapsed="false">
      <c r="M734" s="2"/>
      <c r="N734" s="10"/>
    </row>
    <row r="735" customFormat="false" ht="15.75" hidden="false" customHeight="false" outlineLevel="0" collapsed="false">
      <c r="M735" s="2"/>
      <c r="N735" s="10"/>
    </row>
    <row r="736" customFormat="false" ht="15.75" hidden="false" customHeight="false" outlineLevel="0" collapsed="false">
      <c r="M736" s="2"/>
      <c r="N736" s="10"/>
    </row>
    <row r="737" customFormat="false" ht="15.75" hidden="false" customHeight="false" outlineLevel="0" collapsed="false">
      <c r="M737" s="2"/>
      <c r="N737" s="10"/>
    </row>
    <row r="738" customFormat="false" ht="15.75" hidden="false" customHeight="false" outlineLevel="0" collapsed="false">
      <c r="M738" s="2"/>
      <c r="N738" s="10"/>
    </row>
    <row r="739" customFormat="false" ht="15.75" hidden="false" customHeight="false" outlineLevel="0" collapsed="false">
      <c r="M739" s="2"/>
      <c r="N739" s="10"/>
    </row>
    <row r="740" customFormat="false" ht="15.75" hidden="false" customHeight="false" outlineLevel="0" collapsed="false">
      <c r="M740" s="2"/>
      <c r="N740" s="10"/>
    </row>
    <row r="741" customFormat="false" ht="15.75" hidden="false" customHeight="false" outlineLevel="0" collapsed="false">
      <c r="M741" s="2"/>
      <c r="N741" s="10"/>
    </row>
    <row r="742" customFormat="false" ht="15.75" hidden="false" customHeight="false" outlineLevel="0" collapsed="false">
      <c r="M742" s="2"/>
      <c r="N742" s="10"/>
    </row>
    <row r="743" customFormat="false" ht="15.75" hidden="false" customHeight="false" outlineLevel="0" collapsed="false">
      <c r="M743" s="2"/>
      <c r="N743" s="10"/>
    </row>
    <row r="744" customFormat="false" ht="15.75" hidden="false" customHeight="false" outlineLevel="0" collapsed="false">
      <c r="M744" s="2"/>
      <c r="N744" s="10"/>
    </row>
    <row r="745" customFormat="false" ht="15.75" hidden="false" customHeight="false" outlineLevel="0" collapsed="false">
      <c r="M745" s="2"/>
      <c r="N745" s="10"/>
    </row>
    <row r="746" customFormat="false" ht="15.75" hidden="false" customHeight="false" outlineLevel="0" collapsed="false">
      <c r="M746" s="2"/>
      <c r="N746" s="10"/>
    </row>
    <row r="747" customFormat="false" ht="15.75" hidden="false" customHeight="false" outlineLevel="0" collapsed="false">
      <c r="M747" s="2"/>
      <c r="N747" s="10"/>
    </row>
    <row r="748" customFormat="false" ht="15.75" hidden="false" customHeight="false" outlineLevel="0" collapsed="false">
      <c r="M748" s="2"/>
      <c r="N748" s="10"/>
    </row>
    <row r="749" customFormat="false" ht="15.75" hidden="false" customHeight="false" outlineLevel="0" collapsed="false">
      <c r="M749" s="2"/>
      <c r="N749" s="10"/>
    </row>
    <row r="750" customFormat="false" ht="15.75" hidden="false" customHeight="false" outlineLevel="0" collapsed="false">
      <c r="M750" s="2"/>
      <c r="N750" s="10"/>
    </row>
    <row r="751" customFormat="false" ht="15.75" hidden="false" customHeight="false" outlineLevel="0" collapsed="false">
      <c r="M751" s="2"/>
      <c r="N751" s="10"/>
    </row>
    <row r="752" customFormat="false" ht="15.75" hidden="false" customHeight="false" outlineLevel="0" collapsed="false">
      <c r="M752" s="2"/>
      <c r="N752" s="10"/>
    </row>
    <row r="753" customFormat="false" ht="15.75" hidden="false" customHeight="false" outlineLevel="0" collapsed="false">
      <c r="M753" s="2"/>
      <c r="N753" s="10"/>
    </row>
    <row r="754" customFormat="false" ht="15.75" hidden="false" customHeight="false" outlineLevel="0" collapsed="false">
      <c r="M754" s="2"/>
      <c r="N754" s="10"/>
    </row>
    <row r="755" customFormat="false" ht="15.75" hidden="false" customHeight="false" outlineLevel="0" collapsed="false">
      <c r="M755" s="2"/>
      <c r="N755" s="10"/>
    </row>
    <row r="756" customFormat="false" ht="15.75" hidden="false" customHeight="false" outlineLevel="0" collapsed="false">
      <c r="M756" s="2"/>
      <c r="N756" s="10"/>
    </row>
    <row r="757" customFormat="false" ht="15.75" hidden="false" customHeight="false" outlineLevel="0" collapsed="false">
      <c r="M757" s="2"/>
      <c r="N757" s="10"/>
    </row>
    <row r="758" customFormat="false" ht="15.75" hidden="false" customHeight="false" outlineLevel="0" collapsed="false">
      <c r="M758" s="2"/>
      <c r="N758" s="10"/>
    </row>
    <row r="759" customFormat="false" ht="15.75" hidden="false" customHeight="false" outlineLevel="0" collapsed="false">
      <c r="M759" s="2"/>
      <c r="N759" s="10"/>
    </row>
    <row r="760" customFormat="false" ht="15.75" hidden="false" customHeight="false" outlineLevel="0" collapsed="false">
      <c r="M760" s="2"/>
      <c r="N760" s="10"/>
    </row>
    <row r="761" customFormat="false" ht="15.75" hidden="false" customHeight="false" outlineLevel="0" collapsed="false">
      <c r="M761" s="2"/>
      <c r="N761" s="10"/>
    </row>
    <row r="762" customFormat="false" ht="15.75" hidden="false" customHeight="false" outlineLevel="0" collapsed="false">
      <c r="M762" s="2"/>
      <c r="N762" s="10"/>
    </row>
    <row r="763" customFormat="false" ht="15.75" hidden="false" customHeight="false" outlineLevel="0" collapsed="false">
      <c r="M763" s="2"/>
      <c r="N763" s="10"/>
    </row>
    <row r="764" customFormat="false" ht="15.75" hidden="false" customHeight="false" outlineLevel="0" collapsed="false">
      <c r="M764" s="2"/>
      <c r="N764" s="10"/>
    </row>
    <row r="765" customFormat="false" ht="15.75" hidden="false" customHeight="false" outlineLevel="0" collapsed="false">
      <c r="M765" s="2"/>
      <c r="N765" s="10"/>
    </row>
    <row r="766" customFormat="false" ht="15.75" hidden="false" customHeight="false" outlineLevel="0" collapsed="false">
      <c r="M766" s="2"/>
      <c r="N766" s="10"/>
    </row>
    <row r="767" customFormat="false" ht="15.75" hidden="false" customHeight="false" outlineLevel="0" collapsed="false">
      <c r="M767" s="2"/>
      <c r="N767" s="10"/>
    </row>
    <row r="768" customFormat="false" ht="15.75" hidden="false" customHeight="false" outlineLevel="0" collapsed="false">
      <c r="M768" s="2"/>
      <c r="N768" s="10"/>
    </row>
    <row r="769" customFormat="false" ht="15.75" hidden="false" customHeight="false" outlineLevel="0" collapsed="false">
      <c r="M769" s="2"/>
      <c r="N769" s="10"/>
    </row>
    <row r="770" customFormat="false" ht="15.75" hidden="false" customHeight="false" outlineLevel="0" collapsed="false">
      <c r="M770" s="2"/>
      <c r="N770" s="10"/>
    </row>
    <row r="771" customFormat="false" ht="15.75" hidden="false" customHeight="false" outlineLevel="0" collapsed="false">
      <c r="M771" s="2"/>
      <c r="N771" s="10"/>
    </row>
    <row r="772" customFormat="false" ht="15.75" hidden="false" customHeight="false" outlineLevel="0" collapsed="false">
      <c r="M772" s="2"/>
      <c r="N772" s="10"/>
    </row>
    <row r="773" customFormat="false" ht="15.75" hidden="false" customHeight="false" outlineLevel="0" collapsed="false">
      <c r="M773" s="2"/>
      <c r="N773" s="10"/>
    </row>
    <row r="774" customFormat="false" ht="15.75" hidden="false" customHeight="false" outlineLevel="0" collapsed="false">
      <c r="M774" s="2"/>
      <c r="N774" s="10"/>
    </row>
    <row r="775" customFormat="false" ht="15.75" hidden="false" customHeight="false" outlineLevel="0" collapsed="false">
      <c r="M775" s="2"/>
      <c r="N775" s="10"/>
    </row>
    <row r="776" customFormat="false" ht="15.75" hidden="false" customHeight="false" outlineLevel="0" collapsed="false">
      <c r="M776" s="2"/>
      <c r="N776" s="10"/>
    </row>
    <row r="777" customFormat="false" ht="15.75" hidden="false" customHeight="false" outlineLevel="0" collapsed="false">
      <c r="M777" s="2"/>
      <c r="N777" s="10"/>
    </row>
    <row r="778" customFormat="false" ht="15.75" hidden="false" customHeight="false" outlineLevel="0" collapsed="false">
      <c r="M778" s="2"/>
      <c r="N778" s="10"/>
    </row>
    <row r="779" customFormat="false" ht="15.75" hidden="false" customHeight="false" outlineLevel="0" collapsed="false">
      <c r="M779" s="2"/>
      <c r="N779" s="10"/>
    </row>
    <row r="780" customFormat="false" ht="15.75" hidden="false" customHeight="false" outlineLevel="0" collapsed="false">
      <c r="M780" s="2"/>
      <c r="N780" s="10"/>
    </row>
    <row r="781" customFormat="false" ht="15.75" hidden="false" customHeight="false" outlineLevel="0" collapsed="false">
      <c r="M781" s="2"/>
      <c r="N781" s="10"/>
    </row>
    <row r="782" customFormat="false" ht="15.75" hidden="false" customHeight="false" outlineLevel="0" collapsed="false">
      <c r="M782" s="2"/>
      <c r="N782" s="10"/>
    </row>
    <row r="783" customFormat="false" ht="15.75" hidden="false" customHeight="false" outlineLevel="0" collapsed="false">
      <c r="M783" s="2"/>
      <c r="N783" s="10"/>
    </row>
    <row r="784" customFormat="false" ht="15.75" hidden="false" customHeight="false" outlineLevel="0" collapsed="false">
      <c r="M784" s="2"/>
      <c r="N784" s="10"/>
    </row>
    <row r="785" customFormat="false" ht="15.75" hidden="false" customHeight="false" outlineLevel="0" collapsed="false">
      <c r="M785" s="2"/>
      <c r="N785" s="10"/>
    </row>
    <row r="786" customFormat="false" ht="15.75" hidden="false" customHeight="false" outlineLevel="0" collapsed="false">
      <c r="M786" s="2"/>
      <c r="N786" s="10"/>
    </row>
    <row r="787" customFormat="false" ht="15.75" hidden="false" customHeight="false" outlineLevel="0" collapsed="false">
      <c r="M787" s="2"/>
      <c r="N787" s="10"/>
    </row>
    <row r="788" customFormat="false" ht="15.75" hidden="false" customHeight="false" outlineLevel="0" collapsed="false">
      <c r="M788" s="2"/>
      <c r="N788" s="10"/>
    </row>
    <row r="789" customFormat="false" ht="15.75" hidden="false" customHeight="false" outlineLevel="0" collapsed="false">
      <c r="M789" s="2"/>
      <c r="N789" s="10"/>
    </row>
    <row r="790" customFormat="false" ht="15.75" hidden="false" customHeight="false" outlineLevel="0" collapsed="false">
      <c r="M790" s="2"/>
      <c r="N790" s="10"/>
    </row>
    <row r="791" customFormat="false" ht="15.75" hidden="false" customHeight="false" outlineLevel="0" collapsed="false">
      <c r="M791" s="2"/>
      <c r="N791" s="10"/>
    </row>
    <row r="792" customFormat="false" ht="15.75" hidden="false" customHeight="false" outlineLevel="0" collapsed="false">
      <c r="M792" s="2"/>
      <c r="N792" s="10"/>
    </row>
    <row r="793" customFormat="false" ht="15.75" hidden="false" customHeight="false" outlineLevel="0" collapsed="false">
      <c r="M793" s="2"/>
      <c r="N793" s="10"/>
    </row>
    <row r="794" customFormat="false" ht="15.75" hidden="false" customHeight="false" outlineLevel="0" collapsed="false">
      <c r="M794" s="2"/>
      <c r="N794" s="10"/>
    </row>
    <row r="795" customFormat="false" ht="15.75" hidden="false" customHeight="false" outlineLevel="0" collapsed="false">
      <c r="M795" s="2"/>
      <c r="N795" s="10"/>
    </row>
    <row r="796" customFormat="false" ht="15.75" hidden="false" customHeight="false" outlineLevel="0" collapsed="false">
      <c r="M796" s="2"/>
      <c r="N796" s="10"/>
    </row>
    <row r="797" customFormat="false" ht="15.75" hidden="false" customHeight="false" outlineLevel="0" collapsed="false">
      <c r="M797" s="2"/>
      <c r="N797" s="10"/>
    </row>
    <row r="798" customFormat="false" ht="15.75" hidden="false" customHeight="false" outlineLevel="0" collapsed="false">
      <c r="M798" s="2"/>
      <c r="N798" s="10"/>
    </row>
    <row r="799" customFormat="false" ht="15.75" hidden="false" customHeight="false" outlineLevel="0" collapsed="false">
      <c r="M799" s="2"/>
      <c r="N799" s="10"/>
    </row>
    <row r="800" customFormat="false" ht="15.75" hidden="false" customHeight="false" outlineLevel="0" collapsed="false">
      <c r="M800" s="2"/>
      <c r="N800" s="10"/>
    </row>
    <row r="801" customFormat="false" ht="15.75" hidden="false" customHeight="false" outlineLevel="0" collapsed="false">
      <c r="M801" s="2"/>
      <c r="N801" s="10"/>
    </row>
    <row r="802" customFormat="false" ht="15.75" hidden="false" customHeight="false" outlineLevel="0" collapsed="false">
      <c r="M802" s="2"/>
      <c r="N802" s="10"/>
    </row>
    <row r="803" customFormat="false" ht="15.75" hidden="false" customHeight="false" outlineLevel="0" collapsed="false">
      <c r="M803" s="2"/>
      <c r="N803" s="10"/>
    </row>
    <row r="804" customFormat="false" ht="15.75" hidden="false" customHeight="false" outlineLevel="0" collapsed="false">
      <c r="M804" s="2"/>
      <c r="N804" s="10"/>
    </row>
    <row r="805" customFormat="false" ht="15.75" hidden="false" customHeight="false" outlineLevel="0" collapsed="false">
      <c r="M805" s="2"/>
      <c r="N805" s="10"/>
    </row>
    <row r="806" customFormat="false" ht="15.75" hidden="false" customHeight="false" outlineLevel="0" collapsed="false">
      <c r="M806" s="2"/>
      <c r="N806" s="10"/>
    </row>
    <row r="807" customFormat="false" ht="15.75" hidden="false" customHeight="false" outlineLevel="0" collapsed="false">
      <c r="M807" s="2"/>
      <c r="N807" s="10"/>
    </row>
    <row r="808" customFormat="false" ht="15.75" hidden="false" customHeight="false" outlineLevel="0" collapsed="false">
      <c r="M808" s="2"/>
      <c r="N808" s="10"/>
    </row>
    <row r="809" customFormat="false" ht="15.75" hidden="false" customHeight="false" outlineLevel="0" collapsed="false">
      <c r="M809" s="2"/>
      <c r="N809" s="10"/>
    </row>
    <row r="810" customFormat="false" ht="15.75" hidden="false" customHeight="false" outlineLevel="0" collapsed="false">
      <c r="M810" s="2"/>
      <c r="N810" s="10"/>
    </row>
    <row r="811" customFormat="false" ht="15.75" hidden="false" customHeight="false" outlineLevel="0" collapsed="false">
      <c r="M811" s="2"/>
      <c r="N811" s="10"/>
    </row>
    <row r="812" customFormat="false" ht="15.75" hidden="false" customHeight="false" outlineLevel="0" collapsed="false">
      <c r="M812" s="2"/>
      <c r="N812" s="10"/>
    </row>
    <row r="813" customFormat="false" ht="15.75" hidden="false" customHeight="false" outlineLevel="0" collapsed="false">
      <c r="M813" s="2"/>
      <c r="N813" s="10"/>
    </row>
    <row r="814" customFormat="false" ht="15.75" hidden="false" customHeight="false" outlineLevel="0" collapsed="false">
      <c r="M814" s="2"/>
      <c r="N814" s="10"/>
    </row>
    <row r="815" customFormat="false" ht="15.75" hidden="false" customHeight="false" outlineLevel="0" collapsed="false">
      <c r="M815" s="2"/>
      <c r="N815" s="10"/>
    </row>
    <row r="816" customFormat="false" ht="15.75" hidden="false" customHeight="false" outlineLevel="0" collapsed="false">
      <c r="M816" s="2"/>
      <c r="N816" s="10"/>
    </row>
    <row r="817" customFormat="false" ht="15.75" hidden="false" customHeight="false" outlineLevel="0" collapsed="false">
      <c r="M817" s="2"/>
      <c r="N817" s="10"/>
    </row>
    <row r="818" customFormat="false" ht="15.75" hidden="false" customHeight="false" outlineLevel="0" collapsed="false">
      <c r="M818" s="2"/>
      <c r="N818" s="10"/>
    </row>
    <row r="819" customFormat="false" ht="15.75" hidden="false" customHeight="false" outlineLevel="0" collapsed="false">
      <c r="M819" s="2"/>
      <c r="N819" s="10"/>
    </row>
    <row r="820" customFormat="false" ht="15.75" hidden="false" customHeight="false" outlineLevel="0" collapsed="false">
      <c r="M820" s="2"/>
      <c r="N820" s="10"/>
    </row>
    <row r="821" customFormat="false" ht="15.75" hidden="false" customHeight="false" outlineLevel="0" collapsed="false">
      <c r="M821" s="2"/>
      <c r="N821" s="10"/>
    </row>
    <row r="822" customFormat="false" ht="15.75" hidden="false" customHeight="false" outlineLevel="0" collapsed="false">
      <c r="M822" s="2"/>
      <c r="N822" s="10"/>
    </row>
    <row r="823" customFormat="false" ht="15.75" hidden="false" customHeight="false" outlineLevel="0" collapsed="false">
      <c r="M823" s="2"/>
      <c r="N823" s="10"/>
    </row>
    <row r="824" customFormat="false" ht="15.75" hidden="false" customHeight="false" outlineLevel="0" collapsed="false">
      <c r="M824" s="2"/>
      <c r="N824" s="10"/>
    </row>
    <row r="825" customFormat="false" ht="15.75" hidden="false" customHeight="false" outlineLevel="0" collapsed="false">
      <c r="M825" s="2"/>
      <c r="N825" s="10"/>
    </row>
    <row r="826" customFormat="false" ht="15.75" hidden="false" customHeight="false" outlineLevel="0" collapsed="false">
      <c r="M826" s="2"/>
      <c r="N826" s="10"/>
    </row>
    <row r="827" customFormat="false" ht="15.75" hidden="false" customHeight="false" outlineLevel="0" collapsed="false">
      <c r="M827" s="2"/>
      <c r="N827" s="10"/>
    </row>
    <row r="828" customFormat="false" ht="15.75" hidden="false" customHeight="false" outlineLevel="0" collapsed="false">
      <c r="M828" s="2"/>
      <c r="N828" s="10"/>
    </row>
    <row r="829" customFormat="false" ht="15.75" hidden="false" customHeight="false" outlineLevel="0" collapsed="false">
      <c r="M829" s="2"/>
      <c r="N829" s="10"/>
    </row>
    <row r="830" customFormat="false" ht="15.75" hidden="false" customHeight="false" outlineLevel="0" collapsed="false">
      <c r="M830" s="2"/>
      <c r="N830" s="10"/>
    </row>
    <row r="831" customFormat="false" ht="15.75" hidden="false" customHeight="false" outlineLevel="0" collapsed="false">
      <c r="M831" s="2"/>
      <c r="N831" s="10"/>
    </row>
    <row r="832" customFormat="false" ht="15.75" hidden="false" customHeight="false" outlineLevel="0" collapsed="false">
      <c r="M832" s="2"/>
      <c r="N832" s="10"/>
    </row>
    <row r="833" customFormat="false" ht="15.75" hidden="false" customHeight="false" outlineLevel="0" collapsed="false">
      <c r="M833" s="2"/>
      <c r="N833" s="10"/>
    </row>
    <row r="834" customFormat="false" ht="15.75" hidden="false" customHeight="false" outlineLevel="0" collapsed="false">
      <c r="M834" s="2"/>
      <c r="N834" s="10"/>
    </row>
    <row r="835" customFormat="false" ht="15.75" hidden="false" customHeight="false" outlineLevel="0" collapsed="false">
      <c r="M835" s="2"/>
      <c r="N835" s="10"/>
    </row>
    <row r="836" customFormat="false" ht="15.75" hidden="false" customHeight="false" outlineLevel="0" collapsed="false">
      <c r="M836" s="2"/>
      <c r="N836" s="10"/>
    </row>
    <row r="837" customFormat="false" ht="15.75" hidden="false" customHeight="false" outlineLevel="0" collapsed="false">
      <c r="M837" s="2"/>
      <c r="N837" s="10"/>
    </row>
    <row r="838" customFormat="false" ht="15.75" hidden="false" customHeight="false" outlineLevel="0" collapsed="false">
      <c r="M838" s="2"/>
      <c r="N838" s="10"/>
    </row>
    <row r="839" customFormat="false" ht="15.75" hidden="false" customHeight="false" outlineLevel="0" collapsed="false">
      <c r="M839" s="2"/>
      <c r="N839" s="10"/>
    </row>
    <row r="840" customFormat="false" ht="15.75" hidden="false" customHeight="false" outlineLevel="0" collapsed="false">
      <c r="M840" s="2"/>
      <c r="N840" s="10"/>
    </row>
    <row r="841" customFormat="false" ht="15.75" hidden="false" customHeight="false" outlineLevel="0" collapsed="false">
      <c r="M841" s="2"/>
      <c r="N841" s="10"/>
    </row>
    <row r="842" customFormat="false" ht="15.75" hidden="false" customHeight="false" outlineLevel="0" collapsed="false">
      <c r="M842" s="2"/>
      <c r="N842" s="10"/>
    </row>
    <row r="843" customFormat="false" ht="15.75" hidden="false" customHeight="false" outlineLevel="0" collapsed="false">
      <c r="M843" s="2"/>
      <c r="N843" s="10"/>
    </row>
    <row r="844" customFormat="false" ht="15.75" hidden="false" customHeight="false" outlineLevel="0" collapsed="false">
      <c r="M844" s="2"/>
      <c r="N844" s="10"/>
    </row>
    <row r="845" customFormat="false" ht="15.75" hidden="false" customHeight="false" outlineLevel="0" collapsed="false">
      <c r="M845" s="2"/>
      <c r="N845" s="10"/>
    </row>
    <row r="846" customFormat="false" ht="15.75" hidden="false" customHeight="false" outlineLevel="0" collapsed="false">
      <c r="M846" s="2"/>
      <c r="N846" s="10"/>
    </row>
    <row r="847" customFormat="false" ht="15.75" hidden="false" customHeight="false" outlineLevel="0" collapsed="false">
      <c r="M847" s="2"/>
      <c r="N847" s="10"/>
    </row>
    <row r="848" customFormat="false" ht="15.75" hidden="false" customHeight="false" outlineLevel="0" collapsed="false">
      <c r="M848" s="2"/>
      <c r="N848" s="10"/>
    </row>
    <row r="849" customFormat="false" ht="15.75" hidden="false" customHeight="false" outlineLevel="0" collapsed="false">
      <c r="M849" s="2"/>
      <c r="N849" s="10"/>
    </row>
    <row r="850" customFormat="false" ht="15.75" hidden="false" customHeight="false" outlineLevel="0" collapsed="false">
      <c r="M850" s="2"/>
      <c r="N850" s="10"/>
    </row>
    <row r="851" customFormat="false" ht="15.75" hidden="false" customHeight="false" outlineLevel="0" collapsed="false">
      <c r="M851" s="2"/>
      <c r="N851" s="10"/>
    </row>
    <row r="852" customFormat="false" ht="15.75" hidden="false" customHeight="false" outlineLevel="0" collapsed="false">
      <c r="M852" s="2"/>
      <c r="N852" s="10"/>
    </row>
    <row r="853" customFormat="false" ht="15.75" hidden="false" customHeight="false" outlineLevel="0" collapsed="false">
      <c r="M853" s="2"/>
      <c r="N853" s="10"/>
    </row>
    <row r="854" customFormat="false" ht="15.75" hidden="false" customHeight="false" outlineLevel="0" collapsed="false">
      <c r="M854" s="2"/>
      <c r="N854" s="10"/>
    </row>
    <row r="855" customFormat="false" ht="15.75" hidden="false" customHeight="false" outlineLevel="0" collapsed="false">
      <c r="M855" s="2"/>
      <c r="N855" s="10"/>
    </row>
    <row r="856" customFormat="false" ht="15.75" hidden="false" customHeight="false" outlineLevel="0" collapsed="false">
      <c r="M856" s="2"/>
      <c r="N856" s="10"/>
    </row>
    <row r="857" customFormat="false" ht="15.75" hidden="false" customHeight="false" outlineLevel="0" collapsed="false">
      <c r="M857" s="2"/>
      <c r="N857" s="10"/>
    </row>
    <row r="858" customFormat="false" ht="15.75" hidden="false" customHeight="false" outlineLevel="0" collapsed="false">
      <c r="M858" s="2"/>
      <c r="N858" s="10"/>
    </row>
    <row r="859" customFormat="false" ht="15.75" hidden="false" customHeight="false" outlineLevel="0" collapsed="false">
      <c r="M859" s="2"/>
      <c r="N859" s="10"/>
    </row>
    <row r="860" customFormat="false" ht="15.75" hidden="false" customHeight="false" outlineLevel="0" collapsed="false">
      <c r="M860" s="2"/>
      <c r="N860" s="10"/>
    </row>
    <row r="861" customFormat="false" ht="15.75" hidden="false" customHeight="false" outlineLevel="0" collapsed="false">
      <c r="M861" s="2"/>
      <c r="N861" s="10"/>
    </row>
    <row r="862" customFormat="false" ht="15.75" hidden="false" customHeight="false" outlineLevel="0" collapsed="false">
      <c r="M862" s="2"/>
      <c r="N862" s="10"/>
    </row>
    <row r="863" customFormat="false" ht="15.75" hidden="false" customHeight="false" outlineLevel="0" collapsed="false">
      <c r="M863" s="2"/>
      <c r="N863" s="10"/>
    </row>
    <row r="864" customFormat="false" ht="15.75" hidden="false" customHeight="false" outlineLevel="0" collapsed="false">
      <c r="M864" s="2"/>
      <c r="N864" s="10"/>
    </row>
    <row r="865" customFormat="false" ht="15.75" hidden="false" customHeight="false" outlineLevel="0" collapsed="false">
      <c r="M865" s="2"/>
      <c r="N865" s="10"/>
    </row>
    <row r="866" customFormat="false" ht="15.75" hidden="false" customHeight="false" outlineLevel="0" collapsed="false">
      <c r="M866" s="2"/>
      <c r="N866" s="10"/>
    </row>
    <row r="867" customFormat="false" ht="15.75" hidden="false" customHeight="false" outlineLevel="0" collapsed="false">
      <c r="M867" s="2"/>
      <c r="N867" s="10"/>
    </row>
    <row r="868" customFormat="false" ht="15.75" hidden="false" customHeight="false" outlineLevel="0" collapsed="false">
      <c r="M868" s="2"/>
      <c r="N868" s="10"/>
    </row>
    <row r="869" customFormat="false" ht="15.75" hidden="false" customHeight="false" outlineLevel="0" collapsed="false">
      <c r="M869" s="2"/>
      <c r="N869" s="10"/>
    </row>
    <row r="870" customFormat="false" ht="15.75" hidden="false" customHeight="false" outlineLevel="0" collapsed="false">
      <c r="M870" s="2"/>
      <c r="N870" s="10"/>
    </row>
    <row r="871" customFormat="false" ht="15.75" hidden="false" customHeight="false" outlineLevel="0" collapsed="false">
      <c r="M871" s="2"/>
      <c r="N871" s="10"/>
    </row>
    <row r="872" customFormat="false" ht="15.75" hidden="false" customHeight="false" outlineLevel="0" collapsed="false">
      <c r="M872" s="2"/>
      <c r="N872" s="10"/>
    </row>
    <row r="873" customFormat="false" ht="15.75" hidden="false" customHeight="false" outlineLevel="0" collapsed="false">
      <c r="M873" s="2"/>
      <c r="N873" s="10"/>
    </row>
    <row r="874" customFormat="false" ht="15.75" hidden="false" customHeight="false" outlineLevel="0" collapsed="false">
      <c r="M874" s="2"/>
      <c r="N874" s="10"/>
    </row>
    <row r="875" customFormat="false" ht="15.75" hidden="false" customHeight="false" outlineLevel="0" collapsed="false">
      <c r="M875" s="2"/>
      <c r="N875" s="10"/>
    </row>
    <row r="876" customFormat="false" ht="15.75" hidden="false" customHeight="false" outlineLevel="0" collapsed="false">
      <c r="M876" s="2"/>
      <c r="N876" s="10"/>
    </row>
    <row r="877" customFormat="false" ht="15.75" hidden="false" customHeight="false" outlineLevel="0" collapsed="false">
      <c r="M877" s="2"/>
      <c r="N877" s="10"/>
    </row>
    <row r="878" customFormat="false" ht="15.75" hidden="false" customHeight="false" outlineLevel="0" collapsed="false">
      <c r="M878" s="2"/>
      <c r="N878" s="10"/>
    </row>
    <row r="879" customFormat="false" ht="15.75" hidden="false" customHeight="false" outlineLevel="0" collapsed="false">
      <c r="M879" s="2"/>
      <c r="N879" s="10"/>
    </row>
    <row r="880" customFormat="false" ht="15.75" hidden="false" customHeight="false" outlineLevel="0" collapsed="false">
      <c r="M880" s="2"/>
      <c r="N880" s="10"/>
    </row>
    <row r="881" customFormat="false" ht="15.75" hidden="false" customHeight="false" outlineLevel="0" collapsed="false">
      <c r="M881" s="2"/>
      <c r="N881" s="10"/>
    </row>
    <row r="882" customFormat="false" ht="15.75" hidden="false" customHeight="false" outlineLevel="0" collapsed="false">
      <c r="M882" s="2"/>
      <c r="N882" s="10"/>
    </row>
    <row r="883" customFormat="false" ht="15.75" hidden="false" customHeight="false" outlineLevel="0" collapsed="false">
      <c r="M883" s="2"/>
      <c r="N883" s="10"/>
    </row>
    <row r="884" customFormat="false" ht="15.75" hidden="false" customHeight="false" outlineLevel="0" collapsed="false">
      <c r="M884" s="2"/>
      <c r="N884" s="10"/>
    </row>
    <row r="885" customFormat="false" ht="15.75" hidden="false" customHeight="false" outlineLevel="0" collapsed="false">
      <c r="M885" s="2"/>
      <c r="N885" s="10"/>
    </row>
    <row r="886" customFormat="false" ht="15.75" hidden="false" customHeight="false" outlineLevel="0" collapsed="false">
      <c r="M886" s="2"/>
      <c r="N886" s="10"/>
    </row>
    <row r="887" customFormat="false" ht="15.75" hidden="false" customHeight="false" outlineLevel="0" collapsed="false">
      <c r="M887" s="2"/>
      <c r="N887" s="10"/>
    </row>
    <row r="888" customFormat="false" ht="15.75" hidden="false" customHeight="false" outlineLevel="0" collapsed="false">
      <c r="M888" s="2"/>
      <c r="N888" s="10"/>
    </row>
    <row r="889" customFormat="false" ht="15.75" hidden="false" customHeight="false" outlineLevel="0" collapsed="false">
      <c r="M889" s="2"/>
      <c r="N889" s="10"/>
    </row>
    <row r="890" customFormat="false" ht="15.75" hidden="false" customHeight="false" outlineLevel="0" collapsed="false">
      <c r="M890" s="2"/>
      <c r="N890" s="10"/>
    </row>
    <row r="891" customFormat="false" ht="15.75" hidden="false" customHeight="false" outlineLevel="0" collapsed="false">
      <c r="M891" s="2"/>
      <c r="N891" s="10"/>
    </row>
    <row r="892" customFormat="false" ht="15.75" hidden="false" customHeight="false" outlineLevel="0" collapsed="false">
      <c r="M892" s="2"/>
      <c r="N892" s="10"/>
    </row>
    <row r="893" customFormat="false" ht="15.75" hidden="false" customHeight="false" outlineLevel="0" collapsed="false">
      <c r="M893" s="2"/>
      <c r="N893" s="10"/>
    </row>
    <row r="894" customFormat="false" ht="15.75" hidden="false" customHeight="false" outlineLevel="0" collapsed="false">
      <c r="M894" s="2"/>
      <c r="N894" s="10"/>
    </row>
    <row r="895" customFormat="false" ht="15.75" hidden="false" customHeight="false" outlineLevel="0" collapsed="false">
      <c r="M895" s="2"/>
      <c r="N895" s="10"/>
    </row>
    <row r="896" customFormat="false" ht="15.75" hidden="false" customHeight="false" outlineLevel="0" collapsed="false">
      <c r="M896" s="2"/>
      <c r="N896" s="10"/>
    </row>
    <row r="897" customFormat="false" ht="15.75" hidden="false" customHeight="false" outlineLevel="0" collapsed="false">
      <c r="M897" s="2"/>
      <c r="N897" s="10"/>
    </row>
    <row r="898" customFormat="false" ht="15.75" hidden="false" customHeight="false" outlineLevel="0" collapsed="false">
      <c r="M898" s="2"/>
      <c r="N898" s="10"/>
    </row>
    <row r="899" customFormat="false" ht="15.75" hidden="false" customHeight="false" outlineLevel="0" collapsed="false">
      <c r="M899" s="2"/>
      <c r="N899" s="10"/>
    </row>
    <row r="900" customFormat="false" ht="15.75" hidden="false" customHeight="false" outlineLevel="0" collapsed="false">
      <c r="M900" s="2"/>
      <c r="N900" s="10"/>
    </row>
    <row r="901" customFormat="false" ht="15.75" hidden="false" customHeight="false" outlineLevel="0" collapsed="false">
      <c r="M901" s="2"/>
      <c r="N901" s="10"/>
    </row>
    <row r="902" customFormat="false" ht="15.75" hidden="false" customHeight="false" outlineLevel="0" collapsed="false">
      <c r="M902" s="2"/>
      <c r="N902" s="10"/>
    </row>
    <row r="903" customFormat="false" ht="15.75" hidden="false" customHeight="false" outlineLevel="0" collapsed="false">
      <c r="M903" s="2"/>
      <c r="N903" s="10"/>
    </row>
    <row r="904" customFormat="false" ht="15.75" hidden="false" customHeight="false" outlineLevel="0" collapsed="false">
      <c r="M904" s="2"/>
      <c r="N904" s="10"/>
    </row>
    <row r="905" customFormat="false" ht="15.75" hidden="false" customHeight="false" outlineLevel="0" collapsed="false">
      <c r="M905" s="2"/>
      <c r="N905" s="10"/>
    </row>
    <row r="906" customFormat="false" ht="15.75" hidden="false" customHeight="false" outlineLevel="0" collapsed="false">
      <c r="M906" s="2"/>
      <c r="N906" s="10"/>
    </row>
    <row r="907" customFormat="false" ht="15.75" hidden="false" customHeight="false" outlineLevel="0" collapsed="false">
      <c r="M907" s="2"/>
      <c r="N907" s="10"/>
    </row>
    <row r="908" customFormat="false" ht="15.75" hidden="false" customHeight="false" outlineLevel="0" collapsed="false">
      <c r="M908" s="2"/>
      <c r="N908" s="10"/>
    </row>
    <row r="909" customFormat="false" ht="15.75" hidden="false" customHeight="false" outlineLevel="0" collapsed="false">
      <c r="M909" s="2"/>
      <c r="N909" s="10"/>
    </row>
    <row r="910" customFormat="false" ht="15.75" hidden="false" customHeight="false" outlineLevel="0" collapsed="false">
      <c r="M910" s="2"/>
      <c r="N910" s="10"/>
    </row>
    <row r="911" customFormat="false" ht="15.75" hidden="false" customHeight="false" outlineLevel="0" collapsed="false">
      <c r="M911" s="2"/>
      <c r="N911" s="10"/>
    </row>
    <row r="912" customFormat="false" ht="15.75" hidden="false" customHeight="false" outlineLevel="0" collapsed="false">
      <c r="M912" s="2"/>
      <c r="N912" s="10"/>
    </row>
    <row r="913" customFormat="false" ht="15.75" hidden="false" customHeight="false" outlineLevel="0" collapsed="false">
      <c r="M913" s="2"/>
      <c r="N913" s="10"/>
    </row>
    <row r="914" customFormat="false" ht="15.75" hidden="false" customHeight="false" outlineLevel="0" collapsed="false">
      <c r="M914" s="2"/>
      <c r="N914" s="10"/>
    </row>
    <row r="915" customFormat="false" ht="15.75" hidden="false" customHeight="false" outlineLevel="0" collapsed="false">
      <c r="M915" s="2"/>
      <c r="N915" s="10"/>
    </row>
    <row r="916" customFormat="false" ht="15.75" hidden="false" customHeight="false" outlineLevel="0" collapsed="false">
      <c r="M916" s="2"/>
      <c r="N916" s="10"/>
    </row>
    <row r="917" customFormat="false" ht="15.75" hidden="false" customHeight="false" outlineLevel="0" collapsed="false">
      <c r="M917" s="2"/>
      <c r="N917" s="10"/>
    </row>
    <row r="918" customFormat="false" ht="15.75" hidden="false" customHeight="false" outlineLevel="0" collapsed="false">
      <c r="M918" s="2"/>
      <c r="N918" s="10"/>
    </row>
    <row r="919" customFormat="false" ht="15.75" hidden="false" customHeight="false" outlineLevel="0" collapsed="false">
      <c r="M919" s="2"/>
      <c r="N919" s="10"/>
    </row>
    <row r="920" customFormat="false" ht="15.75" hidden="false" customHeight="false" outlineLevel="0" collapsed="false">
      <c r="M920" s="2"/>
      <c r="N920" s="10"/>
    </row>
    <row r="921" customFormat="false" ht="15.75" hidden="false" customHeight="false" outlineLevel="0" collapsed="false">
      <c r="M921" s="2"/>
      <c r="N921" s="10"/>
    </row>
    <row r="922" customFormat="false" ht="15.75" hidden="false" customHeight="false" outlineLevel="0" collapsed="false">
      <c r="M922" s="2"/>
      <c r="N922" s="10"/>
    </row>
    <row r="923" customFormat="false" ht="15.75" hidden="false" customHeight="false" outlineLevel="0" collapsed="false">
      <c r="M923" s="2"/>
      <c r="N923" s="10"/>
    </row>
    <row r="924" customFormat="false" ht="15.75" hidden="false" customHeight="false" outlineLevel="0" collapsed="false">
      <c r="M924" s="2"/>
      <c r="N924" s="10"/>
    </row>
    <row r="925" customFormat="false" ht="15.75" hidden="false" customHeight="false" outlineLevel="0" collapsed="false">
      <c r="M925" s="2"/>
      <c r="N925" s="10"/>
    </row>
    <row r="926" customFormat="false" ht="15.75" hidden="false" customHeight="false" outlineLevel="0" collapsed="false">
      <c r="M926" s="2"/>
      <c r="N926" s="10"/>
    </row>
    <row r="927" customFormat="false" ht="15.75" hidden="false" customHeight="false" outlineLevel="0" collapsed="false">
      <c r="M927" s="2"/>
      <c r="N927" s="10"/>
    </row>
    <row r="928" customFormat="false" ht="15.75" hidden="false" customHeight="false" outlineLevel="0" collapsed="false">
      <c r="M928" s="2"/>
      <c r="N928" s="10"/>
    </row>
    <row r="929" customFormat="false" ht="15.75" hidden="false" customHeight="false" outlineLevel="0" collapsed="false">
      <c r="M929" s="2"/>
      <c r="N929" s="10"/>
    </row>
    <row r="930" customFormat="false" ht="15.75" hidden="false" customHeight="false" outlineLevel="0" collapsed="false">
      <c r="M930" s="2"/>
      <c r="N930" s="10"/>
    </row>
    <row r="931" customFormat="false" ht="15.75" hidden="false" customHeight="false" outlineLevel="0" collapsed="false">
      <c r="M931" s="2"/>
      <c r="N931" s="10"/>
    </row>
    <row r="932" customFormat="false" ht="15.75" hidden="false" customHeight="false" outlineLevel="0" collapsed="false">
      <c r="M932" s="2"/>
      <c r="N932" s="10"/>
    </row>
    <row r="933" customFormat="false" ht="15.75" hidden="false" customHeight="false" outlineLevel="0" collapsed="false">
      <c r="M933" s="2"/>
      <c r="N933" s="10"/>
    </row>
    <row r="934" customFormat="false" ht="15.75" hidden="false" customHeight="false" outlineLevel="0" collapsed="false">
      <c r="M934" s="2"/>
      <c r="N934" s="10"/>
    </row>
    <row r="935" customFormat="false" ht="15.75" hidden="false" customHeight="false" outlineLevel="0" collapsed="false">
      <c r="M935" s="2"/>
      <c r="N935" s="10"/>
    </row>
    <row r="936" customFormat="false" ht="15.75" hidden="false" customHeight="false" outlineLevel="0" collapsed="false">
      <c r="M936" s="2"/>
      <c r="N936" s="10"/>
    </row>
    <row r="937" customFormat="false" ht="15.75" hidden="false" customHeight="false" outlineLevel="0" collapsed="false">
      <c r="M937" s="2"/>
      <c r="N937" s="10"/>
    </row>
    <row r="938" customFormat="false" ht="15.75" hidden="false" customHeight="false" outlineLevel="0" collapsed="false">
      <c r="M938" s="2"/>
      <c r="N938" s="10"/>
    </row>
    <row r="939" customFormat="false" ht="15.75" hidden="false" customHeight="false" outlineLevel="0" collapsed="false">
      <c r="M939" s="2"/>
      <c r="N939" s="10"/>
    </row>
    <row r="940" customFormat="false" ht="15.75" hidden="false" customHeight="false" outlineLevel="0" collapsed="false">
      <c r="M940" s="2"/>
      <c r="N940" s="10"/>
    </row>
    <row r="941" customFormat="false" ht="15.75" hidden="false" customHeight="false" outlineLevel="0" collapsed="false">
      <c r="M941" s="2"/>
      <c r="N941" s="10"/>
    </row>
    <row r="942" customFormat="false" ht="15.75" hidden="false" customHeight="false" outlineLevel="0" collapsed="false">
      <c r="M942" s="2"/>
      <c r="N942" s="10"/>
    </row>
    <row r="943" customFormat="false" ht="15.75" hidden="false" customHeight="false" outlineLevel="0" collapsed="false">
      <c r="M943" s="2"/>
      <c r="N943" s="10"/>
    </row>
    <row r="944" customFormat="false" ht="15.75" hidden="false" customHeight="false" outlineLevel="0" collapsed="false">
      <c r="M944" s="2"/>
      <c r="N944" s="10"/>
    </row>
    <row r="945" customFormat="false" ht="15.75" hidden="false" customHeight="false" outlineLevel="0" collapsed="false">
      <c r="M945" s="2"/>
      <c r="N945" s="10"/>
    </row>
    <row r="946" customFormat="false" ht="15.75" hidden="false" customHeight="false" outlineLevel="0" collapsed="false">
      <c r="M946" s="2"/>
      <c r="N946" s="10"/>
    </row>
    <row r="947" customFormat="false" ht="15.75" hidden="false" customHeight="false" outlineLevel="0" collapsed="false">
      <c r="M947" s="2"/>
      <c r="N947" s="10"/>
    </row>
    <row r="948" customFormat="false" ht="15.75" hidden="false" customHeight="false" outlineLevel="0" collapsed="false">
      <c r="M948" s="2"/>
      <c r="N948" s="10"/>
    </row>
    <row r="949" customFormat="false" ht="15.75" hidden="false" customHeight="false" outlineLevel="0" collapsed="false">
      <c r="M949" s="2"/>
      <c r="N949" s="10"/>
    </row>
    <row r="950" customFormat="false" ht="15.75" hidden="false" customHeight="false" outlineLevel="0" collapsed="false">
      <c r="M950" s="2"/>
      <c r="N950" s="10"/>
    </row>
    <row r="951" customFormat="false" ht="15.75" hidden="false" customHeight="false" outlineLevel="0" collapsed="false">
      <c r="M951" s="2"/>
      <c r="N951" s="10"/>
    </row>
    <row r="952" customFormat="false" ht="15.75" hidden="false" customHeight="false" outlineLevel="0" collapsed="false">
      <c r="M952" s="2"/>
      <c r="N952" s="10"/>
    </row>
    <row r="953" customFormat="false" ht="15.75" hidden="false" customHeight="false" outlineLevel="0" collapsed="false">
      <c r="M953" s="2"/>
      <c r="N953" s="10"/>
    </row>
    <row r="954" customFormat="false" ht="15.75" hidden="false" customHeight="false" outlineLevel="0" collapsed="false">
      <c r="M954" s="2"/>
      <c r="N954" s="10"/>
    </row>
    <row r="955" customFormat="false" ht="15.75" hidden="false" customHeight="false" outlineLevel="0" collapsed="false">
      <c r="M955" s="2"/>
      <c r="N955" s="10"/>
    </row>
    <row r="956" customFormat="false" ht="15.75" hidden="false" customHeight="false" outlineLevel="0" collapsed="false">
      <c r="M956" s="2"/>
      <c r="N956" s="10"/>
    </row>
    <row r="957" customFormat="false" ht="15.75" hidden="false" customHeight="false" outlineLevel="0" collapsed="false">
      <c r="M957" s="2"/>
      <c r="N957" s="10"/>
    </row>
    <row r="958" customFormat="false" ht="15.75" hidden="false" customHeight="false" outlineLevel="0" collapsed="false">
      <c r="M958" s="2"/>
      <c r="N958" s="10"/>
    </row>
    <row r="959" customFormat="false" ht="15.75" hidden="false" customHeight="false" outlineLevel="0" collapsed="false">
      <c r="M959" s="2"/>
      <c r="N959" s="10"/>
    </row>
    <row r="960" customFormat="false" ht="15.75" hidden="false" customHeight="false" outlineLevel="0" collapsed="false">
      <c r="M960" s="2"/>
      <c r="N960" s="10"/>
    </row>
    <row r="961" customFormat="false" ht="15.75" hidden="false" customHeight="false" outlineLevel="0" collapsed="false">
      <c r="M961" s="2"/>
      <c r="N961" s="10"/>
    </row>
    <row r="962" customFormat="false" ht="15.75" hidden="false" customHeight="false" outlineLevel="0" collapsed="false">
      <c r="M962" s="2"/>
      <c r="N962" s="10"/>
    </row>
    <row r="963" customFormat="false" ht="15.75" hidden="false" customHeight="false" outlineLevel="0" collapsed="false">
      <c r="M963" s="2"/>
      <c r="N963" s="10"/>
    </row>
    <row r="964" customFormat="false" ht="15.75" hidden="false" customHeight="false" outlineLevel="0" collapsed="false">
      <c r="M964" s="2"/>
      <c r="N964" s="10"/>
    </row>
    <row r="965" customFormat="false" ht="15.75" hidden="false" customHeight="false" outlineLevel="0" collapsed="false">
      <c r="M965" s="2"/>
      <c r="N965" s="10"/>
    </row>
    <row r="966" customFormat="false" ht="15.75" hidden="false" customHeight="false" outlineLevel="0" collapsed="false">
      <c r="M966" s="2"/>
      <c r="N966" s="10"/>
    </row>
    <row r="967" customFormat="false" ht="15.75" hidden="false" customHeight="false" outlineLevel="0" collapsed="false">
      <c r="M967" s="2"/>
      <c r="N967" s="10"/>
    </row>
    <row r="968" customFormat="false" ht="15.75" hidden="false" customHeight="false" outlineLevel="0" collapsed="false">
      <c r="M968" s="2"/>
      <c r="N968" s="10"/>
    </row>
    <row r="969" customFormat="false" ht="15.75" hidden="false" customHeight="false" outlineLevel="0" collapsed="false">
      <c r="M969" s="2"/>
      <c r="N969" s="10"/>
    </row>
    <row r="970" customFormat="false" ht="15.75" hidden="false" customHeight="false" outlineLevel="0" collapsed="false">
      <c r="M970" s="2"/>
      <c r="N970" s="10"/>
    </row>
    <row r="971" customFormat="false" ht="15.75" hidden="false" customHeight="false" outlineLevel="0" collapsed="false">
      <c r="M971" s="2"/>
      <c r="N971" s="10"/>
    </row>
    <row r="972" customFormat="false" ht="15.75" hidden="false" customHeight="false" outlineLevel="0" collapsed="false">
      <c r="M972" s="2"/>
      <c r="N972" s="10"/>
    </row>
    <row r="973" customFormat="false" ht="15.75" hidden="false" customHeight="false" outlineLevel="0" collapsed="false">
      <c r="M973" s="2"/>
      <c r="N973" s="10"/>
    </row>
    <row r="974" customFormat="false" ht="15.75" hidden="false" customHeight="false" outlineLevel="0" collapsed="false">
      <c r="M974" s="2"/>
      <c r="N974" s="10"/>
    </row>
    <row r="975" customFormat="false" ht="15.75" hidden="false" customHeight="false" outlineLevel="0" collapsed="false">
      <c r="M975" s="2"/>
      <c r="N975" s="10"/>
    </row>
    <row r="976" customFormat="false" ht="15.75" hidden="false" customHeight="false" outlineLevel="0" collapsed="false">
      <c r="M976" s="2"/>
      <c r="N976" s="10"/>
    </row>
    <row r="977" customFormat="false" ht="15.75" hidden="false" customHeight="false" outlineLevel="0" collapsed="false">
      <c r="M977" s="2"/>
      <c r="N977" s="10"/>
    </row>
    <row r="978" customFormat="false" ht="15.75" hidden="false" customHeight="false" outlineLevel="0" collapsed="false">
      <c r="M978" s="2"/>
      <c r="N978" s="10"/>
    </row>
    <row r="979" customFormat="false" ht="15.75" hidden="false" customHeight="false" outlineLevel="0" collapsed="false">
      <c r="M979" s="2"/>
      <c r="N979" s="10"/>
    </row>
    <row r="980" customFormat="false" ht="15.75" hidden="false" customHeight="false" outlineLevel="0" collapsed="false">
      <c r="M980" s="2"/>
      <c r="N980" s="10"/>
    </row>
    <row r="981" customFormat="false" ht="15.75" hidden="false" customHeight="false" outlineLevel="0" collapsed="false">
      <c r="M981" s="2"/>
      <c r="N981" s="10"/>
    </row>
    <row r="982" customFormat="false" ht="15.75" hidden="false" customHeight="false" outlineLevel="0" collapsed="false">
      <c r="M982" s="2"/>
      <c r="N982" s="10"/>
    </row>
    <row r="983" customFormat="false" ht="15.75" hidden="false" customHeight="false" outlineLevel="0" collapsed="false">
      <c r="M983" s="2"/>
      <c r="N983" s="10"/>
    </row>
    <row r="984" customFormat="false" ht="15.75" hidden="false" customHeight="false" outlineLevel="0" collapsed="false">
      <c r="M984" s="2"/>
      <c r="N984" s="10"/>
    </row>
    <row r="985" customFormat="false" ht="15.75" hidden="false" customHeight="false" outlineLevel="0" collapsed="false">
      <c r="M985" s="2"/>
      <c r="N985" s="10"/>
    </row>
    <row r="986" customFormat="false" ht="15.75" hidden="false" customHeight="false" outlineLevel="0" collapsed="false">
      <c r="M986" s="2"/>
      <c r="N986" s="10"/>
    </row>
    <row r="987" customFormat="false" ht="15.75" hidden="false" customHeight="false" outlineLevel="0" collapsed="false">
      <c r="M987" s="2"/>
      <c r="N987" s="10"/>
    </row>
    <row r="988" customFormat="false" ht="15.75" hidden="false" customHeight="false" outlineLevel="0" collapsed="false">
      <c r="M988" s="2"/>
      <c r="N988" s="10"/>
    </row>
    <row r="989" customFormat="false" ht="15.75" hidden="false" customHeight="false" outlineLevel="0" collapsed="false">
      <c r="M989" s="2"/>
      <c r="N989" s="10"/>
    </row>
    <row r="990" customFormat="false" ht="15.75" hidden="false" customHeight="false" outlineLevel="0" collapsed="false">
      <c r="M990" s="2"/>
      <c r="N990" s="10"/>
    </row>
    <row r="991" customFormat="false" ht="15.75" hidden="false" customHeight="false" outlineLevel="0" collapsed="false">
      <c r="M991" s="2"/>
      <c r="N991" s="10"/>
    </row>
    <row r="992" customFormat="false" ht="15.75" hidden="false" customHeight="false" outlineLevel="0" collapsed="false">
      <c r="M992" s="2"/>
      <c r="N992" s="10"/>
    </row>
    <row r="993" customFormat="false" ht="15.75" hidden="false" customHeight="false" outlineLevel="0" collapsed="false">
      <c r="M993" s="2"/>
      <c r="N993" s="10"/>
    </row>
    <row r="994" customFormat="false" ht="15.75" hidden="false" customHeight="false" outlineLevel="0" collapsed="false">
      <c r="M994" s="2"/>
      <c r="N994" s="10"/>
    </row>
    <row r="995" customFormat="false" ht="15.75" hidden="false" customHeight="false" outlineLevel="0" collapsed="false">
      <c r="M995" s="2"/>
      <c r="N995" s="10"/>
    </row>
    <row r="996" customFormat="false" ht="15.75" hidden="false" customHeight="false" outlineLevel="0" collapsed="false">
      <c r="M996" s="2"/>
      <c r="N996" s="10"/>
    </row>
    <row r="997" customFormat="false" ht="15.75" hidden="false" customHeight="false" outlineLevel="0" collapsed="false">
      <c r="M997" s="2"/>
      <c r="N997" s="10"/>
    </row>
    <row r="998" customFormat="false" ht="15.75" hidden="false" customHeight="false" outlineLevel="0" collapsed="false">
      <c r="M998" s="2"/>
      <c r="N998" s="10"/>
    </row>
    <row r="999" customFormat="false" ht="15.75" hidden="false" customHeight="false" outlineLevel="0" collapsed="false">
      <c r="M999" s="2"/>
      <c r="N999" s="10"/>
    </row>
    <row r="1000" customFormat="false" ht="15.75" hidden="false" customHeight="false" outlineLevel="0" collapsed="false">
      <c r="M1000" s="2"/>
      <c r="N1000" s="10"/>
    </row>
    <row r="1001" customFormat="false" ht="15.75" hidden="false" customHeight="false" outlineLevel="0" collapsed="false">
      <c r="M1001" s="2"/>
      <c r="N1001" s="10"/>
    </row>
    <row r="1002" customFormat="false" ht="15.75" hidden="false" customHeight="false" outlineLevel="0" collapsed="false">
      <c r="M1002" s="2"/>
      <c r="N1002" s="10"/>
    </row>
    <row r="1003" customFormat="false" ht="15.75" hidden="false" customHeight="false" outlineLevel="0" collapsed="false">
      <c r="M1003" s="2"/>
      <c r="N1003" s="10"/>
    </row>
    <row r="1004" customFormat="false" ht="15.75" hidden="false" customHeight="false" outlineLevel="0" collapsed="false">
      <c r="M1004" s="2"/>
      <c r="N1004" s="10"/>
    </row>
    <row r="1005" customFormat="false" ht="15.75" hidden="false" customHeight="false" outlineLevel="0" collapsed="false">
      <c r="M1005" s="2"/>
      <c r="N1005" s="10"/>
    </row>
    <row r="1006" customFormat="false" ht="15.75" hidden="false" customHeight="false" outlineLevel="0" collapsed="false">
      <c r="M1006" s="2"/>
      <c r="N1006" s="10"/>
    </row>
    <row r="1007" customFormat="false" ht="15.75" hidden="false" customHeight="false" outlineLevel="0" collapsed="false">
      <c r="M1007" s="2"/>
      <c r="N1007" s="10"/>
    </row>
    <row r="1008" customFormat="false" ht="15.75" hidden="false" customHeight="false" outlineLevel="0" collapsed="false">
      <c r="M1008" s="2"/>
      <c r="N1008" s="10"/>
    </row>
    <row r="1009" customFormat="false" ht="15.75" hidden="false" customHeight="false" outlineLevel="0" collapsed="false">
      <c r="M1009" s="2"/>
      <c r="N1009" s="10"/>
    </row>
    <row r="1010" customFormat="false" ht="15.75" hidden="false" customHeight="false" outlineLevel="0" collapsed="false">
      <c r="M1010" s="2"/>
      <c r="N1010" s="10"/>
    </row>
    <row r="1011" customFormat="false" ht="15.75" hidden="false" customHeight="false" outlineLevel="0" collapsed="false">
      <c r="M1011" s="2"/>
      <c r="N1011" s="10"/>
    </row>
    <row r="1012" customFormat="false" ht="15.75" hidden="false" customHeight="false" outlineLevel="0" collapsed="false">
      <c r="M1012" s="2"/>
      <c r="N1012" s="10"/>
    </row>
  </sheetData>
  <autoFilter ref="A1:K23"/>
  <mergeCells count="2">
    <mergeCell ref="D25:K25"/>
    <mergeCell ref="D46:I46"/>
  </mergeCells>
  <conditionalFormatting sqref="D2:D24 D26:D44">
    <cfRule type="colorScale" priority="2">
      <colorScale>
        <cfvo type="formula" val="0"/>
        <cfvo type="formula" val="0.5"/>
        <cfvo type="formula" val="1"/>
        <color rgb="FFFFFFFF"/>
        <color rgb="FFF3BEB9"/>
        <color rgb="FFE67C73"/>
      </colorScale>
    </cfRule>
  </conditionalFormatting>
  <conditionalFormatting sqref="E2:J23 E26:J44">
    <cfRule type="colorScale" priority="3">
      <colorScale>
        <cfvo type="formula" val="1"/>
        <cfvo type="formula" val="3"/>
        <cfvo type="formula" val="5"/>
        <color rgb="FFEA9999"/>
        <color rgb="FFFFE599"/>
        <color rgb="FF9FC5E8"/>
      </colorScale>
    </cfRule>
  </conditionalFormatting>
  <conditionalFormatting sqref="E2:J23">
    <cfRule type="expression" priority="4" aboveAverage="0" equalAverage="0" bottom="0" percent="0" rank="0" text="" dxfId="64">
      <formula>E2=MAX(E$4:E$23)</formula>
    </cfRule>
  </conditionalFormatting>
  <conditionalFormatting sqref="E36:J40">
    <cfRule type="expression" priority="5" aboveAverage="0" equalAverage="0" bottom="0" percent="0" rank="0" text="" dxfId="64">
      <formula>E36=MAX(E$36:E$40)</formula>
    </cfRule>
  </conditionalFormatting>
  <conditionalFormatting sqref="E41:J44">
    <cfRule type="expression" priority="6" aboveAverage="0" equalAverage="0" bottom="0" percent="0" rank="0" text="" dxfId="64">
      <formula>E41=MAX(E$41:E$44)</formula>
    </cfRule>
  </conditionalFormatting>
  <conditionalFormatting sqref="N2:R11">
    <cfRule type="colorScale" priority="7">
      <colorScale>
        <cfvo type="formula" val="-1"/>
        <cfvo type="formula" val="0"/>
        <cfvo type="formula" val="1"/>
        <color rgb="FFE67C73"/>
        <color rgb="FFFFFFFF"/>
        <color rgb="FF57BB8A"/>
      </colorScale>
    </cfRule>
  </conditionalFormatting>
  <conditionalFormatting sqref="D47:D65">
    <cfRule type="colorScale" priority="8">
      <colorScale>
        <cfvo type="min" val="0"/>
        <cfvo type="max" val="0"/>
        <color rgb="FFFFFFFF"/>
        <color rgb="FFE67C73"/>
      </colorScale>
    </cfRule>
  </conditionalFormatting>
  <conditionalFormatting sqref="E47:I65">
    <cfRule type="colorScale" priority="9">
      <colorScale>
        <cfvo type="min" val="0"/>
        <cfvo type="percent" val="50"/>
        <cfvo type="max" val="0"/>
        <color rgb="FFFFFFFF"/>
        <color rgb="FFF3BEB9"/>
        <color rgb="FFE67C73"/>
      </colorScale>
    </cfRule>
  </conditionalFormatting>
  <conditionalFormatting sqref="E26:J35">
    <cfRule type="expression" priority="10" aboveAverage="0" equalAverage="0" bottom="0" percent="0" rank="0" text="" dxfId="64">
      <formula>E26=MAX(E$26:E$30)</formula>
    </cfRule>
  </conditionalFormatting>
  <dataValidations count="1">
    <dataValidation allowBlank="true" errorStyle="stop" operator="between" showDropDown="false" showErrorMessage="true" showInputMessage="false" sqref="C2:C23 C41:C44 C62:C65" type="list">
      <formula1>"5W1H,Base,CoT,tldr,Heading,Jeremy,Begoña,Alba,Naiara"</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1" width="3"/>
    <col collapsed="false" customWidth="true" hidden="false" outlineLevel="0" max="2" min="2" style="1" width="63.88"/>
    <col collapsed="false" customWidth="true" hidden="false" outlineLevel="0" max="4" min="4" style="1" width="77"/>
    <col collapsed="false" customWidth="true" hidden="false" outlineLevel="0" max="5" min="5" style="1" width="5.75"/>
  </cols>
  <sheetData>
    <row r="1" customFormat="false" ht="15.75" hidden="false" customHeight="false" outlineLevel="0" collapsed="false">
      <c r="A1" s="3" t="s">
        <v>0</v>
      </c>
      <c r="B1" s="3" t="s">
        <v>27</v>
      </c>
      <c r="C1" s="3" t="s">
        <v>28</v>
      </c>
      <c r="D1" s="45" t="s">
        <v>29</v>
      </c>
      <c r="E1" s="46" t="s">
        <v>3</v>
      </c>
      <c r="F1" s="3" t="s">
        <v>4</v>
      </c>
      <c r="G1" s="3" t="s">
        <v>5</v>
      </c>
      <c r="H1" s="3" t="s">
        <v>6</v>
      </c>
      <c r="I1" s="3" t="s">
        <v>7</v>
      </c>
      <c r="J1" s="3" t="s">
        <v>8</v>
      </c>
      <c r="K1" s="3"/>
      <c r="L1" s="3"/>
      <c r="M1" s="3"/>
      <c r="N1" s="3"/>
      <c r="O1" s="3"/>
      <c r="P1" s="3"/>
      <c r="Q1" s="3"/>
      <c r="R1" s="3"/>
      <c r="S1" s="3"/>
      <c r="T1" s="3"/>
      <c r="U1" s="3"/>
      <c r="V1" s="3"/>
      <c r="W1" s="3"/>
      <c r="X1" s="3"/>
      <c r="Y1" s="3"/>
      <c r="Z1" s="3"/>
      <c r="AA1" s="3"/>
      <c r="AB1" s="3"/>
    </row>
    <row r="2" customFormat="false" ht="225" hidden="false" customHeight="true" outlineLevel="0" collapsed="false">
      <c r="A2" s="47" t="s">
        <v>30</v>
      </c>
      <c r="B2" s="48" t="s">
        <v>31</v>
      </c>
      <c r="C2" s="6" t="s">
        <v>16</v>
      </c>
      <c r="D2" s="49" t="s">
        <v>32</v>
      </c>
      <c r="E2" s="50" t="n">
        <f aca="false">IFERROR(__xludf.dummyfunction("COUNTA(SPLIT(D2,"" ""))/COUNTA(SPLIT($B$2,"" ""))"),0.117948717948718)</f>
        <v>0.1179487179</v>
      </c>
      <c r="F2" s="6" t="n">
        <v>4</v>
      </c>
      <c r="G2" s="6" t="n">
        <v>5</v>
      </c>
      <c r="H2" s="6" t="n">
        <v>4</v>
      </c>
      <c r="I2" s="6" t="n">
        <v>5</v>
      </c>
      <c r="J2" s="6" t="n">
        <v>3</v>
      </c>
      <c r="K2" s="51"/>
      <c r="L2" s="51"/>
      <c r="M2" s="51"/>
      <c r="N2" s="51"/>
      <c r="O2" s="51"/>
      <c r="P2" s="51"/>
      <c r="Q2" s="51"/>
      <c r="R2" s="51"/>
      <c r="S2" s="51"/>
      <c r="T2" s="51"/>
      <c r="U2" s="51"/>
      <c r="V2" s="51"/>
      <c r="W2" s="51"/>
      <c r="X2" s="51"/>
      <c r="Y2" s="51"/>
      <c r="Z2" s="51"/>
      <c r="AA2" s="51"/>
      <c r="AB2" s="51"/>
    </row>
    <row r="3" customFormat="false" ht="225" hidden="false" customHeight="true" outlineLevel="0" collapsed="false">
      <c r="A3" s="47"/>
      <c r="B3" s="47"/>
      <c r="C3" s="6" t="s">
        <v>33</v>
      </c>
      <c r="D3" s="49" t="s">
        <v>34</v>
      </c>
      <c r="E3" s="52" t="n">
        <f aca="false">IFERROR(__xludf.dummyfunction("COUNTA(SPLIT(D3,"" ""))/COUNTA(SPLIT($B$2,"" ""))"),0.4)</f>
        <v>0.4</v>
      </c>
      <c r="F3" s="6"/>
      <c r="G3" s="6"/>
      <c r="H3" s="6"/>
      <c r="I3" s="6"/>
      <c r="J3" s="6"/>
      <c r="K3" s="51"/>
      <c r="L3" s="51"/>
      <c r="M3" s="51"/>
      <c r="N3" s="51"/>
      <c r="O3" s="51"/>
      <c r="P3" s="51"/>
      <c r="Q3" s="51"/>
      <c r="R3" s="51"/>
      <c r="S3" s="51"/>
      <c r="T3" s="51"/>
      <c r="U3" s="51"/>
      <c r="V3" s="51"/>
      <c r="W3" s="51"/>
      <c r="X3" s="51"/>
      <c r="Y3" s="51"/>
      <c r="Z3" s="51"/>
      <c r="AA3" s="51"/>
      <c r="AB3" s="51"/>
    </row>
    <row r="4" customFormat="false" ht="225" hidden="false" customHeight="true" outlineLevel="0" collapsed="false">
      <c r="A4" s="47"/>
      <c r="B4" s="47"/>
      <c r="C4" s="6"/>
      <c r="D4" s="49"/>
      <c r="E4" s="52" t="n">
        <f aca="false">IFERROR(__xludf.dummyfunction("COUNTA(SPLIT(D4,"" ""))/COUNTA(SPLIT($B$2,"" ""))"),0.00512820512820513)</f>
        <v>0.005128205128</v>
      </c>
      <c r="F4" s="6"/>
      <c r="G4" s="6"/>
      <c r="H4" s="6"/>
      <c r="I4" s="6"/>
      <c r="J4" s="6"/>
      <c r="K4" s="51"/>
      <c r="L4" s="51"/>
      <c r="M4" s="51"/>
      <c r="N4" s="51"/>
      <c r="O4" s="51"/>
      <c r="P4" s="51"/>
      <c r="Q4" s="51"/>
      <c r="R4" s="51"/>
      <c r="S4" s="51"/>
      <c r="T4" s="51"/>
      <c r="U4" s="51"/>
      <c r="V4" s="51"/>
      <c r="W4" s="51"/>
      <c r="X4" s="51"/>
      <c r="Y4" s="51"/>
      <c r="Z4" s="51"/>
      <c r="AA4" s="51"/>
      <c r="AB4" s="51"/>
    </row>
    <row r="5" customFormat="false" ht="225" hidden="false" customHeight="true" outlineLevel="0" collapsed="false">
      <c r="A5" s="47"/>
      <c r="B5" s="47"/>
      <c r="C5" s="6"/>
      <c r="D5" s="49"/>
      <c r="E5" s="52" t="n">
        <f aca="false">IFERROR(__xludf.dummyfunction("COUNTA(SPLIT(D5,"" ""))/COUNTA(SPLIT($B$2,"" ""))"),0.00512820512820513)</f>
        <v>0.005128205128</v>
      </c>
      <c r="F5" s="6"/>
      <c r="G5" s="6"/>
      <c r="H5" s="6"/>
      <c r="I5" s="6"/>
      <c r="J5" s="6"/>
      <c r="K5" s="51"/>
      <c r="L5" s="51"/>
      <c r="M5" s="51"/>
      <c r="N5" s="51"/>
      <c r="O5" s="51"/>
      <c r="P5" s="51"/>
      <c r="Q5" s="51"/>
      <c r="R5" s="51"/>
      <c r="S5" s="51"/>
      <c r="T5" s="51"/>
      <c r="U5" s="51"/>
      <c r="V5" s="51"/>
      <c r="W5" s="51"/>
      <c r="X5" s="51"/>
      <c r="Y5" s="51"/>
      <c r="Z5" s="51"/>
      <c r="AA5" s="51"/>
      <c r="AB5" s="51"/>
    </row>
    <row r="6" customFormat="false" ht="15.75" hidden="false" customHeight="false" outlineLevel="0" collapsed="false">
      <c r="A6" s="51"/>
      <c r="B6" s="51"/>
      <c r="C6" s="6"/>
      <c r="D6" s="49"/>
      <c r="E6" s="53"/>
      <c r="F6" s="6"/>
      <c r="G6" s="6"/>
      <c r="H6" s="6"/>
      <c r="I6" s="6"/>
      <c r="J6" s="6"/>
      <c r="K6" s="51"/>
      <c r="L6" s="51"/>
      <c r="M6" s="51"/>
      <c r="N6" s="51"/>
      <c r="O6" s="51"/>
      <c r="P6" s="51"/>
      <c r="Q6" s="51"/>
      <c r="R6" s="51"/>
      <c r="S6" s="51"/>
      <c r="T6" s="51"/>
      <c r="U6" s="51"/>
      <c r="V6" s="51"/>
      <c r="W6" s="51"/>
      <c r="X6" s="51"/>
      <c r="Y6" s="51"/>
      <c r="Z6" s="51"/>
      <c r="AA6" s="51"/>
      <c r="AB6" s="51"/>
    </row>
    <row r="7" customFormat="false" ht="225" hidden="false" customHeight="true" outlineLevel="0" collapsed="false">
      <c r="A7" s="54" t="s">
        <v>35</v>
      </c>
      <c r="B7" s="55" t="s">
        <v>36</v>
      </c>
      <c r="C7" s="56" t="s">
        <v>16</v>
      </c>
      <c r="D7" s="57" t="s">
        <v>37</v>
      </c>
      <c r="E7" s="58" t="n">
        <f aca="false">IFERROR(__xludf.dummyfunction("COUNTA(SPLIT(D7,"" ""))/COUNTA(SPLIT($B$7,"" ""))"),0.0833333333333333)</f>
        <v>0.08333333333</v>
      </c>
      <c r="F7" s="56" t="n">
        <v>3</v>
      </c>
      <c r="G7" s="56" t="n">
        <v>5</v>
      </c>
      <c r="H7" s="56" t="n">
        <v>5</v>
      </c>
      <c r="I7" s="56" t="n">
        <v>4</v>
      </c>
      <c r="J7" s="56" t="n">
        <v>2</v>
      </c>
      <c r="K7" s="59"/>
      <c r="L7" s="59"/>
      <c r="M7" s="59"/>
      <c r="N7" s="59"/>
      <c r="O7" s="59"/>
      <c r="P7" s="59"/>
      <c r="Q7" s="59"/>
      <c r="R7" s="59"/>
      <c r="S7" s="59"/>
      <c r="T7" s="59"/>
      <c r="U7" s="59"/>
      <c r="V7" s="59"/>
      <c r="W7" s="59"/>
      <c r="X7" s="59"/>
      <c r="Y7" s="59"/>
      <c r="Z7" s="59"/>
      <c r="AA7" s="59"/>
      <c r="AB7" s="59"/>
    </row>
    <row r="8" customFormat="false" ht="225" hidden="false" customHeight="true" outlineLevel="0" collapsed="false">
      <c r="A8" s="54"/>
      <c r="B8" s="54"/>
      <c r="C8" s="6" t="s">
        <v>33</v>
      </c>
      <c r="D8" s="49" t="s">
        <v>38</v>
      </c>
      <c r="E8" s="52" t="n">
        <f aca="false">IFERROR(__xludf.dummyfunction("COUNTA(SPLIT(D8,"" ""))/COUNTA(SPLIT($B$7,"" ""))"),0.279761904761905)</f>
        <v>0.2797619048</v>
      </c>
      <c r="F8" s="6"/>
      <c r="G8" s="6"/>
      <c r="H8" s="6"/>
      <c r="I8" s="6"/>
      <c r="J8" s="6"/>
      <c r="K8" s="51"/>
      <c r="L8" s="51"/>
      <c r="M8" s="51"/>
      <c r="N8" s="51"/>
      <c r="O8" s="51"/>
      <c r="P8" s="51"/>
      <c r="Q8" s="51"/>
      <c r="R8" s="51"/>
      <c r="S8" s="51"/>
      <c r="T8" s="51"/>
      <c r="U8" s="51"/>
      <c r="V8" s="51"/>
      <c r="W8" s="51"/>
      <c r="X8" s="51"/>
      <c r="Y8" s="51"/>
      <c r="Z8" s="51"/>
      <c r="AA8" s="51"/>
      <c r="AB8" s="51"/>
    </row>
    <row r="9" customFormat="false" ht="225" hidden="false" customHeight="true" outlineLevel="0" collapsed="false">
      <c r="A9" s="54"/>
      <c r="B9" s="54"/>
      <c r="C9" s="6"/>
      <c r="D9" s="49"/>
      <c r="E9" s="52" t="n">
        <f aca="false">IFERROR(__xludf.dummyfunction("COUNTA(SPLIT(D9,"" ""))/COUNTA(SPLIT($B$7,"" ""))"),0.00595238095238095)</f>
        <v>0.005952380952</v>
      </c>
      <c r="F9" s="6"/>
      <c r="G9" s="6"/>
      <c r="H9" s="6"/>
      <c r="I9" s="6"/>
      <c r="J9" s="6"/>
      <c r="K9" s="51"/>
      <c r="L9" s="51"/>
      <c r="M9" s="51"/>
      <c r="N9" s="51"/>
      <c r="O9" s="51"/>
      <c r="P9" s="51"/>
      <c r="Q9" s="51"/>
      <c r="R9" s="51"/>
      <c r="S9" s="51"/>
      <c r="T9" s="51"/>
      <c r="U9" s="51"/>
      <c r="V9" s="51"/>
      <c r="W9" s="51"/>
      <c r="X9" s="51"/>
      <c r="Y9" s="51"/>
      <c r="Z9" s="51"/>
      <c r="AA9" s="51"/>
      <c r="AB9" s="51"/>
    </row>
    <row r="10" customFormat="false" ht="225" hidden="false" customHeight="true" outlineLevel="0" collapsed="false">
      <c r="A10" s="54"/>
      <c r="B10" s="54"/>
      <c r="C10" s="6"/>
      <c r="D10" s="49"/>
      <c r="E10" s="52" t="n">
        <f aca="false">IFERROR(__xludf.dummyfunction("COUNTA(SPLIT(D10,"" ""))/COUNTA(SPLIT($B$7,"" ""))"),0.00595238095238095)</f>
        <v>0.005952380952</v>
      </c>
      <c r="F10" s="6"/>
      <c r="G10" s="6"/>
      <c r="H10" s="6"/>
      <c r="I10" s="6"/>
      <c r="J10" s="6"/>
      <c r="K10" s="51"/>
      <c r="L10" s="51"/>
      <c r="M10" s="51"/>
      <c r="N10" s="51"/>
      <c r="O10" s="51"/>
      <c r="P10" s="51"/>
      <c r="Q10" s="51"/>
      <c r="R10" s="51"/>
      <c r="S10" s="51"/>
      <c r="T10" s="51"/>
      <c r="U10" s="51"/>
      <c r="V10" s="51"/>
      <c r="W10" s="51"/>
      <c r="X10" s="51"/>
      <c r="Y10" s="51"/>
      <c r="Z10" s="51"/>
      <c r="AA10" s="51"/>
      <c r="AB10" s="51"/>
    </row>
    <row r="11" customFormat="false" ht="15.75" hidden="false" customHeight="false" outlineLevel="0" collapsed="false">
      <c r="A11" s="51"/>
      <c r="B11" s="51"/>
      <c r="C11" s="6"/>
      <c r="D11" s="49"/>
      <c r="E11" s="53"/>
      <c r="F11" s="6"/>
      <c r="G11" s="6"/>
      <c r="H11" s="6"/>
      <c r="I11" s="6"/>
      <c r="J11" s="6"/>
      <c r="K11" s="51"/>
      <c r="L11" s="51"/>
      <c r="M11" s="51"/>
      <c r="N11" s="51"/>
      <c r="O11" s="51"/>
      <c r="P11" s="51"/>
      <c r="Q11" s="51"/>
      <c r="R11" s="51"/>
      <c r="S11" s="51"/>
      <c r="T11" s="51"/>
      <c r="U11" s="51"/>
      <c r="V11" s="51"/>
      <c r="W11" s="51"/>
      <c r="X11" s="51"/>
      <c r="Y11" s="51"/>
      <c r="Z11" s="51"/>
      <c r="AA11" s="51"/>
      <c r="AB11" s="51"/>
    </row>
    <row r="12" customFormat="false" ht="225" hidden="false" customHeight="true" outlineLevel="0" collapsed="false">
      <c r="A12" s="54" t="s">
        <v>39</v>
      </c>
      <c r="B12" s="55" t="s">
        <v>40</v>
      </c>
      <c r="C12" s="56" t="s">
        <v>16</v>
      </c>
      <c r="D12" s="57" t="s">
        <v>41</v>
      </c>
      <c r="E12" s="60" t="n">
        <f aca="false">IFERROR(__xludf.dummyfunction("COUNTA(SPLIT(D12,"" ""))/COUNTA(SPLIT($B$12,"" ""))"),0.0617848970251716)</f>
        <v>0.06178489703</v>
      </c>
      <c r="F12" s="56" t="n">
        <v>4</v>
      </c>
      <c r="G12" s="56" t="n">
        <v>5</v>
      </c>
      <c r="H12" s="56" t="n">
        <v>5</v>
      </c>
      <c r="I12" s="56" t="n">
        <v>5</v>
      </c>
      <c r="J12" s="56" t="n">
        <v>2</v>
      </c>
      <c r="K12" s="59"/>
      <c r="L12" s="59"/>
      <c r="M12" s="59"/>
      <c r="N12" s="59"/>
      <c r="O12" s="59"/>
      <c r="P12" s="59"/>
      <c r="Q12" s="59"/>
      <c r="R12" s="59"/>
      <c r="S12" s="59"/>
      <c r="T12" s="59"/>
      <c r="U12" s="59"/>
      <c r="V12" s="59"/>
      <c r="W12" s="59"/>
      <c r="X12" s="59"/>
      <c r="Y12" s="59"/>
      <c r="Z12" s="59"/>
      <c r="AA12" s="59"/>
      <c r="AB12" s="59"/>
    </row>
    <row r="13" customFormat="false" ht="225" hidden="false" customHeight="true" outlineLevel="0" collapsed="false">
      <c r="A13" s="54"/>
      <c r="B13" s="54"/>
      <c r="C13" s="6" t="s">
        <v>33</v>
      </c>
      <c r="D13" s="49" t="s">
        <v>42</v>
      </c>
      <c r="E13" s="52" t="n">
        <f aca="false">IFERROR(__xludf.dummyfunction("COUNTA(SPLIT(D13,"" ""))/COUNTA(SPLIT($B$12,"" ""))"),0.247139588100687)</f>
        <v>0.2471395881</v>
      </c>
      <c r="F13" s="6"/>
      <c r="G13" s="6"/>
      <c r="H13" s="6"/>
      <c r="I13" s="6"/>
      <c r="J13" s="6"/>
      <c r="K13" s="51"/>
      <c r="L13" s="51"/>
      <c r="M13" s="51"/>
      <c r="N13" s="51"/>
      <c r="O13" s="51"/>
      <c r="P13" s="51"/>
      <c r="Q13" s="51"/>
      <c r="R13" s="51"/>
      <c r="S13" s="51"/>
      <c r="T13" s="51"/>
      <c r="U13" s="51"/>
      <c r="V13" s="51"/>
      <c r="W13" s="51"/>
      <c r="X13" s="51"/>
      <c r="Y13" s="51"/>
      <c r="Z13" s="51"/>
      <c r="AA13" s="51"/>
      <c r="AB13" s="51"/>
    </row>
    <row r="14" customFormat="false" ht="225" hidden="false" customHeight="true" outlineLevel="0" collapsed="false">
      <c r="A14" s="54"/>
      <c r="B14" s="54"/>
      <c r="C14" s="6"/>
      <c r="D14" s="49"/>
      <c r="E14" s="52" t="n">
        <f aca="false">IFERROR(__xludf.dummyfunction("COUNTA(SPLIT(D14,"" ""))/COUNTA(SPLIT($B$12,"" ""))"),0.0022883295194508)</f>
        <v>0.002288329519</v>
      </c>
      <c r="F14" s="6"/>
      <c r="G14" s="6"/>
      <c r="H14" s="6"/>
      <c r="I14" s="6"/>
      <c r="J14" s="6"/>
      <c r="K14" s="51"/>
      <c r="L14" s="51"/>
      <c r="M14" s="51"/>
      <c r="N14" s="51"/>
      <c r="O14" s="51"/>
      <c r="P14" s="51"/>
      <c r="Q14" s="51"/>
      <c r="R14" s="51"/>
      <c r="S14" s="51"/>
      <c r="T14" s="51"/>
      <c r="U14" s="51"/>
      <c r="V14" s="51"/>
      <c r="W14" s="51"/>
      <c r="X14" s="51"/>
      <c r="Y14" s="51"/>
      <c r="Z14" s="51"/>
      <c r="AA14" s="51"/>
      <c r="AB14" s="51"/>
    </row>
    <row r="15" customFormat="false" ht="225" hidden="false" customHeight="true" outlineLevel="0" collapsed="false">
      <c r="A15" s="54"/>
      <c r="B15" s="54"/>
      <c r="C15" s="6"/>
      <c r="D15" s="49"/>
      <c r="E15" s="52" t="n">
        <f aca="false">IFERROR(__xludf.dummyfunction("COUNTA(SPLIT(D15,"" ""))/COUNTA(SPLIT($B$12,"" ""))"),0.0022883295194508)</f>
        <v>0.002288329519</v>
      </c>
      <c r="F15" s="6"/>
      <c r="G15" s="6"/>
      <c r="H15" s="6"/>
      <c r="I15" s="6"/>
      <c r="J15" s="6"/>
      <c r="K15" s="51"/>
      <c r="L15" s="51"/>
      <c r="M15" s="51"/>
      <c r="N15" s="51"/>
      <c r="O15" s="51"/>
      <c r="P15" s="51"/>
      <c r="Q15" s="51"/>
      <c r="R15" s="51"/>
      <c r="S15" s="51"/>
      <c r="T15" s="51"/>
      <c r="U15" s="51"/>
      <c r="V15" s="51"/>
      <c r="W15" s="51"/>
      <c r="X15" s="51"/>
      <c r="Y15" s="51"/>
      <c r="Z15" s="51"/>
      <c r="AA15" s="51"/>
      <c r="AB15" s="51"/>
    </row>
    <row r="16" customFormat="false" ht="15.75" hidden="false" customHeight="false" outlineLevel="0" collapsed="false">
      <c r="A16" s="51"/>
      <c r="B16" s="51"/>
      <c r="C16" s="6"/>
      <c r="D16" s="49"/>
      <c r="E16" s="53"/>
      <c r="F16" s="6"/>
      <c r="G16" s="6"/>
      <c r="H16" s="6"/>
      <c r="I16" s="6"/>
      <c r="J16" s="6"/>
      <c r="K16" s="51"/>
      <c r="L16" s="51"/>
      <c r="M16" s="51"/>
      <c r="N16" s="51"/>
      <c r="O16" s="51"/>
      <c r="P16" s="51"/>
      <c r="Q16" s="51"/>
      <c r="R16" s="51"/>
      <c r="S16" s="51"/>
      <c r="T16" s="51"/>
      <c r="U16" s="51"/>
      <c r="V16" s="51"/>
      <c r="W16" s="51"/>
      <c r="X16" s="51"/>
      <c r="Y16" s="51"/>
      <c r="Z16" s="51"/>
      <c r="AA16" s="51"/>
      <c r="AB16" s="51"/>
    </row>
    <row r="17" customFormat="false" ht="225" hidden="false" customHeight="true" outlineLevel="0" collapsed="false">
      <c r="A17" s="54" t="s">
        <v>43</v>
      </c>
      <c r="B17" s="55" t="s">
        <v>44</v>
      </c>
      <c r="C17" s="56" t="s">
        <v>16</v>
      </c>
      <c r="D17" s="57" t="s">
        <v>45</v>
      </c>
      <c r="E17" s="61" t="n">
        <f aca="false">IFERROR(__xludf.dummyfunction("COUNTA(SPLIT(D17,"" ""))/COUNTA(SPLIT($B$17,"" ""))"),0.0812182741116751)</f>
        <v>0.08121827411</v>
      </c>
      <c r="F17" s="56" t="n">
        <v>4</v>
      </c>
      <c r="G17" s="56" t="n">
        <v>5</v>
      </c>
      <c r="H17" s="56" t="n">
        <v>5</v>
      </c>
      <c r="I17" s="56" t="n">
        <v>5</v>
      </c>
      <c r="J17" s="56" t="n">
        <v>3</v>
      </c>
      <c r="K17" s="59"/>
      <c r="L17" s="59"/>
      <c r="M17" s="59"/>
      <c r="N17" s="59"/>
      <c r="O17" s="59"/>
      <c r="P17" s="59"/>
      <c r="Q17" s="59"/>
      <c r="R17" s="59"/>
      <c r="S17" s="59"/>
      <c r="T17" s="59"/>
      <c r="U17" s="59"/>
      <c r="V17" s="59"/>
      <c r="W17" s="59"/>
      <c r="X17" s="59"/>
      <c r="Y17" s="59"/>
      <c r="Z17" s="59"/>
      <c r="AA17" s="59"/>
      <c r="AB17" s="59"/>
    </row>
    <row r="18" customFormat="false" ht="225" hidden="false" customHeight="true" outlineLevel="0" collapsed="false">
      <c r="A18" s="54"/>
      <c r="B18" s="54"/>
      <c r="C18" s="6" t="s">
        <v>33</v>
      </c>
      <c r="D18" s="49" t="s">
        <v>46</v>
      </c>
      <c r="E18" s="52" t="n">
        <f aca="false">IFERROR(__xludf.dummyfunction("COUNTA(SPLIT(D18,"" ""))/COUNTA(SPLIT($B$17,"" ""))"),0.309644670050761)</f>
        <v>0.3096446701</v>
      </c>
      <c r="F18" s="6"/>
      <c r="G18" s="6"/>
      <c r="H18" s="6"/>
      <c r="I18" s="6"/>
      <c r="J18" s="6"/>
      <c r="K18" s="51"/>
      <c r="L18" s="51"/>
      <c r="M18" s="51"/>
      <c r="N18" s="51"/>
      <c r="O18" s="51"/>
      <c r="P18" s="51"/>
      <c r="Q18" s="51"/>
      <c r="R18" s="51"/>
      <c r="S18" s="51"/>
      <c r="T18" s="51"/>
      <c r="U18" s="51"/>
      <c r="V18" s="51"/>
      <c r="W18" s="51"/>
      <c r="X18" s="51"/>
      <c r="Y18" s="51"/>
      <c r="Z18" s="51"/>
      <c r="AA18" s="51"/>
      <c r="AB18" s="51"/>
    </row>
    <row r="19" customFormat="false" ht="225" hidden="false" customHeight="true" outlineLevel="0" collapsed="false">
      <c r="A19" s="54"/>
      <c r="B19" s="54"/>
      <c r="C19" s="6"/>
      <c r="D19" s="49"/>
      <c r="E19" s="52" t="n">
        <f aca="false">IFERROR(__xludf.dummyfunction("COUNTA(SPLIT(D19,"" ""))/COUNTA(SPLIT($B$17,"" ""))"),0.00253807106598985)</f>
        <v>0.002538071066</v>
      </c>
      <c r="F19" s="6"/>
      <c r="G19" s="6"/>
      <c r="H19" s="6"/>
      <c r="I19" s="6"/>
      <c r="J19" s="6"/>
      <c r="K19" s="51"/>
      <c r="L19" s="51"/>
      <c r="M19" s="51"/>
      <c r="N19" s="51"/>
      <c r="O19" s="51"/>
      <c r="P19" s="51"/>
      <c r="Q19" s="51"/>
      <c r="R19" s="51"/>
      <c r="S19" s="51"/>
      <c r="T19" s="51"/>
      <c r="U19" s="51"/>
      <c r="V19" s="51"/>
      <c r="W19" s="51"/>
      <c r="X19" s="51"/>
      <c r="Y19" s="51"/>
      <c r="Z19" s="51"/>
      <c r="AA19" s="51"/>
      <c r="AB19" s="51"/>
    </row>
    <row r="20" customFormat="false" ht="225" hidden="false" customHeight="true" outlineLevel="0" collapsed="false">
      <c r="A20" s="54"/>
      <c r="B20" s="54"/>
      <c r="C20" s="6"/>
      <c r="D20" s="49"/>
      <c r="E20" s="52" t="n">
        <f aca="false">IFERROR(__xludf.dummyfunction("COUNTA(SPLIT(D20,"" ""))/COUNTA(SPLIT($B$17,"" ""))"),0.00253807106598985)</f>
        <v>0.002538071066</v>
      </c>
      <c r="F20" s="6"/>
      <c r="G20" s="6"/>
      <c r="H20" s="6"/>
      <c r="I20" s="6"/>
      <c r="J20" s="6"/>
      <c r="K20" s="51"/>
      <c r="L20" s="51"/>
      <c r="M20" s="51"/>
      <c r="N20" s="51"/>
      <c r="O20" s="51"/>
      <c r="P20" s="51"/>
      <c r="Q20" s="51"/>
      <c r="R20" s="51"/>
      <c r="S20" s="51"/>
      <c r="T20" s="51"/>
      <c r="U20" s="51"/>
      <c r="V20" s="51"/>
      <c r="W20" s="51"/>
      <c r="X20" s="51"/>
      <c r="Y20" s="51"/>
      <c r="Z20" s="51"/>
      <c r="AA20" s="51"/>
      <c r="AB20" s="51"/>
    </row>
    <row r="21" customFormat="false" ht="15.75" hidden="false" customHeight="false" outlineLevel="0" collapsed="false">
      <c r="A21" s="51"/>
      <c r="B21" s="51"/>
      <c r="C21" s="6"/>
      <c r="D21" s="49"/>
      <c r="E21" s="53"/>
      <c r="F21" s="6"/>
      <c r="G21" s="6"/>
      <c r="H21" s="6"/>
      <c r="I21" s="6"/>
      <c r="J21" s="6"/>
      <c r="K21" s="51"/>
      <c r="L21" s="51"/>
      <c r="M21" s="51"/>
      <c r="N21" s="51"/>
      <c r="O21" s="51"/>
      <c r="P21" s="51"/>
      <c r="Q21" s="51"/>
      <c r="R21" s="51"/>
      <c r="S21" s="51"/>
      <c r="T21" s="51"/>
      <c r="U21" s="51"/>
      <c r="V21" s="51"/>
      <c r="W21" s="51"/>
      <c r="X21" s="51"/>
      <c r="Y21" s="51"/>
      <c r="Z21" s="51"/>
      <c r="AA21" s="51"/>
      <c r="AB21" s="51"/>
    </row>
    <row r="22" customFormat="false" ht="225" hidden="false" customHeight="true" outlineLevel="0" collapsed="false">
      <c r="A22" s="54" t="s">
        <v>47</v>
      </c>
      <c r="B22" s="55" t="s">
        <v>48</v>
      </c>
      <c r="C22" s="56" t="s">
        <v>16</v>
      </c>
      <c r="D22" s="57" t="s">
        <v>49</v>
      </c>
      <c r="E22" s="62" t="n">
        <f aca="false">IFERROR(__xludf.dummyfunction("COUNTA(SPLIT(D22,"" ""))/COUNTA(SPLIT($B$22,"" ""))"),0.0741573033707865)</f>
        <v>0.07415730337</v>
      </c>
      <c r="F22" s="56" t="n">
        <v>3</v>
      </c>
      <c r="G22" s="56" t="n">
        <v>5</v>
      </c>
      <c r="H22" s="56" t="n">
        <v>5</v>
      </c>
      <c r="I22" s="56" t="n">
        <v>4</v>
      </c>
      <c r="J22" s="56" t="n">
        <v>1</v>
      </c>
      <c r="K22" s="59"/>
      <c r="L22" s="59"/>
      <c r="M22" s="59"/>
      <c r="N22" s="59"/>
      <c r="O22" s="59"/>
      <c r="P22" s="59"/>
      <c r="Q22" s="59"/>
      <c r="R22" s="59"/>
      <c r="S22" s="59"/>
      <c r="T22" s="59"/>
      <c r="U22" s="59"/>
      <c r="V22" s="59"/>
      <c r="W22" s="59"/>
      <c r="X22" s="59"/>
      <c r="Y22" s="59"/>
      <c r="Z22" s="59"/>
      <c r="AA22" s="59"/>
      <c r="AB22" s="59"/>
    </row>
    <row r="23" customFormat="false" ht="225" hidden="false" customHeight="true" outlineLevel="0" collapsed="false">
      <c r="A23" s="54"/>
      <c r="B23" s="54"/>
      <c r="C23" s="6" t="s">
        <v>33</v>
      </c>
      <c r="D23" s="49" t="s">
        <v>50</v>
      </c>
      <c r="E23" s="52" t="n">
        <f aca="false">IFERROR(__xludf.dummyfunction("COUNTA(SPLIT(D23,"" ""))/COUNTA(SPLIT($B$22,"" ""))"),0.235955056179775)</f>
        <v>0.2359550562</v>
      </c>
      <c r="F23" s="6"/>
      <c r="G23" s="6"/>
      <c r="H23" s="6"/>
      <c r="I23" s="6"/>
      <c r="J23" s="6"/>
      <c r="K23" s="51"/>
      <c r="L23" s="51"/>
      <c r="M23" s="51"/>
      <c r="N23" s="51"/>
      <c r="O23" s="51"/>
      <c r="P23" s="51"/>
      <c r="Q23" s="51"/>
      <c r="R23" s="51"/>
      <c r="S23" s="51"/>
      <c r="T23" s="51"/>
      <c r="U23" s="51"/>
      <c r="V23" s="51"/>
      <c r="W23" s="51"/>
      <c r="X23" s="51"/>
      <c r="Y23" s="51"/>
      <c r="Z23" s="51"/>
      <c r="AA23" s="51"/>
      <c r="AB23" s="51"/>
    </row>
    <row r="24" customFormat="false" ht="225" hidden="false" customHeight="true" outlineLevel="0" collapsed="false">
      <c r="A24" s="54"/>
      <c r="B24" s="54"/>
      <c r="C24" s="6"/>
      <c r="D24" s="49"/>
      <c r="E24" s="52" t="n">
        <f aca="false">IFERROR(__xludf.dummyfunction("COUNTA(SPLIT(D24,"" ""))/COUNTA(SPLIT($B$22,"" ""))"),0.00224719101123596)</f>
        <v>0.002247191011</v>
      </c>
      <c r="F24" s="6"/>
      <c r="G24" s="6"/>
      <c r="H24" s="6"/>
      <c r="I24" s="6"/>
      <c r="J24" s="6"/>
      <c r="K24" s="51"/>
      <c r="L24" s="51"/>
      <c r="M24" s="51"/>
      <c r="N24" s="51"/>
      <c r="O24" s="51"/>
      <c r="P24" s="51"/>
      <c r="Q24" s="51"/>
      <c r="R24" s="51"/>
      <c r="S24" s="51"/>
      <c r="T24" s="51"/>
      <c r="U24" s="51"/>
      <c r="V24" s="51"/>
      <c r="W24" s="51"/>
      <c r="X24" s="51"/>
      <c r="Y24" s="51"/>
      <c r="Z24" s="51"/>
      <c r="AA24" s="51"/>
      <c r="AB24" s="51"/>
    </row>
    <row r="25" customFormat="false" ht="225" hidden="false" customHeight="true" outlineLevel="0" collapsed="false">
      <c r="A25" s="54"/>
      <c r="B25" s="54"/>
      <c r="C25" s="6"/>
      <c r="D25" s="49"/>
      <c r="E25" s="52" t="n">
        <f aca="false">IFERROR(__xludf.dummyfunction("COUNTA(SPLIT(D25,"" ""))/COUNTA(SPLIT($B$22,"" ""))"),0.00224719101123596)</f>
        <v>0.002247191011</v>
      </c>
      <c r="F25" s="6"/>
      <c r="G25" s="6"/>
      <c r="H25" s="6"/>
      <c r="I25" s="6"/>
      <c r="J25" s="6"/>
      <c r="K25" s="51"/>
      <c r="L25" s="51"/>
      <c r="M25" s="51"/>
      <c r="N25" s="51"/>
      <c r="O25" s="51"/>
      <c r="P25" s="51"/>
      <c r="Q25" s="51"/>
      <c r="R25" s="51"/>
      <c r="S25" s="51"/>
      <c r="T25" s="51"/>
      <c r="U25" s="51"/>
      <c r="V25" s="51"/>
      <c r="W25" s="51"/>
      <c r="X25" s="51"/>
      <c r="Y25" s="51"/>
      <c r="Z25" s="51"/>
      <c r="AA25" s="51"/>
      <c r="AB25" s="51"/>
    </row>
    <row r="26" customFormat="false" ht="15.75" hidden="false" customHeight="false" outlineLevel="0" collapsed="false">
      <c r="A26" s="51"/>
      <c r="B26" s="51"/>
      <c r="C26" s="6"/>
      <c r="D26" s="49"/>
      <c r="E26" s="53"/>
      <c r="F26" s="6"/>
      <c r="G26" s="6"/>
      <c r="H26" s="6"/>
      <c r="I26" s="6"/>
      <c r="J26" s="6"/>
      <c r="K26" s="51"/>
      <c r="L26" s="51"/>
      <c r="M26" s="51"/>
      <c r="N26" s="51"/>
      <c r="O26" s="51"/>
      <c r="P26" s="51"/>
      <c r="Q26" s="51"/>
      <c r="R26" s="51"/>
      <c r="S26" s="51"/>
      <c r="T26" s="51"/>
      <c r="U26" s="51"/>
      <c r="V26" s="51"/>
      <c r="W26" s="51"/>
      <c r="X26" s="51"/>
      <c r="Y26" s="51"/>
      <c r="Z26" s="51"/>
      <c r="AA26" s="51"/>
      <c r="AB26" s="51"/>
    </row>
    <row r="27" customFormat="false" ht="225" hidden="false" customHeight="true" outlineLevel="0" collapsed="false">
      <c r="A27" s="54" t="s">
        <v>51</v>
      </c>
      <c r="B27" s="55" t="s">
        <v>52</v>
      </c>
      <c r="C27" s="56" t="s">
        <v>16</v>
      </c>
      <c r="D27" s="57" t="s">
        <v>53</v>
      </c>
      <c r="E27" s="61" t="n">
        <f aca="false">IFERROR(__xludf.dummyfunction("COUNTA(SPLIT(D27,"" ""))/COUNTA(SPLIT($B$27,"" ""))"),0.0687361419068736)</f>
        <v>0.06873614191</v>
      </c>
      <c r="F27" s="56" t="n">
        <v>2</v>
      </c>
      <c r="G27" s="56" t="n">
        <v>5</v>
      </c>
      <c r="H27" s="56" t="n">
        <v>5</v>
      </c>
      <c r="I27" s="56" t="n">
        <v>3</v>
      </c>
      <c r="J27" s="56" t="n">
        <v>2</v>
      </c>
      <c r="K27" s="59"/>
      <c r="L27" s="59"/>
      <c r="M27" s="59"/>
      <c r="N27" s="59"/>
      <c r="O27" s="59"/>
      <c r="P27" s="59"/>
      <c r="Q27" s="59"/>
      <c r="R27" s="59"/>
      <c r="S27" s="59"/>
      <c r="T27" s="59"/>
      <c r="U27" s="59"/>
      <c r="V27" s="59"/>
      <c r="W27" s="59"/>
      <c r="X27" s="59"/>
      <c r="Y27" s="59"/>
      <c r="Z27" s="59"/>
      <c r="AA27" s="59"/>
      <c r="AB27" s="59"/>
    </row>
    <row r="28" customFormat="false" ht="225" hidden="false" customHeight="true" outlineLevel="0" collapsed="false">
      <c r="A28" s="54"/>
      <c r="B28" s="54"/>
      <c r="C28" s="6" t="s">
        <v>33</v>
      </c>
      <c r="D28" s="49" t="s">
        <v>54</v>
      </c>
      <c r="E28" s="63" t="n">
        <f aca="false">IFERROR(__xludf.dummyfunction("COUNTA(SPLIT(D28,"" ""))/COUNTA(SPLIT($B$27,"" ""))"),0.181818181818182)</f>
        <v>0.1818181818</v>
      </c>
      <c r="F28" s="6"/>
      <c r="G28" s="6"/>
      <c r="H28" s="6"/>
      <c r="I28" s="6"/>
      <c r="J28" s="6"/>
      <c r="K28" s="51"/>
      <c r="L28" s="51"/>
      <c r="M28" s="51"/>
      <c r="N28" s="51"/>
      <c r="O28" s="51"/>
      <c r="P28" s="51"/>
      <c r="Q28" s="51"/>
      <c r="R28" s="51"/>
      <c r="S28" s="51"/>
      <c r="T28" s="51"/>
      <c r="U28" s="51"/>
      <c r="V28" s="51"/>
      <c r="W28" s="51"/>
      <c r="X28" s="51"/>
      <c r="Y28" s="51"/>
      <c r="Z28" s="51"/>
      <c r="AA28" s="51"/>
      <c r="AB28" s="51"/>
    </row>
    <row r="29" customFormat="false" ht="225" hidden="false" customHeight="true" outlineLevel="0" collapsed="false">
      <c r="A29" s="54"/>
      <c r="B29" s="54"/>
      <c r="C29" s="6"/>
      <c r="D29" s="49"/>
      <c r="E29" s="63" t="n">
        <f aca="false">IFERROR(__xludf.dummyfunction("COUNTA(SPLIT(D29,"" ""))/COUNTA(SPLIT($B$27,"" ""))"),0.00221729490022173)</f>
        <v>0.0022172949</v>
      </c>
      <c r="F29" s="6"/>
      <c r="G29" s="6"/>
      <c r="H29" s="6"/>
      <c r="I29" s="6"/>
      <c r="J29" s="6"/>
      <c r="K29" s="51"/>
      <c r="L29" s="51"/>
      <c r="M29" s="51"/>
      <c r="N29" s="51"/>
      <c r="O29" s="51"/>
      <c r="P29" s="51"/>
      <c r="Q29" s="51"/>
      <c r="R29" s="51"/>
      <c r="S29" s="51"/>
      <c r="T29" s="51"/>
      <c r="U29" s="51"/>
      <c r="V29" s="51"/>
      <c r="W29" s="51"/>
      <c r="X29" s="51"/>
      <c r="Y29" s="51"/>
      <c r="Z29" s="51"/>
      <c r="AA29" s="51"/>
      <c r="AB29" s="51"/>
    </row>
    <row r="30" customFormat="false" ht="225" hidden="false" customHeight="true" outlineLevel="0" collapsed="false">
      <c r="A30" s="54"/>
      <c r="B30" s="54"/>
      <c r="C30" s="6"/>
      <c r="D30" s="49"/>
      <c r="E30" s="63" t="n">
        <f aca="false">IFERROR(__xludf.dummyfunction("COUNTA(SPLIT(D30,"" ""))/COUNTA(SPLIT($B$27,"" ""))"),0.00221729490022173)</f>
        <v>0.0022172949</v>
      </c>
      <c r="F30" s="6"/>
      <c r="G30" s="6"/>
      <c r="H30" s="6"/>
      <c r="I30" s="6"/>
      <c r="J30" s="6"/>
      <c r="K30" s="51"/>
      <c r="L30" s="51"/>
      <c r="M30" s="51"/>
      <c r="N30" s="51"/>
      <c r="O30" s="51"/>
      <c r="P30" s="51"/>
      <c r="Q30" s="51"/>
      <c r="R30" s="51"/>
      <c r="S30" s="51"/>
      <c r="T30" s="51"/>
      <c r="U30" s="51"/>
      <c r="V30" s="51"/>
      <c r="W30" s="51"/>
      <c r="X30" s="51"/>
      <c r="Y30" s="51"/>
      <c r="Z30" s="51"/>
      <c r="AA30" s="51"/>
      <c r="AB30" s="51"/>
    </row>
    <row r="31" customFormat="false" ht="15.75" hidden="false" customHeight="false" outlineLevel="0" collapsed="false">
      <c r="A31" s="51"/>
      <c r="B31" s="51"/>
      <c r="C31" s="6"/>
      <c r="D31" s="49"/>
      <c r="E31" s="53"/>
      <c r="F31" s="6"/>
      <c r="G31" s="6"/>
      <c r="H31" s="6"/>
      <c r="I31" s="6"/>
      <c r="J31" s="6"/>
      <c r="K31" s="51"/>
      <c r="L31" s="51"/>
      <c r="M31" s="51"/>
      <c r="N31" s="51"/>
      <c r="O31" s="51"/>
      <c r="P31" s="51"/>
      <c r="Q31" s="51"/>
      <c r="R31" s="51"/>
      <c r="S31" s="51"/>
      <c r="T31" s="51"/>
      <c r="U31" s="51"/>
      <c r="V31" s="51"/>
      <c r="W31" s="51"/>
      <c r="X31" s="51"/>
      <c r="Y31" s="51"/>
      <c r="Z31" s="51"/>
      <c r="AA31" s="51"/>
      <c r="AB31" s="51"/>
    </row>
    <row r="32" customFormat="false" ht="225" hidden="false" customHeight="true" outlineLevel="0" collapsed="false">
      <c r="A32" s="54" t="s">
        <v>55</v>
      </c>
      <c r="B32" s="55" t="s">
        <v>56</v>
      </c>
      <c r="C32" s="56" t="s">
        <v>16</v>
      </c>
      <c r="D32" s="57" t="s">
        <v>57</v>
      </c>
      <c r="E32" s="64" t="n">
        <f aca="false">IFERROR(__xludf.dummyfunction("COUNTA(SPLIT(D32,"" ""))/COUNTA(SPLIT($B$32,"" ""))"),0.0777777777777778)</f>
        <v>0.07777777778</v>
      </c>
      <c r="F32" s="56" t="n">
        <v>4</v>
      </c>
      <c r="G32" s="56" t="n">
        <v>5</v>
      </c>
      <c r="H32" s="56" t="n">
        <v>5</v>
      </c>
      <c r="I32" s="56" t="n">
        <v>5</v>
      </c>
      <c r="J32" s="56" t="n">
        <v>3</v>
      </c>
      <c r="K32" s="59"/>
      <c r="L32" s="59"/>
      <c r="M32" s="59"/>
      <c r="N32" s="59"/>
      <c r="O32" s="59"/>
      <c r="P32" s="59"/>
      <c r="Q32" s="59"/>
      <c r="R32" s="59"/>
      <c r="S32" s="59"/>
      <c r="T32" s="59"/>
      <c r="U32" s="59"/>
      <c r="V32" s="59"/>
      <c r="W32" s="59"/>
      <c r="X32" s="59"/>
      <c r="Y32" s="59"/>
      <c r="Z32" s="59"/>
      <c r="AA32" s="59"/>
      <c r="AB32" s="59"/>
    </row>
    <row r="33" customFormat="false" ht="225" hidden="false" customHeight="true" outlineLevel="0" collapsed="false">
      <c r="A33" s="54"/>
      <c r="B33" s="54"/>
      <c r="C33" s="6" t="s">
        <v>33</v>
      </c>
      <c r="D33" s="49" t="s">
        <v>58</v>
      </c>
      <c r="E33" s="65" t="n">
        <f aca="false">IFERROR(__xludf.dummyfunction("COUNTA(SPLIT(D33,"" ""))/COUNTA(SPLIT($B$32,"" ""))"),0.344444444444444)</f>
        <v>0.3444444444</v>
      </c>
      <c r="F33" s="6"/>
      <c r="G33" s="6"/>
      <c r="H33" s="6"/>
      <c r="I33" s="6"/>
      <c r="J33" s="6"/>
      <c r="K33" s="51"/>
      <c r="L33" s="51"/>
      <c r="M33" s="51"/>
      <c r="N33" s="51"/>
      <c r="O33" s="51"/>
      <c r="P33" s="51"/>
      <c r="Q33" s="51"/>
      <c r="R33" s="51"/>
      <c r="S33" s="51"/>
      <c r="T33" s="51"/>
      <c r="U33" s="51"/>
      <c r="V33" s="51"/>
      <c r="W33" s="51"/>
      <c r="X33" s="51"/>
      <c r="Y33" s="51"/>
      <c r="Z33" s="51"/>
      <c r="AA33" s="51"/>
      <c r="AB33" s="51"/>
    </row>
    <row r="34" customFormat="false" ht="225" hidden="false" customHeight="true" outlineLevel="0" collapsed="false">
      <c r="A34" s="54"/>
      <c r="B34" s="54"/>
      <c r="C34" s="6"/>
      <c r="D34" s="49"/>
      <c r="E34" s="65" t="n">
        <f aca="false">IFERROR(__xludf.dummyfunction("COUNTA(SPLIT(D34,"" ""))/COUNTA(SPLIT($B$32,"" ""))"),0.0037037037037037)</f>
        <v>0.003703703704</v>
      </c>
      <c r="F34" s="6"/>
      <c r="G34" s="6"/>
      <c r="H34" s="6"/>
      <c r="I34" s="6"/>
      <c r="J34" s="6"/>
      <c r="K34" s="51"/>
      <c r="L34" s="51"/>
      <c r="M34" s="51"/>
      <c r="N34" s="51"/>
      <c r="O34" s="51"/>
      <c r="P34" s="51"/>
      <c r="Q34" s="51"/>
      <c r="R34" s="51"/>
      <c r="S34" s="51"/>
      <c r="T34" s="51"/>
      <c r="U34" s="51"/>
      <c r="V34" s="51"/>
      <c r="W34" s="51"/>
      <c r="X34" s="51"/>
      <c r="Y34" s="51"/>
      <c r="Z34" s="51"/>
      <c r="AA34" s="51"/>
      <c r="AB34" s="51"/>
    </row>
    <row r="35" customFormat="false" ht="225" hidden="false" customHeight="true" outlineLevel="0" collapsed="false">
      <c r="A35" s="54"/>
      <c r="B35" s="54"/>
      <c r="C35" s="6"/>
      <c r="D35" s="49"/>
      <c r="E35" s="65" t="n">
        <f aca="false">IFERROR(__xludf.dummyfunction("COUNTA(SPLIT(D35,"" ""))/COUNTA(SPLIT($B$32,"" ""))"),0.0037037037037037)</f>
        <v>0.003703703704</v>
      </c>
      <c r="F35" s="6"/>
      <c r="G35" s="6"/>
      <c r="H35" s="6"/>
      <c r="I35" s="6"/>
      <c r="J35" s="6"/>
      <c r="K35" s="51"/>
      <c r="L35" s="51"/>
      <c r="M35" s="51"/>
      <c r="N35" s="51"/>
      <c r="O35" s="51"/>
      <c r="P35" s="51"/>
      <c r="Q35" s="51"/>
      <c r="R35" s="51"/>
      <c r="S35" s="51"/>
      <c r="T35" s="51"/>
      <c r="U35" s="51"/>
      <c r="V35" s="51"/>
      <c r="W35" s="51"/>
      <c r="X35" s="51"/>
      <c r="Y35" s="51"/>
      <c r="Z35" s="51"/>
      <c r="AA35" s="51"/>
      <c r="AB35" s="51"/>
    </row>
    <row r="36" customFormat="false" ht="15.75" hidden="false" customHeight="false" outlineLevel="0" collapsed="false">
      <c r="A36" s="51"/>
      <c r="B36" s="51"/>
      <c r="C36" s="6"/>
      <c r="D36" s="49"/>
      <c r="E36" s="53"/>
      <c r="F36" s="6"/>
      <c r="G36" s="6"/>
      <c r="H36" s="6"/>
      <c r="I36" s="6"/>
      <c r="J36" s="6"/>
      <c r="K36" s="51"/>
      <c r="L36" s="51"/>
      <c r="M36" s="51"/>
      <c r="N36" s="51"/>
      <c r="O36" s="51"/>
      <c r="P36" s="51"/>
      <c r="Q36" s="51"/>
      <c r="R36" s="51"/>
      <c r="S36" s="51"/>
      <c r="T36" s="51"/>
      <c r="U36" s="51"/>
      <c r="V36" s="51"/>
      <c r="W36" s="51"/>
      <c r="X36" s="51"/>
      <c r="Y36" s="51"/>
      <c r="Z36" s="51"/>
      <c r="AA36" s="51"/>
      <c r="AB36" s="51"/>
    </row>
    <row r="37" customFormat="false" ht="225" hidden="false" customHeight="true" outlineLevel="0" collapsed="false">
      <c r="A37" s="54" t="s">
        <v>59</v>
      </c>
      <c r="B37" s="55" t="s">
        <v>60</v>
      </c>
      <c r="C37" s="56" t="s">
        <v>16</v>
      </c>
      <c r="D37" s="57" t="s">
        <v>61</v>
      </c>
      <c r="E37" s="66" t="n">
        <f aca="false">IFERROR(__xludf.dummyfunction("COUNTA(SPLIT(D37,"" ""))/COUNTA(SPLIT($B$37,"" ""))"),0.0825471698113208)</f>
        <v>0.08254716981</v>
      </c>
      <c r="F37" s="56" t="n">
        <v>4</v>
      </c>
      <c r="G37" s="56" t="n">
        <v>4</v>
      </c>
      <c r="H37" s="56" t="n">
        <v>5</v>
      </c>
      <c r="I37" s="56" t="n">
        <v>5</v>
      </c>
      <c r="J37" s="56" t="n">
        <v>2</v>
      </c>
      <c r="K37" s="59"/>
      <c r="L37" s="59"/>
      <c r="M37" s="59"/>
      <c r="N37" s="59"/>
      <c r="O37" s="59"/>
      <c r="P37" s="59"/>
      <c r="Q37" s="59"/>
      <c r="R37" s="59"/>
      <c r="S37" s="59"/>
      <c r="T37" s="59"/>
      <c r="U37" s="59"/>
      <c r="V37" s="59"/>
      <c r="W37" s="59"/>
      <c r="X37" s="59"/>
      <c r="Y37" s="59"/>
      <c r="Z37" s="59"/>
      <c r="AA37" s="59"/>
      <c r="AB37" s="59"/>
    </row>
    <row r="38" customFormat="false" ht="225" hidden="false" customHeight="true" outlineLevel="0" collapsed="false">
      <c r="A38" s="54"/>
      <c r="B38" s="54"/>
      <c r="C38" s="6" t="s">
        <v>33</v>
      </c>
      <c r="D38" s="49" t="s">
        <v>62</v>
      </c>
      <c r="E38" s="67" t="n">
        <f aca="false">IFERROR(__xludf.dummyfunction("COUNTA(SPLIT(D38,"" ""))/COUNTA(SPLIT($B$37,"" ""))"),0.264150943396226)</f>
        <v>0.2641509434</v>
      </c>
      <c r="F38" s="6"/>
      <c r="G38" s="6"/>
      <c r="H38" s="6"/>
      <c r="I38" s="6"/>
      <c r="J38" s="6"/>
      <c r="K38" s="51"/>
      <c r="L38" s="51"/>
      <c r="M38" s="51"/>
      <c r="N38" s="51"/>
      <c r="O38" s="51"/>
      <c r="P38" s="51"/>
      <c r="Q38" s="51"/>
      <c r="R38" s="51"/>
      <c r="S38" s="51"/>
      <c r="T38" s="51"/>
      <c r="U38" s="51"/>
      <c r="V38" s="51"/>
      <c r="W38" s="51"/>
      <c r="X38" s="51"/>
      <c r="Y38" s="51"/>
      <c r="Z38" s="51"/>
      <c r="AA38" s="51"/>
      <c r="AB38" s="51"/>
    </row>
    <row r="39" customFormat="false" ht="225" hidden="false" customHeight="true" outlineLevel="0" collapsed="false">
      <c r="A39" s="54"/>
      <c r="B39" s="54"/>
      <c r="C39" s="6"/>
      <c r="D39" s="49"/>
      <c r="E39" s="67" t="n">
        <f aca="false">IFERROR(__xludf.dummyfunction("COUNTA(SPLIT(D39,"" ""))/COUNTA(SPLIT($B$37,"" ""))"),0.00235849056603774)</f>
        <v>0.002358490566</v>
      </c>
      <c r="F39" s="6"/>
      <c r="G39" s="6"/>
      <c r="H39" s="6"/>
      <c r="I39" s="6"/>
      <c r="J39" s="6"/>
      <c r="K39" s="51"/>
      <c r="L39" s="51"/>
      <c r="M39" s="51"/>
      <c r="N39" s="51"/>
      <c r="O39" s="51"/>
      <c r="P39" s="51"/>
      <c r="Q39" s="51"/>
      <c r="R39" s="51"/>
      <c r="S39" s="51"/>
      <c r="T39" s="51"/>
      <c r="U39" s="51"/>
      <c r="V39" s="51"/>
      <c r="W39" s="51"/>
      <c r="X39" s="51"/>
      <c r="Y39" s="51"/>
      <c r="Z39" s="51"/>
      <c r="AA39" s="51"/>
      <c r="AB39" s="51"/>
    </row>
    <row r="40" customFormat="false" ht="225" hidden="false" customHeight="true" outlineLevel="0" collapsed="false">
      <c r="A40" s="54"/>
      <c r="B40" s="54"/>
      <c r="C40" s="6"/>
      <c r="D40" s="49"/>
      <c r="E40" s="67" t="n">
        <f aca="false">IFERROR(__xludf.dummyfunction("COUNTA(SPLIT(D40,"" ""))/COUNTA(SPLIT($B$37,"" ""))"),0.00235849056603774)</f>
        <v>0.002358490566</v>
      </c>
      <c r="F40" s="6"/>
      <c r="G40" s="6"/>
      <c r="H40" s="6"/>
      <c r="I40" s="6"/>
      <c r="J40" s="6"/>
      <c r="K40" s="51"/>
      <c r="L40" s="51"/>
      <c r="M40" s="51"/>
      <c r="N40" s="51"/>
      <c r="O40" s="51"/>
      <c r="P40" s="51"/>
      <c r="Q40" s="51"/>
      <c r="R40" s="51"/>
      <c r="S40" s="51"/>
      <c r="T40" s="51"/>
      <c r="U40" s="51"/>
      <c r="V40" s="51"/>
      <c r="W40" s="51"/>
      <c r="X40" s="51"/>
      <c r="Y40" s="51"/>
      <c r="Z40" s="51"/>
      <c r="AA40" s="51"/>
      <c r="AB40" s="51"/>
    </row>
    <row r="41" customFormat="false" ht="15.75" hidden="false" customHeight="false" outlineLevel="0" collapsed="false">
      <c r="A41" s="51"/>
      <c r="B41" s="51"/>
      <c r="C41" s="6"/>
      <c r="D41" s="49"/>
      <c r="E41" s="53"/>
      <c r="F41" s="6"/>
      <c r="G41" s="6"/>
      <c r="H41" s="6"/>
      <c r="I41" s="6"/>
      <c r="J41" s="6"/>
      <c r="K41" s="51"/>
      <c r="L41" s="51"/>
      <c r="M41" s="51"/>
      <c r="N41" s="51"/>
      <c r="O41" s="51"/>
      <c r="P41" s="51"/>
      <c r="Q41" s="51"/>
      <c r="R41" s="51"/>
      <c r="S41" s="51"/>
      <c r="T41" s="51"/>
      <c r="U41" s="51"/>
      <c r="V41" s="51"/>
      <c r="W41" s="51"/>
      <c r="X41" s="51"/>
      <c r="Y41" s="51"/>
      <c r="Z41" s="51"/>
      <c r="AA41" s="51"/>
      <c r="AB41" s="51"/>
    </row>
    <row r="42" customFormat="false" ht="225" hidden="false" customHeight="true" outlineLevel="0" collapsed="false">
      <c r="A42" s="54" t="s">
        <v>63</v>
      </c>
      <c r="B42" s="55" t="s">
        <v>64</v>
      </c>
      <c r="C42" s="56" t="s">
        <v>16</v>
      </c>
      <c r="D42" s="57" t="s">
        <v>65</v>
      </c>
      <c r="E42" s="68" t="n">
        <f aca="false">IFERROR(__xludf.dummyfunction("COUNTA(SPLIT(D42,"" ""))/COUNTA(SPLIT($B$42,"" ""))"),0.0432525951557093)</f>
        <v>0.04325259516</v>
      </c>
      <c r="F42" s="56" t="n">
        <v>4</v>
      </c>
      <c r="G42" s="56" t="n">
        <v>5</v>
      </c>
      <c r="H42" s="56" t="n">
        <v>5</v>
      </c>
      <c r="I42" s="56" t="n">
        <v>4</v>
      </c>
      <c r="J42" s="56" t="n">
        <v>2</v>
      </c>
      <c r="K42" s="59"/>
      <c r="L42" s="59"/>
      <c r="M42" s="59"/>
      <c r="N42" s="59"/>
      <c r="O42" s="59"/>
      <c r="P42" s="59"/>
      <c r="Q42" s="59"/>
      <c r="R42" s="59"/>
      <c r="S42" s="59"/>
      <c r="T42" s="59"/>
      <c r="U42" s="59"/>
      <c r="V42" s="59"/>
      <c r="W42" s="59"/>
      <c r="X42" s="59"/>
      <c r="Y42" s="59"/>
      <c r="Z42" s="59"/>
      <c r="AA42" s="59"/>
      <c r="AB42" s="59"/>
    </row>
    <row r="43" customFormat="false" ht="225" hidden="false" customHeight="true" outlineLevel="0" collapsed="false">
      <c r="A43" s="54"/>
      <c r="B43" s="54"/>
      <c r="C43" s="6" t="s">
        <v>33</v>
      </c>
      <c r="D43" s="49" t="s">
        <v>66</v>
      </c>
      <c r="E43" s="69" t="n">
        <f aca="false">IFERROR(__xludf.dummyfunction("COUNTA(SPLIT(D43,"" ""))/COUNTA(SPLIT($B$42,"" ""))"),0.195501730103806)</f>
        <v>0.1955017301</v>
      </c>
      <c r="F43" s="6"/>
      <c r="G43" s="6"/>
      <c r="H43" s="6"/>
      <c r="I43" s="6"/>
      <c r="J43" s="6"/>
      <c r="K43" s="51"/>
      <c r="L43" s="51"/>
      <c r="M43" s="51"/>
      <c r="N43" s="51"/>
      <c r="O43" s="51"/>
      <c r="P43" s="51"/>
      <c r="Q43" s="51"/>
      <c r="R43" s="51"/>
      <c r="S43" s="51"/>
      <c r="T43" s="51"/>
      <c r="U43" s="51"/>
      <c r="V43" s="51"/>
      <c r="W43" s="51"/>
      <c r="X43" s="51"/>
      <c r="Y43" s="51"/>
      <c r="Z43" s="51"/>
      <c r="AA43" s="51"/>
      <c r="AB43" s="51"/>
    </row>
    <row r="44" customFormat="false" ht="225" hidden="false" customHeight="true" outlineLevel="0" collapsed="false">
      <c r="A44" s="54"/>
      <c r="B44" s="54"/>
      <c r="C44" s="6"/>
      <c r="D44" s="49"/>
      <c r="E44" s="69" t="n">
        <f aca="false">IFERROR(__xludf.dummyfunction("COUNTA(SPLIT(D44,"" ""))/COUNTA(SPLIT($B$42,"" ""))"),0.00173010380622837)</f>
        <v>0.001730103806</v>
      </c>
      <c r="F44" s="6"/>
      <c r="G44" s="6"/>
      <c r="H44" s="6"/>
      <c r="I44" s="6"/>
      <c r="J44" s="6"/>
      <c r="K44" s="51"/>
      <c r="L44" s="51"/>
      <c r="M44" s="51"/>
      <c r="N44" s="51"/>
      <c r="O44" s="51"/>
      <c r="P44" s="51"/>
      <c r="Q44" s="51"/>
      <c r="R44" s="51"/>
      <c r="S44" s="51"/>
      <c r="T44" s="51"/>
      <c r="U44" s="51"/>
      <c r="V44" s="51"/>
      <c r="W44" s="51"/>
      <c r="X44" s="51"/>
      <c r="Y44" s="51"/>
      <c r="Z44" s="51"/>
      <c r="AA44" s="51"/>
      <c r="AB44" s="51"/>
    </row>
    <row r="45" customFormat="false" ht="225" hidden="false" customHeight="true" outlineLevel="0" collapsed="false">
      <c r="A45" s="54"/>
      <c r="B45" s="54"/>
      <c r="C45" s="6"/>
      <c r="D45" s="49"/>
      <c r="E45" s="69" t="n">
        <f aca="false">IFERROR(__xludf.dummyfunction("COUNTA(SPLIT(D45,"" ""))/COUNTA(SPLIT($B$42,"" ""))"),0.00173010380622837)</f>
        <v>0.001730103806</v>
      </c>
      <c r="F45" s="6"/>
      <c r="G45" s="6"/>
      <c r="H45" s="6"/>
      <c r="I45" s="6"/>
      <c r="J45" s="6"/>
      <c r="K45" s="51"/>
      <c r="L45" s="51"/>
      <c r="M45" s="51"/>
      <c r="N45" s="51"/>
      <c r="O45" s="51"/>
      <c r="P45" s="51"/>
      <c r="Q45" s="51"/>
      <c r="R45" s="51"/>
      <c r="S45" s="51"/>
      <c r="T45" s="51"/>
      <c r="U45" s="51"/>
      <c r="V45" s="51"/>
      <c r="W45" s="51"/>
      <c r="X45" s="51"/>
      <c r="Y45" s="51"/>
      <c r="Z45" s="51"/>
      <c r="AA45" s="51"/>
      <c r="AB45" s="51"/>
    </row>
    <row r="46" customFormat="false" ht="15.75" hidden="false" customHeight="false" outlineLevel="0" collapsed="false">
      <c r="A46" s="51"/>
      <c r="B46" s="51"/>
      <c r="C46" s="6"/>
      <c r="D46" s="49"/>
      <c r="E46" s="53"/>
      <c r="F46" s="6"/>
      <c r="G46" s="6"/>
      <c r="H46" s="6"/>
      <c r="I46" s="6"/>
      <c r="J46" s="6"/>
      <c r="K46" s="51"/>
      <c r="L46" s="51"/>
      <c r="M46" s="51"/>
      <c r="N46" s="51"/>
      <c r="O46" s="51"/>
      <c r="P46" s="51"/>
      <c r="Q46" s="51"/>
      <c r="R46" s="51"/>
      <c r="S46" s="51"/>
      <c r="T46" s="51"/>
      <c r="U46" s="51"/>
      <c r="V46" s="51"/>
      <c r="W46" s="51"/>
      <c r="X46" s="51"/>
      <c r="Y46" s="51"/>
      <c r="Z46" s="51"/>
      <c r="AA46" s="51"/>
      <c r="AB46" s="51"/>
    </row>
    <row r="47" customFormat="false" ht="225" hidden="false" customHeight="true" outlineLevel="0" collapsed="false">
      <c r="A47" s="54" t="s">
        <v>67</v>
      </c>
      <c r="B47" s="55" t="s">
        <v>68</v>
      </c>
      <c r="C47" s="56" t="s">
        <v>16</v>
      </c>
      <c r="D47" s="57" t="s">
        <v>69</v>
      </c>
      <c r="E47" s="70" t="n">
        <f aca="false">IFERROR(__xludf.dummyfunction("COUNTA(SPLIT(D47,"" ""))/COUNTA(SPLIT($B$47,"" ""))"),0.157142857142857)</f>
        <v>0.1571428571</v>
      </c>
      <c r="F47" s="56" t="n">
        <v>4</v>
      </c>
      <c r="G47" s="56" t="n">
        <v>5</v>
      </c>
      <c r="H47" s="56" t="n">
        <v>5</v>
      </c>
      <c r="I47" s="56" t="n">
        <v>5</v>
      </c>
      <c r="J47" s="56" t="n">
        <v>3</v>
      </c>
      <c r="K47" s="59"/>
      <c r="L47" s="59"/>
      <c r="M47" s="59"/>
      <c r="N47" s="59"/>
      <c r="O47" s="59"/>
      <c r="P47" s="59"/>
      <c r="Q47" s="59"/>
      <c r="R47" s="59"/>
      <c r="S47" s="59"/>
      <c r="T47" s="59"/>
      <c r="U47" s="59"/>
      <c r="V47" s="59"/>
      <c r="W47" s="59"/>
      <c r="X47" s="59"/>
      <c r="Y47" s="59"/>
      <c r="Z47" s="59"/>
      <c r="AA47" s="59"/>
      <c r="AB47" s="59"/>
    </row>
    <row r="48" customFormat="false" ht="225" hidden="false" customHeight="true" outlineLevel="0" collapsed="false">
      <c r="A48" s="54"/>
      <c r="B48" s="54"/>
      <c r="C48" s="6" t="s">
        <v>33</v>
      </c>
      <c r="D48" s="49" t="s">
        <v>70</v>
      </c>
      <c r="E48" s="52" t="n">
        <f aca="false">IFERROR(__xludf.dummyfunction("COUNTA(SPLIT(D48,"" ""))/COUNTA(SPLIT($B$47,"" ""))"),0.352380952380952)</f>
        <v>0.3523809524</v>
      </c>
      <c r="F48" s="6"/>
      <c r="G48" s="6"/>
      <c r="H48" s="6"/>
      <c r="I48" s="6"/>
      <c r="J48" s="6"/>
      <c r="K48" s="51"/>
      <c r="L48" s="51"/>
      <c r="M48" s="51"/>
      <c r="N48" s="51"/>
      <c r="O48" s="51"/>
      <c r="P48" s="51"/>
      <c r="Q48" s="51"/>
      <c r="R48" s="51"/>
      <c r="S48" s="51"/>
      <c r="T48" s="51"/>
      <c r="U48" s="51"/>
      <c r="V48" s="51"/>
      <c r="W48" s="51"/>
      <c r="X48" s="51"/>
      <c r="Y48" s="51"/>
      <c r="Z48" s="51"/>
      <c r="AA48" s="51"/>
      <c r="AB48" s="51"/>
    </row>
    <row r="49" customFormat="false" ht="225" hidden="false" customHeight="true" outlineLevel="0" collapsed="false">
      <c r="A49" s="54"/>
      <c r="B49" s="54"/>
      <c r="C49" s="6"/>
      <c r="D49" s="49"/>
      <c r="E49" s="52" t="n">
        <f aca="false">IFERROR(__xludf.dummyfunction("COUNTA(SPLIT(D49,"" ""))/COUNTA(SPLIT($B$47,"" ""))"),0.00476190476190476)</f>
        <v>0.004761904762</v>
      </c>
      <c r="F49" s="6"/>
      <c r="G49" s="6"/>
      <c r="H49" s="6"/>
      <c r="I49" s="6"/>
      <c r="J49" s="6"/>
      <c r="K49" s="51"/>
      <c r="L49" s="51"/>
      <c r="M49" s="51"/>
      <c r="N49" s="51"/>
      <c r="O49" s="51"/>
      <c r="P49" s="51"/>
      <c r="Q49" s="51"/>
      <c r="R49" s="51"/>
      <c r="S49" s="51"/>
      <c r="T49" s="51"/>
      <c r="U49" s="51"/>
      <c r="V49" s="51"/>
      <c r="W49" s="51"/>
      <c r="X49" s="51"/>
      <c r="Y49" s="51"/>
      <c r="Z49" s="51"/>
      <c r="AA49" s="51"/>
      <c r="AB49" s="51"/>
    </row>
    <row r="50" customFormat="false" ht="225" hidden="false" customHeight="true" outlineLevel="0" collapsed="false">
      <c r="A50" s="54"/>
      <c r="B50" s="54"/>
      <c r="C50" s="6"/>
      <c r="D50" s="49"/>
      <c r="E50" s="52" t="n">
        <f aca="false">IFERROR(__xludf.dummyfunction("COUNTA(SPLIT(D50,"" ""))/COUNTA(SPLIT($B$47,"" ""))"),0.00476190476190476)</f>
        <v>0.004761904762</v>
      </c>
      <c r="F50" s="6"/>
      <c r="G50" s="6"/>
      <c r="H50" s="6"/>
      <c r="I50" s="6"/>
      <c r="J50" s="6"/>
      <c r="K50" s="51"/>
      <c r="L50" s="51"/>
      <c r="M50" s="51"/>
      <c r="N50" s="51"/>
      <c r="O50" s="51"/>
      <c r="P50" s="51"/>
      <c r="Q50" s="51"/>
      <c r="R50" s="51"/>
      <c r="S50" s="51"/>
      <c r="T50" s="51"/>
      <c r="U50" s="51"/>
      <c r="V50" s="51"/>
      <c r="W50" s="51"/>
      <c r="X50" s="51"/>
      <c r="Y50" s="51"/>
      <c r="Z50" s="51"/>
      <c r="AA50" s="51"/>
      <c r="AB50" s="51"/>
    </row>
    <row r="51" customFormat="false" ht="15.75" hidden="false" customHeight="false" outlineLevel="0" collapsed="false">
      <c r="A51" s="51"/>
      <c r="B51" s="51"/>
      <c r="C51" s="6"/>
      <c r="D51" s="49"/>
      <c r="E51" s="51"/>
      <c r="F51" s="6"/>
      <c r="G51" s="6"/>
      <c r="H51" s="6"/>
      <c r="I51" s="6"/>
      <c r="J51" s="6"/>
      <c r="K51" s="51"/>
      <c r="L51" s="51"/>
      <c r="M51" s="51"/>
      <c r="N51" s="51"/>
      <c r="O51" s="51"/>
      <c r="P51" s="51"/>
      <c r="Q51" s="51"/>
      <c r="R51" s="51"/>
      <c r="S51" s="51"/>
      <c r="T51" s="51"/>
      <c r="U51" s="51"/>
      <c r="V51" s="51"/>
      <c r="W51" s="51"/>
      <c r="X51" s="51"/>
      <c r="Y51" s="51"/>
      <c r="Z51" s="51"/>
      <c r="AA51" s="51"/>
      <c r="AB51" s="51"/>
    </row>
    <row r="52" customFormat="false" ht="15.75" hidden="false" customHeight="false" outlineLevel="0" collapsed="false">
      <c r="A52" s="71"/>
      <c r="B52" s="55"/>
      <c r="C52" s="56" t="s">
        <v>16</v>
      </c>
      <c r="D52" s="57"/>
      <c r="E52" s="72" t="n">
        <f aca="false">IFERROR(__xludf.dummyfunction("COUNTA(SPLIT(D52,"" ""))/COUNTA(SPLIT($B$67,"" ""))"),1)</f>
        <v>1</v>
      </c>
      <c r="F52" s="56"/>
      <c r="G52" s="56"/>
      <c r="H52" s="56"/>
      <c r="I52" s="56"/>
      <c r="J52" s="56"/>
      <c r="K52" s="59"/>
      <c r="L52" s="59"/>
      <c r="M52" s="59"/>
      <c r="N52" s="59"/>
      <c r="O52" s="59"/>
      <c r="P52" s="59"/>
      <c r="Q52" s="59"/>
      <c r="R52" s="59"/>
      <c r="S52" s="59"/>
      <c r="T52" s="59"/>
      <c r="U52" s="59"/>
      <c r="V52" s="59"/>
      <c r="W52" s="59"/>
      <c r="X52" s="59"/>
      <c r="Y52" s="59"/>
      <c r="Z52" s="59"/>
      <c r="AA52" s="59"/>
      <c r="AB52" s="59"/>
    </row>
    <row r="53" customFormat="false" ht="15.75" hidden="false" customHeight="false" outlineLevel="0" collapsed="false">
      <c r="A53" s="71"/>
      <c r="B53" s="71"/>
      <c r="C53" s="6"/>
      <c r="D53" s="49"/>
      <c r="E53" s="73" t="n">
        <f aca="false">IFERROR(__xludf.dummyfunction("COUNTA(SPLIT(D53,"" ""))/COUNTA(SPLIT($B$67,"" ""))"),1)</f>
        <v>1</v>
      </c>
      <c r="F53" s="6"/>
      <c r="G53" s="6"/>
      <c r="H53" s="6"/>
      <c r="I53" s="6"/>
      <c r="J53" s="6"/>
      <c r="K53" s="51"/>
      <c r="L53" s="51"/>
      <c r="M53" s="51"/>
      <c r="N53" s="51"/>
      <c r="O53" s="51"/>
      <c r="P53" s="51"/>
      <c r="Q53" s="51"/>
      <c r="R53" s="51"/>
      <c r="S53" s="51"/>
      <c r="T53" s="51"/>
      <c r="U53" s="51"/>
      <c r="V53" s="51"/>
      <c r="W53" s="51"/>
      <c r="X53" s="51"/>
      <c r="Y53" s="51"/>
      <c r="Z53" s="51"/>
      <c r="AA53" s="51"/>
      <c r="AB53" s="51"/>
    </row>
    <row r="54" customFormat="false" ht="15.75" hidden="false" customHeight="false" outlineLevel="0" collapsed="false">
      <c r="A54" s="71"/>
      <c r="B54" s="71"/>
      <c r="C54" s="6"/>
      <c r="D54" s="49"/>
      <c r="E54" s="74" t="n">
        <f aca="false">IFERROR(__xludf.dummyfunction("COUNTA(SPLIT(D54,"" ""))/COUNTA(SPLIT($B$67,"" ""))"),1)</f>
        <v>1</v>
      </c>
      <c r="F54" s="6"/>
      <c r="G54" s="6"/>
      <c r="H54" s="6"/>
      <c r="I54" s="6"/>
      <c r="J54" s="6"/>
      <c r="K54" s="51"/>
      <c r="L54" s="51"/>
      <c r="M54" s="51"/>
      <c r="N54" s="51"/>
      <c r="O54" s="51"/>
      <c r="P54" s="51"/>
      <c r="Q54" s="51"/>
      <c r="R54" s="51"/>
      <c r="S54" s="51"/>
      <c r="T54" s="51"/>
      <c r="U54" s="51"/>
      <c r="V54" s="51"/>
      <c r="W54" s="51"/>
      <c r="X54" s="51"/>
      <c r="Y54" s="51"/>
      <c r="Z54" s="51"/>
      <c r="AA54" s="51"/>
      <c r="AB54" s="51"/>
    </row>
    <row r="55" customFormat="false" ht="15.75" hidden="false" customHeight="false" outlineLevel="0" collapsed="false">
      <c r="A55" s="71"/>
      <c r="B55" s="71"/>
      <c r="C55" s="6"/>
      <c r="D55" s="49"/>
      <c r="E55" s="75" t="n">
        <f aca="false">IFERROR(__xludf.dummyfunction("COUNTA(SPLIT(D55,"" ""))/COUNTA(SPLIT($B$67,"" ""))"),1)</f>
        <v>1</v>
      </c>
      <c r="F55" s="6"/>
      <c r="G55" s="6"/>
      <c r="H55" s="6"/>
      <c r="I55" s="6"/>
      <c r="J55" s="6"/>
      <c r="K55" s="51"/>
      <c r="L55" s="51"/>
      <c r="M55" s="51"/>
      <c r="N55" s="51"/>
      <c r="O55" s="51"/>
      <c r="P55" s="51"/>
      <c r="Q55" s="51"/>
      <c r="R55" s="51"/>
      <c r="S55" s="51"/>
      <c r="T55" s="51"/>
      <c r="U55" s="51"/>
      <c r="V55" s="51"/>
      <c r="W55" s="51"/>
      <c r="X55" s="51"/>
      <c r="Y55" s="51"/>
      <c r="Z55" s="51"/>
      <c r="AA55" s="51"/>
      <c r="AB55" s="51"/>
    </row>
    <row r="56" customFormat="false" ht="15.75" hidden="false" customHeight="false" outlineLevel="0" collapsed="false">
      <c r="A56" s="51"/>
      <c r="B56" s="51"/>
      <c r="C56" s="6"/>
      <c r="D56" s="49"/>
      <c r="E56" s="51"/>
      <c r="F56" s="6"/>
      <c r="G56" s="6"/>
      <c r="H56" s="6"/>
      <c r="I56" s="6"/>
      <c r="J56" s="6"/>
      <c r="K56" s="51"/>
      <c r="L56" s="51"/>
      <c r="M56" s="51"/>
      <c r="N56" s="51"/>
      <c r="O56" s="51"/>
      <c r="P56" s="51"/>
      <c r="Q56" s="51"/>
      <c r="R56" s="51"/>
      <c r="S56" s="51"/>
      <c r="T56" s="51"/>
      <c r="U56" s="51"/>
      <c r="V56" s="51"/>
      <c r="W56" s="51"/>
      <c r="X56" s="51"/>
      <c r="Y56" s="51"/>
      <c r="Z56" s="51"/>
      <c r="AA56" s="51"/>
      <c r="AB56" s="51"/>
    </row>
    <row r="57" customFormat="false" ht="15.75" hidden="false" customHeight="false" outlineLevel="0" collapsed="false">
      <c r="A57" s="71"/>
      <c r="B57" s="55"/>
      <c r="C57" s="56" t="s">
        <v>16</v>
      </c>
      <c r="D57" s="57"/>
      <c r="E57" s="72" t="n">
        <f aca="false">IFERROR(__xludf.dummyfunction("COUNTA(SPLIT(D57,"" ""))/COUNTA(SPLIT($B$67,"" ""))"),1)</f>
        <v>1</v>
      </c>
      <c r="F57" s="56"/>
      <c r="G57" s="56"/>
      <c r="H57" s="56"/>
      <c r="I57" s="56"/>
      <c r="J57" s="56"/>
      <c r="K57" s="59"/>
      <c r="L57" s="59"/>
      <c r="M57" s="59"/>
      <c r="N57" s="59"/>
      <c r="O57" s="59"/>
      <c r="P57" s="59"/>
      <c r="Q57" s="59"/>
      <c r="R57" s="59"/>
      <c r="S57" s="59"/>
      <c r="T57" s="59"/>
      <c r="U57" s="59"/>
      <c r="V57" s="59"/>
      <c r="W57" s="59"/>
      <c r="X57" s="59"/>
      <c r="Y57" s="59"/>
      <c r="Z57" s="59"/>
      <c r="AA57" s="59"/>
      <c r="AB57" s="59"/>
    </row>
    <row r="58" customFormat="false" ht="15.75" hidden="false" customHeight="false" outlineLevel="0" collapsed="false">
      <c r="A58" s="71"/>
      <c r="B58" s="71"/>
      <c r="C58" s="6"/>
      <c r="D58" s="49"/>
      <c r="E58" s="73" t="n">
        <f aca="false">IFERROR(__xludf.dummyfunction("COUNTA(SPLIT(D58,"" ""))/COUNTA(SPLIT($B$67,"" ""))"),1)</f>
        <v>1</v>
      </c>
      <c r="F58" s="6"/>
      <c r="G58" s="6"/>
      <c r="H58" s="6"/>
      <c r="I58" s="6"/>
      <c r="J58" s="6"/>
      <c r="K58" s="51"/>
      <c r="L58" s="51"/>
      <c r="M58" s="51"/>
      <c r="N58" s="51"/>
      <c r="O58" s="51"/>
      <c r="P58" s="51"/>
      <c r="Q58" s="51"/>
      <c r="R58" s="51"/>
      <c r="S58" s="51"/>
      <c r="T58" s="51"/>
      <c r="U58" s="51"/>
      <c r="V58" s="51"/>
      <c r="W58" s="51"/>
      <c r="X58" s="51"/>
      <c r="Y58" s="51"/>
      <c r="Z58" s="51"/>
      <c r="AA58" s="51"/>
      <c r="AB58" s="51"/>
    </row>
    <row r="59" customFormat="false" ht="15.75" hidden="false" customHeight="false" outlineLevel="0" collapsed="false">
      <c r="A59" s="71"/>
      <c r="B59" s="71"/>
      <c r="C59" s="6"/>
      <c r="D59" s="49"/>
      <c r="E59" s="74" t="n">
        <f aca="false">IFERROR(__xludf.dummyfunction("COUNTA(SPLIT(D59,"" ""))/COUNTA(SPLIT($B$67,"" ""))"),1)</f>
        <v>1</v>
      </c>
      <c r="F59" s="6"/>
      <c r="G59" s="6"/>
      <c r="H59" s="6"/>
      <c r="I59" s="6"/>
      <c r="J59" s="6"/>
      <c r="K59" s="51"/>
      <c r="L59" s="51"/>
      <c r="M59" s="51"/>
      <c r="N59" s="51"/>
      <c r="O59" s="51"/>
      <c r="P59" s="51"/>
      <c r="Q59" s="51"/>
      <c r="R59" s="51"/>
      <c r="S59" s="51"/>
      <c r="T59" s="51"/>
      <c r="U59" s="51"/>
      <c r="V59" s="51"/>
      <c r="W59" s="51"/>
      <c r="X59" s="51"/>
      <c r="Y59" s="51"/>
      <c r="Z59" s="51"/>
      <c r="AA59" s="51"/>
      <c r="AB59" s="51"/>
    </row>
    <row r="60" customFormat="false" ht="15.75" hidden="false" customHeight="false" outlineLevel="0" collapsed="false">
      <c r="A60" s="71"/>
      <c r="B60" s="71"/>
      <c r="C60" s="6"/>
      <c r="D60" s="49"/>
      <c r="E60" s="75" t="n">
        <f aca="false">IFERROR(__xludf.dummyfunction("COUNTA(SPLIT(D60,"" ""))/COUNTA(SPLIT($B$67,"" ""))"),1)</f>
        <v>1</v>
      </c>
      <c r="F60" s="6"/>
      <c r="G60" s="6"/>
      <c r="H60" s="6"/>
      <c r="I60" s="6"/>
      <c r="J60" s="6"/>
      <c r="K60" s="51"/>
      <c r="L60" s="51"/>
      <c r="M60" s="51"/>
      <c r="N60" s="51"/>
      <c r="O60" s="51"/>
      <c r="P60" s="51"/>
      <c r="Q60" s="51"/>
      <c r="R60" s="51"/>
      <c r="S60" s="51"/>
      <c r="T60" s="51"/>
      <c r="U60" s="51"/>
      <c r="V60" s="51"/>
      <c r="W60" s="51"/>
      <c r="X60" s="51"/>
      <c r="Y60" s="51"/>
      <c r="Z60" s="51"/>
      <c r="AA60" s="51"/>
      <c r="AB60" s="51"/>
    </row>
    <row r="61" customFormat="false" ht="15.75" hidden="false" customHeight="false" outlineLevel="0" collapsed="false">
      <c r="A61" s="51"/>
      <c r="B61" s="51"/>
      <c r="C61" s="6"/>
      <c r="D61" s="49"/>
      <c r="E61" s="51"/>
      <c r="F61" s="6"/>
      <c r="G61" s="6"/>
      <c r="H61" s="6"/>
      <c r="I61" s="6"/>
      <c r="J61" s="6"/>
      <c r="K61" s="51"/>
      <c r="L61" s="51"/>
      <c r="M61" s="51"/>
      <c r="N61" s="51"/>
      <c r="O61" s="51"/>
      <c r="P61" s="51"/>
      <c r="Q61" s="51"/>
      <c r="R61" s="51"/>
      <c r="S61" s="51"/>
      <c r="T61" s="51"/>
      <c r="U61" s="51"/>
      <c r="V61" s="51"/>
      <c r="W61" s="51"/>
      <c r="X61" s="51"/>
      <c r="Y61" s="51"/>
      <c r="Z61" s="51"/>
      <c r="AA61" s="51"/>
      <c r="AB61" s="51"/>
    </row>
    <row r="62" customFormat="false" ht="15.75" hidden="false" customHeight="false" outlineLevel="0" collapsed="false">
      <c r="A62" s="71"/>
      <c r="B62" s="55"/>
      <c r="C62" s="56" t="s">
        <v>16</v>
      </c>
      <c r="D62" s="57"/>
      <c r="E62" s="72" t="n">
        <f aca="false">IFERROR(__xludf.dummyfunction("COUNTA(SPLIT(D62,"" ""))/COUNTA(SPLIT($B$67,"" ""))"),1)</f>
        <v>1</v>
      </c>
      <c r="F62" s="56"/>
      <c r="G62" s="56"/>
      <c r="H62" s="56"/>
      <c r="I62" s="56"/>
      <c r="J62" s="56"/>
      <c r="K62" s="59"/>
      <c r="L62" s="59"/>
      <c r="M62" s="59"/>
      <c r="N62" s="59"/>
      <c r="O62" s="59"/>
      <c r="P62" s="59"/>
      <c r="Q62" s="59"/>
      <c r="R62" s="59"/>
      <c r="S62" s="59"/>
      <c r="T62" s="59"/>
      <c r="U62" s="59"/>
      <c r="V62" s="59"/>
      <c r="W62" s="59"/>
      <c r="X62" s="59"/>
      <c r="Y62" s="59"/>
      <c r="Z62" s="59"/>
      <c r="AA62" s="59"/>
      <c r="AB62" s="59"/>
    </row>
    <row r="63" customFormat="false" ht="15.75" hidden="false" customHeight="false" outlineLevel="0" collapsed="false">
      <c r="A63" s="71"/>
      <c r="B63" s="71"/>
      <c r="C63" s="6"/>
      <c r="D63" s="49"/>
      <c r="E63" s="73" t="n">
        <f aca="false">IFERROR(__xludf.dummyfunction("COUNTA(SPLIT(D63,"" ""))/COUNTA(SPLIT($B$67,"" ""))"),1)</f>
        <v>1</v>
      </c>
      <c r="F63" s="6"/>
      <c r="G63" s="6"/>
      <c r="H63" s="6"/>
      <c r="I63" s="6"/>
      <c r="J63" s="6"/>
      <c r="K63" s="51"/>
      <c r="L63" s="51"/>
      <c r="M63" s="51"/>
      <c r="N63" s="51"/>
      <c r="O63" s="51"/>
      <c r="P63" s="51"/>
      <c r="Q63" s="51"/>
      <c r="R63" s="51"/>
      <c r="S63" s="51"/>
      <c r="T63" s="51"/>
      <c r="U63" s="51"/>
      <c r="V63" s="51"/>
      <c r="W63" s="51"/>
      <c r="X63" s="51"/>
      <c r="Y63" s="51"/>
      <c r="Z63" s="51"/>
      <c r="AA63" s="51"/>
      <c r="AB63" s="51"/>
    </row>
    <row r="64" customFormat="false" ht="15.75" hidden="false" customHeight="false" outlineLevel="0" collapsed="false">
      <c r="A64" s="71"/>
      <c r="B64" s="71"/>
      <c r="C64" s="6"/>
      <c r="D64" s="49"/>
      <c r="E64" s="74" t="n">
        <f aca="false">IFERROR(__xludf.dummyfunction("COUNTA(SPLIT(D64,"" ""))/COUNTA(SPLIT($B$67,"" ""))"),1)</f>
        <v>1</v>
      </c>
      <c r="F64" s="6"/>
      <c r="G64" s="6"/>
      <c r="H64" s="6"/>
      <c r="I64" s="6"/>
      <c r="J64" s="6"/>
      <c r="K64" s="51"/>
      <c r="L64" s="51"/>
      <c r="M64" s="51"/>
      <c r="N64" s="51"/>
      <c r="O64" s="51"/>
      <c r="P64" s="51"/>
      <c r="Q64" s="51"/>
      <c r="R64" s="51"/>
      <c r="S64" s="51"/>
      <c r="T64" s="51"/>
      <c r="U64" s="51"/>
      <c r="V64" s="51"/>
      <c r="W64" s="51"/>
      <c r="X64" s="51"/>
      <c r="Y64" s="51"/>
      <c r="Z64" s="51"/>
      <c r="AA64" s="51"/>
      <c r="AB64" s="51"/>
    </row>
    <row r="65" customFormat="false" ht="15.75" hidden="false" customHeight="false" outlineLevel="0" collapsed="false">
      <c r="A65" s="71"/>
      <c r="B65" s="71"/>
      <c r="C65" s="6"/>
      <c r="D65" s="49"/>
      <c r="E65" s="75" t="n">
        <f aca="false">IFERROR(__xludf.dummyfunction("COUNTA(SPLIT(D65,"" ""))/COUNTA(SPLIT($B$67,"" ""))"),1)</f>
        <v>1</v>
      </c>
      <c r="F65" s="6"/>
      <c r="G65" s="6"/>
      <c r="H65" s="6"/>
      <c r="I65" s="6"/>
      <c r="J65" s="6"/>
      <c r="K65" s="51"/>
      <c r="L65" s="51"/>
      <c r="M65" s="51"/>
      <c r="N65" s="51"/>
      <c r="O65" s="51"/>
      <c r="P65" s="51"/>
      <c r="Q65" s="51"/>
      <c r="R65" s="51"/>
      <c r="S65" s="51"/>
      <c r="T65" s="51"/>
      <c r="U65" s="51"/>
      <c r="V65" s="51"/>
      <c r="W65" s="51"/>
      <c r="X65" s="51"/>
      <c r="Y65" s="51"/>
      <c r="Z65" s="51"/>
      <c r="AA65" s="51"/>
      <c r="AB65" s="51"/>
    </row>
    <row r="66" customFormat="false" ht="15.75" hidden="false" customHeight="false" outlineLevel="0" collapsed="false">
      <c r="A66" s="51"/>
      <c r="B66" s="51"/>
      <c r="C66" s="6"/>
      <c r="D66" s="49"/>
      <c r="E66" s="51"/>
      <c r="F66" s="6"/>
      <c r="G66" s="6"/>
      <c r="H66" s="6"/>
      <c r="I66" s="6"/>
      <c r="J66" s="6"/>
      <c r="K66" s="51"/>
      <c r="L66" s="51"/>
      <c r="M66" s="51"/>
      <c r="N66" s="51"/>
      <c r="O66" s="51"/>
      <c r="P66" s="51"/>
      <c r="Q66" s="51"/>
      <c r="R66" s="51"/>
      <c r="S66" s="51"/>
      <c r="T66" s="51"/>
      <c r="U66" s="51"/>
      <c r="V66" s="51"/>
      <c r="W66" s="51"/>
      <c r="X66" s="51"/>
      <c r="Y66" s="51"/>
      <c r="Z66" s="51"/>
      <c r="AA66" s="51"/>
      <c r="AB66" s="51"/>
    </row>
    <row r="67" customFormat="false" ht="15.75" hidden="false" customHeight="false" outlineLevel="0" collapsed="false">
      <c r="A67" s="71"/>
      <c r="B67" s="55"/>
      <c r="C67" s="56" t="s">
        <v>16</v>
      </c>
      <c r="D67" s="57"/>
      <c r="E67" s="72" t="n">
        <f aca="false">IFERROR(__xludf.dummyfunction("COUNTA(SPLIT(D67,"" ""))/COUNTA(SPLIT($B$67,"" ""))"),1)</f>
        <v>1</v>
      </c>
      <c r="F67" s="56"/>
      <c r="G67" s="56"/>
      <c r="H67" s="56"/>
      <c r="I67" s="56"/>
      <c r="J67" s="56"/>
      <c r="K67" s="59"/>
      <c r="L67" s="59"/>
      <c r="M67" s="59"/>
      <c r="N67" s="59"/>
      <c r="O67" s="59"/>
      <c r="P67" s="59"/>
      <c r="Q67" s="59"/>
      <c r="R67" s="59"/>
      <c r="S67" s="59"/>
      <c r="T67" s="59"/>
      <c r="U67" s="59"/>
      <c r="V67" s="59"/>
      <c r="W67" s="59"/>
      <c r="X67" s="59"/>
      <c r="Y67" s="59"/>
      <c r="Z67" s="59"/>
      <c r="AA67" s="59"/>
      <c r="AB67" s="59"/>
    </row>
    <row r="68" customFormat="false" ht="15.75" hidden="false" customHeight="false" outlineLevel="0" collapsed="false">
      <c r="A68" s="71"/>
      <c r="B68" s="71"/>
      <c r="C68" s="6"/>
      <c r="D68" s="49"/>
      <c r="E68" s="73" t="n">
        <f aca="false">IFERROR(__xludf.dummyfunction("COUNTA(SPLIT(D68,"" ""))/COUNTA(SPLIT($B$67,"" ""))"),1)</f>
        <v>1</v>
      </c>
      <c r="F68" s="6"/>
      <c r="G68" s="6"/>
      <c r="H68" s="6"/>
      <c r="I68" s="6"/>
      <c r="J68" s="6"/>
      <c r="K68" s="51"/>
      <c r="L68" s="51"/>
      <c r="M68" s="51"/>
      <c r="N68" s="51"/>
      <c r="O68" s="51"/>
      <c r="P68" s="51"/>
      <c r="Q68" s="51"/>
      <c r="R68" s="51"/>
      <c r="S68" s="51"/>
      <c r="T68" s="51"/>
      <c r="U68" s="51"/>
      <c r="V68" s="51"/>
      <c r="W68" s="51"/>
      <c r="X68" s="51"/>
      <c r="Y68" s="51"/>
      <c r="Z68" s="51"/>
      <c r="AA68" s="51"/>
      <c r="AB68" s="51"/>
    </row>
    <row r="69" customFormat="false" ht="15.75" hidden="false" customHeight="false" outlineLevel="0" collapsed="false">
      <c r="A69" s="71"/>
      <c r="B69" s="71"/>
      <c r="C69" s="6"/>
      <c r="D69" s="49"/>
      <c r="E69" s="74" t="n">
        <f aca="false">IFERROR(__xludf.dummyfunction("COUNTA(SPLIT(D69,"" ""))/COUNTA(SPLIT($B$67,"" ""))"),1)</f>
        <v>1</v>
      </c>
      <c r="F69" s="6"/>
      <c r="G69" s="6"/>
      <c r="H69" s="6"/>
      <c r="I69" s="6"/>
      <c r="J69" s="6"/>
      <c r="K69" s="51"/>
      <c r="L69" s="51"/>
      <c r="M69" s="51"/>
      <c r="N69" s="51"/>
      <c r="O69" s="51"/>
      <c r="P69" s="51"/>
      <c r="Q69" s="51"/>
      <c r="R69" s="51"/>
      <c r="S69" s="51"/>
      <c r="T69" s="51"/>
      <c r="U69" s="51"/>
      <c r="V69" s="51"/>
      <c r="W69" s="51"/>
      <c r="X69" s="51"/>
      <c r="Y69" s="51"/>
      <c r="Z69" s="51"/>
      <c r="AA69" s="51"/>
      <c r="AB69" s="51"/>
    </row>
    <row r="70" customFormat="false" ht="15.75" hidden="false" customHeight="false" outlineLevel="0" collapsed="false">
      <c r="A70" s="71"/>
      <c r="B70" s="71"/>
      <c r="C70" s="6"/>
      <c r="D70" s="49"/>
      <c r="E70" s="75" t="n">
        <f aca="false">IFERROR(__xludf.dummyfunction("COUNTA(SPLIT(D70,"" ""))/COUNTA(SPLIT($B$67,"" ""))"),1)</f>
        <v>1</v>
      </c>
      <c r="F70" s="6"/>
      <c r="G70" s="6"/>
      <c r="H70" s="6"/>
      <c r="I70" s="6"/>
      <c r="J70" s="6"/>
      <c r="K70" s="51"/>
      <c r="L70" s="51"/>
      <c r="M70" s="51"/>
      <c r="N70" s="51"/>
      <c r="O70" s="51"/>
      <c r="P70" s="51"/>
      <c r="Q70" s="51"/>
      <c r="R70" s="51"/>
      <c r="S70" s="51"/>
      <c r="T70" s="51"/>
      <c r="U70" s="51"/>
      <c r="V70" s="51"/>
      <c r="W70" s="51"/>
      <c r="X70" s="51"/>
      <c r="Y70" s="51"/>
      <c r="Z70" s="51"/>
      <c r="AA70" s="51"/>
      <c r="AB70" s="51"/>
    </row>
    <row r="71" customFormat="false" ht="15.75" hidden="false" customHeight="false" outlineLevel="0" collapsed="false">
      <c r="A71" s="51"/>
      <c r="B71" s="51"/>
      <c r="C71" s="6"/>
      <c r="D71" s="49"/>
      <c r="E71" s="51"/>
      <c r="F71" s="6"/>
      <c r="G71" s="6"/>
      <c r="H71" s="6"/>
      <c r="I71" s="6"/>
      <c r="J71" s="6"/>
      <c r="K71" s="51"/>
      <c r="L71" s="51"/>
      <c r="M71" s="51"/>
      <c r="N71" s="51"/>
      <c r="O71" s="51"/>
      <c r="P71" s="51"/>
      <c r="Q71" s="51"/>
      <c r="R71" s="51"/>
      <c r="S71" s="51"/>
      <c r="T71" s="51"/>
      <c r="U71" s="51"/>
      <c r="V71" s="51"/>
      <c r="W71" s="51"/>
      <c r="X71" s="51"/>
      <c r="Y71" s="51"/>
      <c r="Z71" s="51"/>
      <c r="AA71" s="51"/>
      <c r="AB71" s="51"/>
    </row>
    <row r="72" customFormat="false" ht="15.75" hidden="false" customHeight="false" outlineLevel="0" collapsed="false">
      <c r="A72" s="71"/>
      <c r="B72" s="55"/>
      <c r="C72" s="56" t="s">
        <v>16</v>
      </c>
      <c r="D72" s="57"/>
      <c r="E72" s="72" t="n">
        <f aca="false">IFERROR(__xludf.dummyfunction("COUNTA(SPLIT(D72,"" ""))/COUNTA(SPLIT($B$67,"" ""))"),1)</f>
        <v>1</v>
      </c>
      <c r="F72" s="56"/>
      <c r="G72" s="56"/>
      <c r="H72" s="56"/>
      <c r="I72" s="56"/>
      <c r="J72" s="56"/>
      <c r="K72" s="59"/>
      <c r="L72" s="59"/>
      <c r="M72" s="59"/>
      <c r="N72" s="59"/>
      <c r="O72" s="59"/>
      <c r="P72" s="59"/>
      <c r="Q72" s="59"/>
      <c r="R72" s="59"/>
      <c r="S72" s="59"/>
      <c r="T72" s="59"/>
      <c r="U72" s="59"/>
      <c r="V72" s="59"/>
      <c r="W72" s="59"/>
      <c r="X72" s="59"/>
      <c r="Y72" s="59"/>
      <c r="Z72" s="59"/>
      <c r="AA72" s="59"/>
      <c r="AB72" s="59"/>
    </row>
    <row r="73" customFormat="false" ht="15.75" hidden="false" customHeight="false" outlineLevel="0" collapsed="false">
      <c r="A73" s="71"/>
      <c r="B73" s="71"/>
      <c r="C73" s="6"/>
      <c r="D73" s="49"/>
      <c r="E73" s="73" t="n">
        <f aca="false">IFERROR(__xludf.dummyfunction("COUNTA(SPLIT(D73,"" ""))/COUNTA(SPLIT($B$67,"" ""))"),1)</f>
        <v>1</v>
      </c>
      <c r="F73" s="6"/>
      <c r="G73" s="6"/>
      <c r="H73" s="6"/>
      <c r="I73" s="6"/>
      <c r="J73" s="6"/>
      <c r="K73" s="51"/>
      <c r="L73" s="51"/>
      <c r="M73" s="51"/>
      <c r="N73" s="51"/>
      <c r="O73" s="51"/>
      <c r="P73" s="51"/>
      <c r="Q73" s="51"/>
      <c r="R73" s="51"/>
      <c r="S73" s="51"/>
      <c r="T73" s="51"/>
      <c r="U73" s="51"/>
      <c r="V73" s="51"/>
      <c r="W73" s="51"/>
      <c r="X73" s="51"/>
      <c r="Y73" s="51"/>
      <c r="Z73" s="51"/>
      <c r="AA73" s="51"/>
      <c r="AB73" s="51"/>
    </row>
    <row r="74" customFormat="false" ht="15.75" hidden="false" customHeight="false" outlineLevel="0" collapsed="false">
      <c r="A74" s="71"/>
      <c r="B74" s="71"/>
      <c r="C74" s="6"/>
      <c r="D74" s="49"/>
      <c r="E74" s="74" t="n">
        <f aca="false">IFERROR(__xludf.dummyfunction("COUNTA(SPLIT(D74,"" ""))/COUNTA(SPLIT($B$67,"" ""))"),1)</f>
        <v>1</v>
      </c>
      <c r="F74" s="6"/>
      <c r="G74" s="6"/>
      <c r="H74" s="6"/>
      <c r="I74" s="6"/>
      <c r="J74" s="6"/>
      <c r="K74" s="51"/>
      <c r="L74" s="51"/>
      <c r="M74" s="51"/>
      <c r="N74" s="51"/>
      <c r="O74" s="51"/>
      <c r="P74" s="51"/>
      <c r="Q74" s="51"/>
      <c r="R74" s="51"/>
      <c r="S74" s="51"/>
      <c r="T74" s="51"/>
      <c r="U74" s="51"/>
      <c r="V74" s="51"/>
      <c r="W74" s="51"/>
      <c r="X74" s="51"/>
      <c r="Y74" s="51"/>
      <c r="Z74" s="51"/>
      <c r="AA74" s="51"/>
      <c r="AB74" s="51"/>
    </row>
    <row r="75" customFormat="false" ht="15.75" hidden="false" customHeight="false" outlineLevel="0" collapsed="false">
      <c r="A75" s="71"/>
      <c r="B75" s="71"/>
      <c r="C75" s="6"/>
      <c r="D75" s="49"/>
      <c r="E75" s="75" t="n">
        <f aca="false">IFERROR(__xludf.dummyfunction("COUNTA(SPLIT(D75,"" ""))/COUNTA(SPLIT($B$67,"" ""))"),1)</f>
        <v>1</v>
      </c>
      <c r="F75" s="6"/>
      <c r="G75" s="6"/>
      <c r="H75" s="6"/>
      <c r="I75" s="6"/>
      <c r="J75" s="6"/>
      <c r="K75" s="51"/>
      <c r="L75" s="51"/>
      <c r="M75" s="51"/>
      <c r="N75" s="51"/>
      <c r="O75" s="51"/>
      <c r="P75" s="51"/>
      <c r="Q75" s="51"/>
      <c r="R75" s="51"/>
      <c r="S75" s="51"/>
      <c r="T75" s="51"/>
      <c r="U75" s="51"/>
      <c r="V75" s="51"/>
      <c r="W75" s="51"/>
      <c r="X75" s="51"/>
      <c r="Y75" s="51"/>
      <c r="Z75" s="51"/>
      <c r="AA75" s="51"/>
      <c r="AB75" s="51"/>
    </row>
    <row r="76" customFormat="false" ht="15.75" hidden="false" customHeight="false" outlineLevel="0" collapsed="false">
      <c r="A76" s="51"/>
      <c r="B76" s="51"/>
      <c r="C76" s="6"/>
      <c r="D76" s="49"/>
      <c r="E76" s="51"/>
      <c r="F76" s="6"/>
      <c r="G76" s="6"/>
      <c r="H76" s="6"/>
      <c r="I76" s="6"/>
      <c r="J76" s="6"/>
      <c r="K76" s="51"/>
      <c r="L76" s="51"/>
      <c r="M76" s="51"/>
      <c r="N76" s="51"/>
      <c r="O76" s="51"/>
      <c r="P76" s="51"/>
      <c r="Q76" s="51"/>
      <c r="R76" s="51"/>
      <c r="S76" s="51"/>
      <c r="T76" s="51"/>
      <c r="U76" s="51"/>
      <c r="V76" s="51"/>
      <c r="W76" s="51"/>
      <c r="X76" s="51"/>
      <c r="Y76" s="51"/>
      <c r="Z76" s="51"/>
      <c r="AA76" s="51"/>
      <c r="AB76" s="51"/>
    </row>
    <row r="77" customFormat="false" ht="15.75" hidden="false" customHeight="false" outlineLevel="0" collapsed="false">
      <c r="A77" s="71"/>
      <c r="B77" s="55"/>
      <c r="C77" s="56" t="s">
        <v>16</v>
      </c>
      <c r="D77" s="57"/>
      <c r="E77" s="72" t="n">
        <f aca="false">IFERROR(__xludf.dummyfunction("COUNTA(SPLIT(D77,"" ""))/COUNTA(SPLIT($B$67,"" ""))"),1)</f>
        <v>1</v>
      </c>
      <c r="F77" s="56"/>
      <c r="G77" s="56"/>
      <c r="H77" s="56"/>
      <c r="I77" s="56"/>
      <c r="J77" s="56"/>
      <c r="K77" s="59"/>
      <c r="L77" s="59"/>
      <c r="M77" s="59"/>
      <c r="N77" s="59"/>
      <c r="O77" s="59"/>
      <c r="P77" s="59"/>
      <c r="Q77" s="59"/>
      <c r="R77" s="59"/>
      <c r="S77" s="59"/>
      <c r="T77" s="59"/>
      <c r="U77" s="59"/>
      <c r="V77" s="59"/>
      <c r="W77" s="59"/>
      <c r="X77" s="59"/>
      <c r="Y77" s="59"/>
      <c r="Z77" s="59"/>
      <c r="AA77" s="59"/>
      <c r="AB77" s="59"/>
    </row>
    <row r="78" customFormat="false" ht="15.75" hidden="false" customHeight="false" outlineLevel="0" collapsed="false">
      <c r="A78" s="71"/>
      <c r="B78" s="71"/>
      <c r="C78" s="6"/>
      <c r="D78" s="49"/>
      <c r="E78" s="73" t="n">
        <f aca="false">IFERROR(__xludf.dummyfunction("COUNTA(SPLIT(D78,"" ""))/COUNTA(SPLIT($B$67,"" ""))"),1)</f>
        <v>1</v>
      </c>
      <c r="F78" s="6"/>
      <c r="G78" s="6"/>
      <c r="H78" s="6"/>
      <c r="I78" s="6"/>
      <c r="J78" s="6"/>
      <c r="K78" s="51"/>
      <c r="L78" s="51"/>
      <c r="M78" s="51"/>
      <c r="N78" s="51"/>
      <c r="O78" s="51"/>
      <c r="P78" s="51"/>
      <c r="Q78" s="51"/>
      <c r="R78" s="51"/>
      <c r="S78" s="51"/>
      <c r="T78" s="51"/>
      <c r="U78" s="51"/>
      <c r="V78" s="51"/>
      <c r="W78" s="51"/>
      <c r="X78" s="51"/>
      <c r="Y78" s="51"/>
      <c r="Z78" s="51"/>
      <c r="AA78" s="51"/>
      <c r="AB78" s="51"/>
    </row>
    <row r="79" customFormat="false" ht="15.75" hidden="false" customHeight="false" outlineLevel="0" collapsed="false">
      <c r="A79" s="71"/>
      <c r="B79" s="71"/>
      <c r="C79" s="6"/>
      <c r="D79" s="49"/>
      <c r="E79" s="74" t="n">
        <f aca="false">IFERROR(__xludf.dummyfunction("COUNTA(SPLIT(D79,"" ""))/COUNTA(SPLIT($B$67,"" ""))"),1)</f>
        <v>1</v>
      </c>
      <c r="F79" s="6"/>
      <c r="G79" s="6"/>
      <c r="H79" s="6"/>
      <c r="I79" s="6"/>
      <c r="J79" s="6"/>
      <c r="K79" s="51"/>
      <c r="L79" s="51"/>
      <c r="M79" s="51"/>
      <c r="N79" s="51"/>
      <c r="O79" s="51"/>
      <c r="P79" s="51"/>
      <c r="Q79" s="51"/>
      <c r="R79" s="51"/>
      <c r="S79" s="51"/>
      <c r="T79" s="51"/>
      <c r="U79" s="51"/>
      <c r="V79" s="51"/>
      <c r="W79" s="51"/>
      <c r="X79" s="51"/>
      <c r="Y79" s="51"/>
      <c r="Z79" s="51"/>
      <c r="AA79" s="51"/>
      <c r="AB79" s="51"/>
    </row>
    <row r="80" customFormat="false" ht="15.75" hidden="false" customHeight="false" outlineLevel="0" collapsed="false">
      <c r="A80" s="71"/>
      <c r="B80" s="71"/>
      <c r="C80" s="6"/>
      <c r="D80" s="49"/>
      <c r="E80" s="75" t="n">
        <f aca="false">IFERROR(__xludf.dummyfunction("COUNTA(SPLIT(D80,"" ""))/COUNTA(SPLIT($B$67,"" ""))"),1)</f>
        <v>1</v>
      </c>
      <c r="F80" s="6"/>
      <c r="G80" s="6"/>
      <c r="H80" s="6"/>
      <c r="I80" s="6"/>
      <c r="J80" s="6"/>
      <c r="K80" s="51"/>
      <c r="L80" s="51"/>
      <c r="M80" s="51"/>
      <c r="N80" s="51"/>
      <c r="O80" s="51"/>
      <c r="P80" s="51"/>
      <c r="Q80" s="51"/>
      <c r="R80" s="51"/>
      <c r="S80" s="51"/>
      <c r="T80" s="51"/>
      <c r="U80" s="51"/>
      <c r="V80" s="51"/>
      <c r="W80" s="51"/>
      <c r="X80" s="51"/>
      <c r="Y80" s="51"/>
      <c r="Z80" s="51"/>
      <c r="AA80" s="51"/>
      <c r="AB80" s="51"/>
    </row>
    <row r="81" customFormat="false" ht="15.75" hidden="false" customHeight="false" outlineLevel="0" collapsed="false">
      <c r="A81" s="51"/>
      <c r="B81" s="51"/>
      <c r="C81" s="6"/>
      <c r="D81" s="49"/>
      <c r="E81" s="51"/>
      <c r="F81" s="6"/>
      <c r="G81" s="6"/>
      <c r="H81" s="6"/>
      <c r="I81" s="6"/>
      <c r="J81" s="6"/>
      <c r="K81" s="51"/>
      <c r="L81" s="51"/>
      <c r="M81" s="51"/>
      <c r="N81" s="51"/>
      <c r="O81" s="51"/>
      <c r="P81" s="51"/>
      <c r="Q81" s="51"/>
      <c r="R81" s="51"/>
      <c r="S81" s="51"/>
      <c r="T81" s="51"/>
      <c r="U81" s="51"/>
      <c r="V81" s="51"/>
      <c r="W81" s="51"/>
      <c r="X81" s="51"/>
      <c r="Y81" s="51"/>
      <c r="Z81" s="51"/>
      <c r="AA81" s="51"/>
      <c r="AB81" s="51"/>
    </row>
    <row r="82" customFormat="false" ht="15.75" hidden="false" customHeight="false" outlineLevel="0" collapsed="false">
      <c r="A82" s="71"/>
      <c r="B82" s="55"/>
      <c r="C82" s="56" t="s">
        <v>16</v>
      </c>
      <c r="D82" s="57"/>
      <c r="E82" s="72" t="n">
        <f aca="false">IFERROR(__xludf.dummyfunction("COUNTA(SPLIT(D82,"" ""))/COUNTA(SPLIT($B$67,"" ""))"),1)</f>
        <v>1</v>
      </c>
      <c r="F82" s="56"/>
      <c r="G82" s="56"/>
      <c r="H82" s="56"/>
      <c r="I82" s="56"/>
      <c r="J82" s="56"/>
      <c r="K82" s="59"/>
      <c r="L82" s="59"/>
      <c r="M82" s="59"/>
      <c r="N82" s="59"/>
      <c r="O82" s="59"/>
      <c r="P82" s="59"/>
      <c r="Q82" s="59"/>
      <c r="R82" s="59"/>
      <c r="S82" s="59"/>
      <c r="T82" s="59"/>
      <c r="U82" s="59"/>
      <c r="V82" s="59"/>
      <c r="W82" s="59"/>
      <c r="X82" s="59"/>
      <c r="Y82" s="59"/>
      <c r="Z82" s="59"/>
      <c r="AA82" s="59"/>
      <c r="AB82" s="59"/>
    </row>
    <row r="83" customFormat="false" ht="15.75" hidden="false" customHeight="false" outlineLevel="0" collapsed="false">
      <c r="A83" s="71"/>
      <c r="B83" s="71"/>
      <c r="C83" s="6"/>
      <c r="D83" s="49"/>
      <c r="E83" s="73" t="n">
        <f aca="false">IFERROR(__xludf.dummyfunction("COUNTA(SPLIT(D83,"" ""))/COUNTA(SPLIT($B$67,"" ""))"),1)</f>
        <v>1</v>
      </c>
      <c r="F83" s="6"/>
      <c r="G83" s="6"/>
      <c r="H83" s="6"/>
      <c r="I83" s="6"/>
      <c r="J83" s="6"/>
      <c r="K83" s="51"/>
      <c r="L83" s="51"/>
      <c r="M83" s="51"/>
      <c r="N83" s="51"/>
      <c r="O83" s="51"/>
      <c r="P83" s="51"/>
      <c r="Q83" s="51"/>
      <c r="R83" s="51"/>
      <c r="S83" s="51"/>
      <c r="T83" s="51"/>
      <c r="U83" s="51"/>
      <c r="V83" s="51"/>
      <c r="W83" s="51"/>
      <c r="X83" s="51"/>
      <c r="Y83" s="51"/>
      <c r="Z83" s="51"/>
      <c r="AA83" s="51"/>
      <c r="AB83" s="51"/>
    </row>
    <row r="84" customFormat="false" ht="15.75" hidden="false" customHeight="false" outlineLevel="0" collapsed="false">
      <c r="A84" s="71"/>
      <c r="B84" s="71"/>
      <c r="C84" s="6"/>
      <c r="D84" s="49"/>
      <c r="E84" s="74" t="n">
        <f aca="false">IFERROR(__xludf.dummyfunction("COUNTA(SPLIT(D84,"" ""))/COUNTA(SPLIT($B$67,"" ""))"),1)</f>
        <v>1</v>
      </c>
      <c r="F84" s="6"/>
      <c r="G84" s="6"/>
      <c r="H84" s="6"/>
      <c r="I84" s="6"/>
      <c r="J84" s="6"/>
      <c r="K84" s="51"/>
      <c r="L84" s="51"/>
      <c r="M84" s="51"/>
      <c r="N84" s="51"/>
      <c r="O84" s="51"/>
      <c r="P84" s="51"/>
      <c r="Q84" s="51"/>
      <c r="R84" s="51"/>
      <c r="S84" s="51"/>
      <c r="T84" s="51"/>
      <c r="U84" s="51"/>
      <c r="V84" s="51"/>
      <c r="W84" s="51"/>
      <c r="X84" s="51"/>
      <c r="Y84" s="51"/>
      <c r="Z84" s="51"/>
      <c r="AA84" s="51"/>
      <c r="AB84" s="51"/>
    </row>
    <row r="85" customFormat="false" ht="15.75" hidden="false" customHeight="false" outlineLevel="0" collapsed="false">
      <c r="A85" s="71"/>
      <c r="B85" s="71"/>
      <c r="C85" s="6"/>
      <c r="D85" s="49"/>
      <c r="E85" s="75" t="n">
        <f aca="false">IFERROR(__xludf.dummyfunction("COUNTA(SPLIT(D85,"" ""))/COUNTA(SPLIT($B$67,"" ""))"),1)</f>
        <v>1</v>
      </c>
      <c r="F85" s="6"/>
      <c r="G85" s="6"/>
      <c r="H85" s="6"/>
      <c r="I85" s="6"/>
      <c r="J85" s="6"/>
      <c r="K85" s="51"/>
      <c r="L85" s="51"/>
      <c r="M85" s="51"/>
      <c r="N85" s="51"/>
      <c r="O85" s="51"/>
      <c r="P85" s="51"/>
      <c r="Q85" s="51"/>
      <c r="R85" s="51"/>
      <c r="S85" s="51"/>
      <c r="T85" s="51"/>
      <c r="U85" s="51"/>
      <c r="V85" s="51"/>
      <c r="W85" s="51"/>
      <c r="X85" s="51"/>
      <c r="Y85" s="51"/>
      <c r="Z85" s="51"/>
      <c r="AA85" s="51"/>
      <c r="AB85" s="51"/>
    </row>
    <row r="86" customFormat="false" ht="15.75" hidden="false" customHeight="false" outlineLevel="0" collapsed="false">
      <c r="A86" s="51"/>
      <c r="B86" s="51"/>
      <c r="C86" s="6"/>
      <c r="D86" s="49"/>
      <c r="E86" s="51"/>
      <c r="F86" s="6"/>
      <c r="G86" s="6"/>
      <c r="H86" s="6"/>
      <c r="I86" s="6"/>
      <c r="J86" s="6"/>
      <c r="K86" s="51"/>
      <c r="L86" s="51"/>
      <c r="M86" s="51"/>
      <c r="N86" s="51"/>
      <c r="O86" s="51"/>
      <c r="P86" s="51"/>
      <c r="Q86" s="51"/>
      <c r="R86" s="51"/>
      <c r="S86" s="51"/>
      <c r="T86" s="51"/>
      <c r="U86" s="51"/>
      <c r="V86" s="51"/>
      <c r="W86" s="51"/>
      <c r="X86" s="51"/>
      <c r="Y86" s="51"/>
      <c r="Z86" s="51"/>
      <c r="AA86" s="51"/>
      <c r="AB86" s="51"/>
    </row>
    <row r="87" customFormat="false" ht="15.75" hidden="false" customHeight="false" outlineLevel="0" collapsed="false">
      <c r="A87" s="71"/>
      <c r="B87" s="55"/>
      <c r="C87" s="56" t="s">
        <v>16</v>
      </c>
      <c r="D87" s="57"/>
      <c r="E87" s="72" t="n">
        <f aca="false">IFERROR(__xludf.dummyfunction("COUNTA(SPLIT(D87,"" ""))/COUNTA(SPLIT($B$67,"" ""))"),1)</f>
        <v>1</v>
      </c>
      <c r="F87" s="56"/>
      <c r="G87" s="56"/>
      <c r="H87" s="56"/>
      <c r="I87" s="56"/>
      <c r="J87" s="56"/>
      <c r="K87" s="59"/>
      <c r="L87" s="59"/>
      <c r="M87" s="59"/>
      <c r="N87" s="59"/>
      <c r="O87" s="59"/>
      <c r="P87" s="59"/>
      <c r="Q87" s="59"/>
      <c r="R87" s="59"/>
      <c r="S87" s="59"/>
      <c r="T87" s="59"/>
      <c r="U87" s="59"/>
      <c r="V87" s="59"/>
      <c r="W87" s="59"/>
      <c r="X87" s="59"/>
      <c r="Y87" s="59"/>
      <c r="Z87" s="59"/>
      <c r="AA87" s="59"/>
      <c r="AB87" s="59"/>
    </row>
    <row r="88" customFormat="false" ht="15.75" hidden="false" customHeight="false" outlineLevel="0" collapsed="false">
      <c r="A88" s="71"/>
      <c r="B88" s="71"/>
      <c r="C88" s="6"/>
      <c r="D88" s="49"/>
      <c r="E88" s="73" t="n">
        <f aca="false">IFERROR(__xludf.dummyfunction("COUNTA(SPLIT(D88,"" ""))/COUNTA(SPLIT($B$67,"" ""))"),1)</f>
        <v>1</v>
      </c>
      <c r="F88" s="6"/>
      <c r="G88" s="6"/>
      <c r="H88" s="6"/>
      <c r="I88" s="6"/>
      <c r="J88" s="6"/>
      <c r="K88" s="51"/>
      <c r="L88" s="51"/>
      <c r="M88" s="51"/>
      <c r="N88" s="51"/>
      <c r="O88" s="51"/>
      <c r="P88" s="51"/>
      <c r="Q88" s="51"/>
      <c r="R88" s="51"/>
      <c r="S88" s="51"/>
      <c r="T88" s="51"/>
      <c r="U88" s="51"/>
      <c r="V88" s="51"/>
      <c r="W88" s="51"/>
      <c r="X88" s="51"/>
      <c r="Y88" s="51"/>
      <c r="Z88" s="51"/>
      <c r="AA88" s="51"/>
      <c r="AB88" s="51"/>
    </row>
    <row r="89" customFormat="false" ht="15.75" hidden="false" customHeight="false" outlineLevel="0" collapsed="false">
      <c r="A89" s="71"/>
      <c r="B89" s="71"/>
      <c r="C89" s="6"/>
      <c r="D89" s="49"/>
      <c r="E89" s="74" t="n">
        <f aca="false">IFERROR(__xludf.dummyfunction("COUNTA(SPLIT(D89,"" ""))/COUNTA(SPLIT($B$67,"" ""))"),1)</f>
        <v>1</v>
      </c>
      <c r="F89" s="6"/>
      <c r="G89" s="6"/>
      <c r="H89" s="6"/>
      <c r="I89" s="6"/>
      <c r="J89" s="6"/>
      <c r="K89" s="51"/>
      <c r="L89" s="51"/>
      <c r="M89" s="51"/>
      <c r="N89" s="51"/>
      <c r="O89" s="51"/>
      <c r="P89" s="51"/>
      <c r="Q89" s="51"/>
      <c r="R89" s="51"/>
      <c r="S89" s="51"/>
      <c r="T89" s="51"/>
      <c r="U89" s="51"/>
      <c r="V89" s="51"/>
      <c r="W89" s="51"/>
      <c r="X89" s="51"/>
      <c r="Y89" s="51"/>
      <c r="Z89" s="51"/>
      <c r="AA89" s="51"/>
      <c r="AB89" s="51"/>
    </row>
    <row r="90" customFormat="false" ht="15.75" hidden="false" customHeight="false" outlineLevel="0" collapsed="false">
      <c r="A90" s="71"/>
      <c r="B90" s="71"/>
      <c r="C90" s="6"/>
      <c r="D90" s="49"/>
      <c r="E90" s="75" t="n">
        <f aca="false">IFERROR(__xludf.dummyfunction("COUNTA(SPLIT(D90,"" ""))/COUNTA(SPLIT($B$67,"" ""))"),1)</f>
        <v>1</v>
      </c>
      <c r="F90" s="6"/>
      <c r="G90" s="6"/>
      <c r="H90" s="6"/>
      <c r="I90" s="6"/>
      <c r="J90" s="6"/>
      <c r="K90" s="51"/>
      <c r="L90" s="51"/>
      <c r="M90" s="51"/>
      <c r="N90" s="51"/>
      <c r="O90" s="51"/>
      <c r="P90" s="51"/>
      <c r="Q90" s="51"/>
      <c r="R90" s="51"/>
      <c r="S90" s="51"/>
      <c r="T90" s="51"/>
      <c r="U90" s="51"/>
      <c r="V90" s="51"/>
      <c r="W90" s="51"/>
      <c r="X90" s="51"/>
      <c r="Y90" s="51"/>
      <c r="Z90" s="51"/>
      <c r="AA90" s="51"/>
      <c r="AB90" s="51"/>
    </row>
    <row r="91" customFormat="false" ht="15.75" hidden="false" customHeight="false" outlineLevel="0" collapsed="false">
      <c r="A91" s="51"/>
      <c r="B91" s="51"/>
      <c r="C91" s="6"/>
      <c r="D91" s="49"/>
      <c r="E91" s="51"/>
      <c r="F91" s="6"/>
      <c r="G91" s="6"/>
      <c r="H91" s="6"/>
      <c r="I91" s="6"/>
      <c r="J91" s="6"/>
      <c r="K91" s="51"/>
      <c r="L91" s="51"/>
      <c r="M91" s="51"/>
      <c r="N91" s="51"/>
      <c r="O91" s="51"/>
      <c r="P91" s="51"/>
      <c r="Q91" s="51"/>
      <c r="R91" s="51"/>
      <c r="S91" s="51"/>
      <c r="T91" s="51"/>
      <c r="U91" s="51"/>
      <c r="V91" s="51"/>
      <c r="W91" s="51"/>
      <c r="X91" s="51"/>
      <c r="Y91" s="51"/>
      <c r="Z91" s="51"/>
      <c r="AA91" s="51"/>
      <c r="AB91" s="51"/>
    </row>
    <row r="92" customFormat="false" ht="15.75" hidden="false" customHeight="false" outlineLevel="0" collapsed="false">
      <c r="A92" s="71"/>
      <c r="B92" s="55"/>
      <c r="C92" s="56" t="s">
        <v>16</v>
      </c>
      <c r="D92" s="57"/>
      <c r="E92" s="72" t="n">
        <f aca="false">IFERROR(__xludf.dummyfunction("COUNTA(SPLIT(D92,"" ""))/COUNTA(SPLIT($B$67,"" ""))"),1)</f>
        <v>1</v>
      </c>
      <c r="F92" s="56"/>
      <c r="G92" s="56"/>
      <c r="H92" s="56"/>
      <c r="I92" s="56"/>
      <c r="J92" s="56"/>
      <c r="K92" s="59"/>
      <c r="L92" s="59"/>
      <c r="M92" s="59"/>
      <c r="N92" s="59"/>
      <c r="O92" s="59"/>
      <c r="P92" s="59"/>
      <c r="Q92" s="59"/>
      <c r="R92" s="59"/>
      <c r="S92" s="59"/>
      <c r="T92" s="59"/>
      <c r="U92" s="59"/>
      <c r="V92" s="59"/>
      <c r="W92" s="59"/>
      <c r="X92" s="59"/>
      <c r="Y92" s="59"/>
      <c r="Z92" s="59"/>
      <c r="AA92" s="59"/>
      <c r="AB92" s="59"/>
    </row>
    <row r="93" customFormat="false" ht="15.75" hidden="false" customHeight="false" outlineLevel="0" collapsed="false">
      <c r="A93" s="71"/>
      <c r="B93" s="71"/>
      <c r="C93" s="6"/>
      <c r="D93" s="49"/>
      <c r="E93" s="73" t="n">
        <f aca="false">IFERROR(__xludf.dummyfunction("COUNTA(SPLIT(D93,"" ""))/COUNTA(SPLIT($B$67,"" ""))"),1)</f>
        <v>1</v>
      </c>
      <c r="F93" s="6"/>
      <c r="G93" s="6"/>
      <c r="H93" s="6"/>
      <c r="I93" s="6"/>
      <c r="J93" s="6"/>
      <c r="K93" s="51"/>
      <c r="L93" s="51"/>
      <c r="M93" s="51"/>
      <c r="N93" s="51"/>
      <c r="O93" s="51"/>
      <c r="P93" s="51"/>
      <c r="Q93" s="51"/>
      <c r="R93" s="51"/>
      <c r="S93" s="51"/>
      <c r="T93" s="51"/>
      <c r="U93" s="51"/>
      <c r="V93" s="51"/>
      <c r="W93" s="51"/>
      <c r="X93" s="51"/>
      <c r="Y93" s="51"/>
      <c r="Z93" s="51"/>
      <c r="AA93" s="51"/>
      <c r="AB93" s="51"/>
    </row>
    <row r="94" customFormat="false" ht="15.75" hidden="false" customHeight="false" outlineLevel="0" collapsed="false">
      <c r="A94" s="71"/>
      <c r="B94" s="71"/>
      <c r="C94" s="6"/>
      <c r="D94" s="49"/>
      <c r="E94" s="74" t="n">
        <f aca="false">IFERROR(__xludf.dummyfunction("COUNTA(SPLIT(D94,"" ""))/COUNTA(SPLIT($B$67,"" ""))"),1)</f>
        <v>1</v>
      </c>
      <c r="F94" s="6"/>
      <c r="G94" s="6"/>
      <c r="H94" s="6"/>
      <c r="I94" s="6"/>
      <c r="J94" s="6"/>
      <c r="K94" s="51"/>
      <c r="L94" s="51"/>
      <c r="M94" s="51"/>
      <c r="N94" s="51"/>
      <c r="O94" s="51"/>
      <c r="P94" s="51"/>
      <c r="Q94" s="51"/>
      <c r="R94" s="51"/>
      <c r="S94" s="51"/>
      <c r="T94" s="51"/>
      <c r="U94" s="51"/>
      <c r="V94" s="51"/>
      <c r="W94" s="51"/>
      <c r="X94" s="51"/>
      <c r="Y94" s="51"/>
      <c r="Z94" s="51"/>
      <c r="AA94" s="51"/>
      <c r="AB94" s="51"/>
    </row>
    <row r="95" customFormat="false" ht="15.75" hidden="false" customHeight="false" outlineLevel="0" collapsed="false">
      <c r="A95" s="71"/>
      <c r="B95" s="71"/>
      <c r="C95" s="6"/>
      <c r="D95" s="49"/>
      <c r="E95" s="75" t="n">
        <f aca="false">IFERROR(__xludf.dummyfunction("COUNTA(SPLIT(D95,"" ""))/COUNTA(SPLIT($B$67,"" ""))"),1)</f>
        <v>1</v>
      </c>
      <c r="F95" s="6"/>
      <c r="G95" s="6"/>
      <c r="H95" s="6"/>
      <c r="I95" s="6"/>
      <c r="J95" s="6"/>
      <c r="K95" s="51"/>
      <c r="L95" s="51"/>
      <c r="M95" s="51"/>
      <c r="N95" s="51"/>
      <c r="O95" s="51"/>
      <c r="P95" s="51"/>
      <c r="Q95" s="51"/>
      <c r="R95" s="51"/>
      <c r="S95" s="51"/>
      <c r="T95" s="51"/>
      <c r="U95" s="51"/>
      <c r="V95" s="51"/>
      <c r="W95" s="51"/>
      <c r="X95" s="51"/>
      <c r="Y95" s="51"/>
      <c r="Z95" s="51"/>
      <c r="AA95" s="51"/>
      <c r="AB95" s="51"/>
    </row>
    <row r="96" customFormat="false" ht="15.75" hidden="false" customHeight="false" outlineLevel="0" collapsed="false">
      <c r="A96" s="51"/>
      <c r="B96" s="51"/>
      <c r="C96" s="6"/>
      <c r="D96" s="49"/>
      <c r="E96" s="51"/>
      <c r="F96" s="6"/>
      <c r="G96" s="6"/>
      <c r="H96" s="6"/>
      <c r="I96" s="6"/>
      <c r="J96" s="6"/>
      <c r="K96" s="51"/>
      <c r="L96" s="51"/>
      <c r="M96" s="51"/>
      <c r="N96" s="51"/>
      <c r="O96" s="51"/>
      <c r="P96" s="51"/>
      <c r="Q96" s="51"/>
      <c r="R96" s="51"/>
      <c r="S96" s="51"/>
      <c r="T96" s="51"/>
      <c r="U96" s="51"/>
      <c r="V96" s="51"/>
      <c r="W96" s="51"/>
      <c r="X96" s="51"/>
      <c r="Y96" s="51"/>
      <c r="Z96" s="51"/>
      <c r="AA96" s="51"/>
      <c r="AB96" s="51"/>
    </row>
    <row r="97" customFormat="false" ht="15.75" hidden="false" customHeight="false" outlineLevel="0" collapsed="false">
      <c r="A97" s="71"/>
      <c r="B97" s="55"/>
      <c r="C97" s="56" t="s">
        <v>16</v>
      </c>
      <c r="D97" s="57"/>
      <c r="E97" s="72" t="n">
        <f aca="false">IFERROR(__xludf.dummyfunction("COUNTA(SPLIT(D97,"" ""))/COUNTA(SPLIT($B$67,"" ""))"),1)</f>
        <v>1</v>
      </c>
      <c r="F97" s="56"/>
      <c r="G97" s="56"/>
      <c r="H97" s="56"/>
      <c r="I97" s="56"/>
      <c r="J97" s="56"/>
      <c r="K97" s="59"/>
      <c r="L97" s="59"/>
      <c r="M97" s="59"/>
      <c r="N97" s="59"/>
      <c r="O97" s="59"/>
      <c r="P97" s="59"/>
      <c r="Q97" s="59"/>
      <c r="R97" s="59"/>
      <c r="S97" s="59"/>
      <c r="T97" s="59"/>
      <c r="U97" s="59"/>
      <c r="V97" s="59"/>
      <c r="W97" s="59"/>
      <c r="X97" s="59"/>
      <c r="Y97" s="59"/>
      <c r="Z97" s="59"/>
      <c r="AA97" s="59"/>
      <c r="AB97" s="59"/>
    </row>
    <row r="98" customFormat="false" ht="15.75" hidden="false" customHeight="false" outlineLevel="0" collapsed="false">
      <c r="A98" s="71"/>
      <c r="B98" s="71"/>
      <c r="C98" s="6"/>
      <c r="D98" s="49"/>
      <c r="E98" s="73" t="n">
        <f aca="false">IFERROR(__xludf.dummyfunction("COUNTA(SPLIT(D98,"" ""))/COUNTA(SPLIT($B$67,"" ""))"),1)</f>
        <v>1</v>
      </c>
      <c r="F98" s="6"/>
      <c r="G98" s="6"/>
      <c r="H98" s="6"/>
      <c r="I98" s="6"/>
      <c r="J98" s="6"/>
      <c r="K98" s="5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71"/>
      <c r="B99" s="71"/>
      <c r="C99" s="6"/>
      <c r="D99" s="49"/>
      <c r="E99" s="74" t="n">
        <f aca="false">IFERROR(__xludf.dummyfunction("COUNTA(SPLIT(D99,"" ""))/COUNTA(SPLIT($B$67,"" ""))"),1)</f>
        <v>1</v>
      </c>
      <c r="F99" s="6"/>
      <c r="G99" s="6"/>
      <c r="H99" s="6"/>
      <c r="I99" s="6"/>
      <c r="J99" s="6"/>
      <c r="K99" s="51"/>
      <c r="L99" s="51"/>
      <c r="M99" s="51"/>
      <c r="N99" s="51"/>
      <c r="O99" s="51"/>
      <c r="P99" s="51"/>
      <c r="Q99" s="51"/>
      <c r="R99" s="51"/>
      <c r="S99" s="51"/>
      <c r="T99" s="51"/>
      <c r="U99" s="51"/>
      <c r="V99" s="51"/>
      <c r="W99" s="51"/>
      <c r="X99" s="51"/>
      <c r="Y99" s="51"/>
      <c r="Z99" s="51"/>
      <c r="AA99" s="51"/>
      <c r="AB99" s="51"/>
    </row>
    <row r="100" customFormat="false" ht="15.75" hidden="false" customHeight="false" outlineLevel="0" collapsed="false">
      <c r="A100" s="71"/>
      <c r="B100" s="71"/>
      <c r="C100" s="6"/>
      <c r="D100" s="49"/>
      <c r="E100" s="75" t="n">
        <f aca="false">IFERROR(__xludf.dummyfunction("COUNTA(SPLIT(D100,"" ""))/COUNTA(SPLIT($B$67,"" ""))"),1)</f>
        <v>1</v>
      </c>
      <c r="F100" s="6"/>
      <c r="G100" s="6"/>
      <c r="H100" s="6"/>
      <c r="I100" s="6"/>
      <c r="J100" s="6"/>
      <c r="K100" s="51"/>
      <c r="L100" s="51"/>
      <c r="M100" s="51"/>
      <c r="N100" s="51"/>
      <c r="O100" s="51"/>
      <c r="P100" s="51"/>
      <c r="Q100" s="51"/>
      <c r="R100" s="51"/>
      <c r="S100" s="51"/>
      <c r="T100" s="51"/>
      <c r="U100" s="51"/>
      <c r="V100" s="51"/>
      <c r="W100" s="51"/>
      <c r="X100" s="51"/>
      <c r="Y100" s="51"/>
      <c r="Z100" s="51"/>
      <c r="AA100" s="51"/>
      <c r="AB100" s="51"/>
    </row>
    <row r="101" customFormat="false" ht="15.75" hidden="false" customHeight="false" outlineLevel="0" collapsed="false">
      <c r="A101" s="51"/>
      <c r="B101" s="51"/>
      <c r="C101" s="6"/>
      <c r="D101" s="49"/>
      <c r="E101" s="51"/>
      <c r="F101" s="6"/>
      <c r="G101" s="6"/>
      <c r="H101" s="6"/>
      <c r="I101" s="6"/>
      <c r="J101" s="6"/>
      <c r="K101" s="5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71"/>
      <c r="B102" s="55"/>
      <c r="C102" s="56" t="s">
        <v>16</v>
      </c>
      <c r="D102" s="57"/>
      <c r="E102" s="72" t="n">
        <f aca="false">IFERROR(__xludf.dummyfunction("COUNTA(SPLIT(D102,"" ""))/COUNTA(SPLIT($B$67,"" ""))"),1)</f>
        <v>1</v>
      </c>
      <c r="F102" s="56"/>
      <c r="G102" s="56"/>
      <c r="H102" s="56"/>
      <c r="I102" s="56"/>
      <c r="J102" s="56"/>
      <c r="K102" s="59"/>
      <c r="L102" s="59"/>
      <c r="M102" s="59"/>
      <c r="N102" s="59"/>
      <c r="O102" s="59"/>
      <c r="P102" s="59"/>
      <c r="Q102" s="59"/>
      <c r="R102" s="59"/>
      <c r="S102" s="59"/>
      <c r="T102" s="59"/>
      <c r="U102" s="59"/>
      <c r="V102" s="59"/>
      <c r="W102" s="59"/>
      <c r="X102" s="59"/>
      <c r="Y102" s="59"/>
      <c r="Z102" s="59"/>
      <c r="AA102" s="59"/>
      <c r="AB102" s="59"/>
    </row>
    <row r="103" customFormat="false" ht="15.75" hidden="false" customHeight="false" outlineLevel="0" collapsed="false">
      <c r="A103" s="71"/>
      <c r="B103" s="71"/>
      <c r="C103" s="6"/>
      <c r="D103" s="49"/>
      <c r="E103" s="73" t="n">
        <f aca="false">IFERROR(__xludf.dummyfunction("COUNTA(SPLIT(D103,"" ""))/COUNTA(SPLIT($B$67,"" ""))"),1)</f>
        <v>1</v>
      </c>
      <c r="F103" s="6"/>
      <c r="G103" s="6"/>
      <c r="H103" s="6"/>
      <c r="I103" s="6"/>
      <c r="J103" s="6"/>
      <c r="K103" s="51"/>
      <c r="L103" s="51"/>
      <c r="M103" s="51"/>
      <c r="N103" s="51"/>
      <c r="O103" s="51"/>
      <c r="P103" s="51"/>
      <c r="Q103" s="51"/>
      <c r="R103" s="51"/>
      <c r="S103" s="51"/>
      <c r="T103" s="51"/>
      <c r="U103" s="51"/>
      <c r="V103" s="51"/>
      <c r="W103" s="51"/>
      <c r="X103" s="51"/>
      <c r="Y103" s="51"/>
      <c r="Z103" s="51"/>
      <c r="AA103" s="51"/>
      <c r="AB103" s="51"/>
    </row>
    <row r="104" customFormat="false" ht="15.75" hidden="false" customHeight="false" outlineLevel="0" collapsed="false">
      <c r="A104" s="71"/>
      <c r="B104" s="71"/>
      <c r="C104" s="6"/>
      <c r="D104" s="49"/>
      <c r="E104" s="74" t="n">
        <f aca="false">IFERROR(__xludf.dummyfunction("COUNTA(SPLIT(D104,"" ""))/COUNTA(SPLIT($B$67,"" ""))"),1)</f>
        <v>1</v>
      </c>
      <c r="F104" s="6"/>
      <c r="G104" s="6"/>
      <c r="H104" s="6"/>
      <c r="I104" s="6"/>
      <c r="J104" s="6"/>
      <c r="K104" s="51"/>
      <c r="L104" s="51"/>
      <c r="M104" s="51"/>
      <c r="N104" s="51"/>
      <c r="O104" s="51"/>
      <c r="P104" s="51"/>
      <c r="Q104" s="51"/>
      <c r="R104" s="51"/>
      <c r="S104" s="51"/>
      <c r="T104" s="51"/>
      <c r="U104" s="51"/>
      <c r="V104" s="51"/>
      <c r="W104" s="51"/>
      <c r="X104" s="51"/>
      <c r="Y104" s="51"/>
      <c r="Z104" s="51"/>
      <c r="AA104" s="51"/>
      <c r="AB104" s="51"/>
    </row>
    <row r="105" customFormat="false" ht="15.75" hidden="false" customHeight="false" outlineLevel="0" collapsed="false">
      <c r="A105" s="71"/>
      <c r="B105" s="71"/>
      <c r="C105" s="6"/>
      <c r="D105" s="49"/>
      <c r="E105" s="75" t="n">
        <f aca="false">IFERROR(__xludf.dummyfunction("COUNTA(SPLIT(D105,"" ""))/COUNTA(SPLIT($B$67,"" ""))"),1)</f>
        <v>1</v>
      </c>
      <c r="F105" s="6"/>
      <c r="G105" s="6"/>
      <c r="H105" s="6"/>
      <c r="I105" s="6"/>
      <c r="J105" s="6"/>
      <c r="K105" s="51"/>
      <c r="L105" s="51"/>
      <c r="M105" s="51"/>
      <c r="N105" s="51"/>
      <c r="O105" s="51"/>
      <c r="P105" s="51"/>
      <c r="Q105" s="51"/>
      <c r="R105" s="51"/>
      <c r="S105" s="51"/>
      <c r="T105" s="51"/>
      <c r="U105" s="51"/>
      <c r="V105" s="51"/>
      <c r="W105" s="51"/>
      <c r="X105" s="51"/>
      <c r="Y105" s="51"/>
      <c r="Z105" s="51"/>
      <c r="AA105" s="51"/>
      <c r="AB105" s="51"/>
    </row>
    <row r="106" customFormat="false" ht="15.75" hidden="false" customHeight="false" outlineLevel="0" collapsed="false">
      <c r="A106" s="51"/>
      <c r="B106" s="51"/>
      <c r="C106" s="6"/>
      <c r="D106" s="49"/>
      <c r="E106" s="51"/>
      <c r="F106" s="6"/>
      <c r="G106" s="6"/>
      <c r="H106" s="6"/>
      <c r="I106" s="6"/>
      <c r="J106" s="6"/>
      <c r="K106" s="51"/>
      <c r="L106" s="51"/>
      <c r="M106" s="51"/>
      <c r="N106" s="51"/>
      <c r="O106" s="51"/>
      <c r="P106" s="51"/>
      <c r="Q106" s="51"/>
      <c r="R106" s="51"/>
      <c r="S106" s="51"/>
      <c r="T106" s="51"/>
      <c r="U106" s="51"/>
      <c r="V106" s="51"/>
      <c r="W106" s="51"/>
      <c r="X106" s="51"/>
      <c r="Y106" s="51"/>
      <c r="Z106" s="51"/>
      <c r="AA106" s="51"/>
      <c r="AB106" s="51"/>
    </row>
    <row r="107" customFormat="false" ht="15.75" hidden="false" customHeight="false" outlineLevel="0" collapsed="false">
      <c r="A107" s="71"/>
      <c r="B107" s="55"/>
      <c r="C107" s="56" t="s">
        <v>16</v>
      </c>
      <c r="D107" s="57"/>
      <c r="E107" s="72" t="n">
        <f aca="false">IFERROR(__xludf.dummyfunction("COUNTA(SPLIT(D107,"" ""))/COUNTA(SPLIT($B$67,"" ""))"),1)</f>
        <v>1</v>
      </c>
      <c r="F107" s="56"/>
      <c r="G107" s="56"/>
      <c r="H107" s="56"/>
      <c r="I107" s="56"/>
      <c r="J107" s="56"/>
      <c r="K107" s="59"/>
      <c r="L107" s="59"/>
      <c r="M107" s="59"/>
      <c r="N107" s="59"/>
      <c r="O107" s="59"/>
      <c r="P107" s="59"/>
      <c r="Q107" s="59"/>
      <c r="R107" s="59"/>
      <c r="S107" s="59"/>
      <c r="T107" s="59"/>
      <c r="U107" s="59"/>
      <c r="V107" s="59"/>
      <c r="W107" s="59"/>
      <c r="X107" s="59"/>
      <c r="Y107" s="59"/>
      <c r="Z107" s="59"/>
      <c r="AA107" s="59"/>
      <c r="AB107" s="59"/>
    </row>
    <row r="108" customFormat="false" ht="15.75" hidden="false" customHeight="false" outlineLevel="0" collapsed="false">
      <c r="A108" s="71"/>
      <c r="B108" s="71"/>
      <c r="C108" s="6"/>
      <c r="D108" s="49"/>
      <c r="E108" s="73" t="n">
        <f aca="false">IFERROR(__xludf.dummyfunction("COUNTA(SPLIT(D108,"" ""))/COUNTA(SPLIT($B$67,"" ""))"),1)</f>
        <v>1</v>
      </c>
      <c r="F108" s="6"/>
      <c r="G108" s="6"/>
      <c r="H108" s="6"/>
      <c r="I108" s="6"/>
      <c r="J108" s="6"/>
      <c r="K108" s="51"/>
      <c r="L108" s="51"/>
      <c r="M108" s="51"/>
      <c r="N108" s="51"/>
      <c r="O108" s="51"/>
      <c r="P108" s="51"/>
      <c r="Q108" s="51"/>
      <c r="R108" s="51"/>
      <c r="S108" s="51"/>
      <c r="T108" s="51"/>
      <c r="U108" s="51"/>
      <c r="V108" s="51"/>
      <c r="W108" s="51"/>
      <c r="X108" s="51"/>
      <c r="Y108" s="51"/>
      <c r="Z108" s="51"/>
      <c r="AA108" s="51"/>
      <c r="AB108" s="51"/>
    </row>
    <row r="109" customFormat="false" ht="15.75" hidden="false" customHeight="false" outlineLevel="0" collapsed="false">
      <c r="A109" s="71"/>
      <c r="B109" s="71"/>
      <c r="C109" s="6"/>
      <c r="D109" s="49"/>
      <c r="E109" s="74" t="n">
        <f aca="false">IFERROR(__xludf.dummyfunction("COUNTA(SPLIT(D109,"" ""))/COUNTA(SPLIT($B$67,"" ""))"),1)</f>
        <v>1</v>
      </c>
      <c r="F109" s="6"/>
      <c r="G109" s="6"/>
      <c r="H109" s="6"/>
      <c r="I109" s="6"/>
      <c r="J109" s="6"/>
      <c r="K109" s="51"/>
      <c r="L109" s="51"/>
      <c r="M109" s="51"/>
      <c r="N109" s="51"/>
      <c r="O109" s="51"/>
      <c r="P109" s="51"/>
      <c r="Q109" s="51"/>
      <c r="R109" s="51"/>
      <c r="S109" s="51"/>
      <c r="T109" s="51"/>
      <c r="U109" s="51"/>
      <c r="V109" s="51"/>
      <c r="W109" s="51"/>
      <c r="X109" s="51"/>
      <c r="Y109" s="51"/>
      <c r="Z109" s="51"/>
      <c r="AA109" s="51"/>
      <c r="AB109" s="51"/>
    </row>
    <row r="110" customFormat="false" ht="15.75" hidden="false" customHeight="false" outlineLevel="0" collapsed="false">
      <c r="A110" s="71"/>
      <c r="B110" s="71"/>
      <c r="C110" s="6"/>
      <c r="D110" s="49"/>
      <c r="E110" s="75" t="n">
        <f aca="false">IFERROR(__xludf.dummyfunction("COUNTA(SPLIT(D110,"" ""))/COUNTA(SPLIT($B$67,"" ""))"),1)</f>
        <v>1</v>
      </c>
      <c r="F110" s="6"/>
      <c r="G110" s="6"/>
      <c r="H110" s="6"/>
      <c r="I110" s="6"/>
      <c r="J110" s="6"/>
      <c r="K110" s="51"/>
      <c r="L110" s="51"/>
      <c r="M110" s="51"/>
      <c r="N110" s="51"/>
      <c r="O110" s="51"/>
      <c r="P110" s="51"/>
      <c r="Q110" s="51"/>
      <c r="R110" s="51"/>
      <c r="S110" s="51"/>
      <c r="T110" s="51"/>
      <c r="U110" s="51"/>
      <c r="V110" s="51"/>
      <c r="W110" s="51"/>
      <c r="X110" s="51"/>
      <c r="Y110" s="51"/>
      <c r="Z110" s="51"/>
      <c r="AA110" s="51"/>
      <c r="AB110" s="51"/>
    </row>
    <row r="111" customFormat="false" ht="15.75" hidden="false" customHeight="false" outlineLevel="0" collapsed="false">
      <c r="A111" s="51"/>
      <c r="B111" s="51"/>
      <c r="C111" s="6"/>
      <c r="D111" s="49"/>
      <c r="E111" s="51"/>
      <c r="F111" s="6"/>
      <c r="G111" s="6"/>
      <c r="H111" s="6"/>
      <c r="I111" s="6"/>
      <c r="J111" s="6"/>
      <c r="K111" s="51"/>
      <c r="L111" s="51"/>
      <c r="M111" s="51"/>
      <c r="N111" s="51"/>
      <c r="O111" s="51"/>
      <c r="P111" s="51"/>
      <c r="Q111" s="51"/>
      <c r="R111" s="51"/>
      <c r="S111" s="51"/>
      <c r="T111" s="51"/>
      <c r="U111" s="51"/>
      <c r="V111" s="51"/>
      <c r="W111" s="51"/>
      <c r="X111" s="51"/>
      <c r="Y111" s="51"/>
      <c r="Z111" s="51"/>
      <c r="AA111" s="51"/>
      <c r="AB111" s="51"/>
    </row>
    <row r="112" customFormat="false" ht="15.75" hidden="false" customHeight="false" outlineLevel="0" collapsed="false">
      <c r="A112" s="71"/>
      <c r="B112" s="55"/>
      <c r="C112" s="56" t="s">
        <v>16</v>
      </c>
      <c r="D112" s="57"/>
      <c r="E112" s="72" t="n">
        <f aca="false">IFERROR(__xludf.dummyfunction("COUNTA(SPLIT(D112,"" ""))/COUNTA(SPLIT($B$67,"" ""))"),1)</f>
        <v>1</v>
      </c>
      <c r="F112" s="56"/>
      <c r="G112" s="56"/>
      <c r="H112" s="56"/>
      <c r="I112" s="56"/>
      <c r="J112" s="56"/>
      <c r="K112" s="59"/>
      <c r="L112" s="59"/>
      <c r="M112" s="59"/>
      <c r="N112" s="59"/>
      <c r="O112" s="59"/>
      <c r="P112" s="59"/>
      <c r="Q112" s="59"/>
      <c r="R112" s="59"/>
      <c r="S112" s="59"/>
      <c r="T112" s="59"/>
      <c r="U112" s="59"/>
      <c r="V112" s="59"/>
      <c r="W112" s="59"/>
      <c r="X112" s="59"/>
      <c r="Y112" s="59"/>
      <c r="Z112" s="59"/>
      <c r="AA112" s="59"/>
      <c r="AB112" s="59"/>
    </row>
    <row r="113" customFormat="false" ht="15.75" hidden="false" customHeight="false" outlineLevel="0" collapsed="false">
      <c r="A113" s="71"/>
      <c r="B113" s="71"/>
      <c r="C113" s="6"/>
      <c r="D113" s="49"/>
      <c r="E113" s="73" t="n">
        <f aca="false">IFERROR(__xludf.dummyfunction("COUNTA(SPLIT(D113,"" ""))/COUNTA(SPLIT($B$67,"" ""))"),1)</f>
        <v>1</v>
      </c>
      <c r="F113" s="6"/>
      <c r="G113" s="6"/>
      <c r="H113" s="6"/>
      <c r="I113" s="6"/>
      <c r="J113" s="6"/>
      <c r="K113" s="51"/>
      <c r="L113" s="51"/>
      <c r="M113" s="51"/>
      <c r="N113" s="51"/>
      <c r="O113" s="51"/>
      <c r="P113" s="51"/>
      <c r="Q113" s="51"/>
      <c r="R113" s="51"/>
      <c r="S113" s="51"/>
      <c r="T113" s="51"/>
      <c r="U113" s="51"/>
      <c r="V113" s="51"/>
      <c r="W113" s="51"/>
      <c r="X113" s="51"/>
      <c r="Y113" s="51"/>
      <c r="Z113" s="51"/>
      <c r="AA113" s="51"/>
      <c r="AB113" s="51"/>
    </row>
    <row r="114" customFormat="false" ht="15.75" hidden="false" customHeight="false" outlineLevel="0" collapsed="false">
      <c r="A114" s="71"/>
      <c r="B114" s="71"/>
      <c r="C114" s="6"/>
      <c r="D114" s="49"/>
      <c r="E114" s="74" t="n">
        <f aca="false">IFERROR(__xludf.dummyfunction("COUNTA(SPLIT(D114,"" ""))/COUNTA(SPLIT($B$67,"" ""))"),1)</f>
        <v>1</v>
      </c>
      <c r="F114" s="6"/>
      <c r="G114" s="6"/>
      <c r="H114" s="6"/>
      <c r="I114" s="6"/>
      <c r="J114" s="6"/>
      <c r="K114" s="51"/>
      <c r="L114" s="51"/>
      <c r="M114" s="51"/>
      <c r="N114" s="51"/>
      <c r="O114" s="51"/>
      <c r="P114" s="51"/>
      <c r="Q114" s="51"/>
      <c r="R114" s="51"/>
      <c r="S114" s="51"/>
      <c r="T114" s="51"/>
      <c r="U114" s="51"/>
      <c r="V114" s="51"/>
      <c r="W114" s="51"/>
      <c r="X114" s="51"/>
      <c r="Y114" s="51"/>
      <c r="Z114" s="51"/>
      <c r="AA114" s="51"/>
      <c r="AB114" s="51"/>
    </row>
    <row r="115" customFormat="false" ht="15.75" hidden="false" customHeight="false" outlineLevel="0" collapsed="false">
      <c r="A115" s="71"/>
      <c r="B115" s="71"/>
      <c r="C115" s="6"/>
      <c r="D115" s="49"/>
      <c r="E115" s="75" t="n">
        <f aca="false">IFERROR(__xludf.dummyfunction("COUNTA(SPLIT(D115,"" ""))/COUNTA(SPLIT($B$67,"" ""))"),1)</f>
        <v>1</v>
      </c>
      <c r="F115" s="6"/>
      <c r="G115" s="6"/>
      <c r="H115" s="6"/>
      <c r="I115" s="6"/>
      <c r="J115" s="6"/>
      <c r="K115" s="51"/>
      <c r="L115" s="51"/>
      <c r="M115" s="51"/>
      <c r="N115" s="51"/>
      <c r="O115" s="51"/>
      <c r="P115" s="51"/>
      <c r="Q115" s="51"/>
      <c r="R115" s="51"/>
      <c r="S115" s="51"/>
      <c r="T115" s="51"/>
      <c r="U115" s="51"/>
      <c r="V115" s="51"/>
      <c r="W115" s="51"/>
      <c r="X115" s="51"/>
      <c r="Y115" s="51"/>
      <c r="Z115" s="51"/>
      <c r="AA115" s="51"/>
      <c r="AB115" s="51"/>
    </row>
    <row r="116" customFormat="false" ht="15.75" hidden="false" customHeight="false" outlineLevel="0" collapsed="false">
      <c r="A116" s="51"/>
      <c r="B116" s="51"/>
      <c r="C116" s="6"/>
      <c r="D116" s="49"/>
      <c r="E116" s="51"/>
      <c r="F116" s="6"/>
      <c r="G116" s="6"/>
      <c r="H116" s="6"/>
      <c r="I116" s="6"/>
      <c r="J116" s="6"/>
      <c r="K116" s="51"/>
      <c r="L116" s="51"/>
      <c r="M116" s="51"/>
      <c r="N116" s="51"/>
      <c r="O116" s="51"/>
      <c r="P116" s="51"/>
      <c r="Q116" s="51"/>
      <c r="R116" s="51"/>
      <c r="S116" s="51"/>
      <c r="T116" s="51"/>
      <c r="U116" s="51"/>
      <c r="V116" s="51"/>
      <c r="W116" s="51"/>
      <c r="X116" s="51"/>
      <c r="Y116" s="51"/>
      <c r="Z116" s="51"/>
      <c r="AA116" s="51"/>
      <c r="AB116" s="51"/>
    </row>
    <row r="117" customFormat="false" ht="15.75" hidden="false" customHeight="false" outlineLevel="0" collapsed="false">
      <c r="A117" s="71"/>
      <c r="B117" s="55"/>
      <c r="C117" s="56" t="s">
        <v>16</v>
      </c>
      <c r="D117" s="57"/>
      <c r="E117" s="72" t="n">
        <f aca="false">IFERROR(__xludf.dummyfunction("COUNTA(SPLIT(D117,"" ""))/COUNTA(SPLIT($B$67,"" ""))"),1)</f>
        <v>1</v>
      </c>
      <c r="F117" s="56"/>
      <c r="G117" s="56"/>
      <c r="H117" s="56"/>
      <c r="I117" s="56"/>
      <c r="J117" s="56"/>
      <c r="K117" s="59"/>
      <c r="L117" s="59"/>
      <c r="M117" s="59"/>
      <c r="N117" s="59"/>
      <c r="O117" s="59"/>
      <c r="P117" s="59"/>
      <c r="Q117" s="59"/>
      <c r="R117" s="59"/>
      <c r="S117" s="59"/>
      <c r="T117" s="59"/>
      <c r="U117" s="59"/>
      <c r="V117" s="59"/>
      <c r="W117" s="59"/>
      <c r="X117" s="59"/>
      <c r="Y117" s="59"/>
      <c r="Z117" s="59"/>
      <c r="AA117" s="59"/>
      <c r="AB117" s="59"/>
    </row>
    <row r="118" customFormat="false" ht="15.75" hidden="false" customHeight="false" outlineLevel="0" collapsed="false">
      <c r="A118" s="71"/>
      <c r="B118" s="71"/>
      <c r="C118" s="6"/>
      <c r="D118" s="49"/>
      <c r="E118" s="73" t="n">
        <f aca="false">IFERROR(__xludf.dummyfunction("COUNTA(SPLIT(D118,"" ""))/COUNTA(SPLIT($B$67,"" ""))"),1)</f>
        <v>1</v>
      </c>
      <c r="F118" s="6"/>
      <c r="G118" s="6"/>
      <c r="H118" s="6"/>
      <c r="I118" s="6"/>
      <c r="J118" s="6"/>
      <c r="K118" s="51"/>
      <c r="L118" s="51"/>
      <c r="M118" s="51"/>
      <c r="N118" s="51"/>
      <c r="O118" s="51"/>
      <c r="P118" s="51"/>
      <c r="Q118" s="51"/>
      <c r="R118" s="51"/>
      <c r="S118" s="51"/>
      <c r="T118" s="51"/>
      <c r="U118" s="51"/>
      <c r="V118" s="51"/>
      <c r="W118" s="51"/>
      <c r="X118" s="51"/>
      <c r="Y118" s="51"/>
      <c r="Z118" s="51"/>
      <c r="AA118" s="51"/>
      <c r="AB118" s="51"/>
    </row>
    <row r="119" customFormat="false" ht="15.75" hidden="false" customHeight="false" outlineLevel="0" collapsed="false">
      <c r="A119" s="71"/>
      <c r="B119" s="71"/>
      <c r="C119" s="6"/>
      <c r="D119" s="49"/>
      <c r="E119" s="74" t="n">
        <f aca="false">IFERROR(__xludf.dummyfunction("COUNTA(SPLIT(D119,"" ""))/COUNTA(SPLIT($B$67,"" ""))"),1)</f>
        <v>1</v>
      </c>
      <c r="F119" s="6"/>
      <c r="G119" s="6"/>
      <c r="H119" s="6"/>
      <c r="I119" s="6"/>
      <c r="J119" s="6"/>
      <c r="K119" s="51"/>
      <c r="L119" s="51"/>
      <c r="M119" s="51"/>
      <c r="N119" s="51"/>
      <c r="O119" s="51"/>
      <c r="P119" s="51"/>
      <c r="Q119" s="51"/>
      <c r="R119" s="51"/>
      <c r="S119" s="51"/>
      <c r="T119" s="51"/>
      <c r="U119" s="51"/>
      <c r="V119" s="51"/>
      <c r="W119" s="51"/>
      <c r="X119" s="51"/>
      <c r="Y119" s="51"/>
      <c r="Z119" s="51"/>
      <c r="AA119" s="51"/>
      <c r="AB119" s="51"/>
    </row>
    <row r="120" customFormat="false" ht="15.75" hidden="false" customHeight="false" outlineLevel="0" collapsed="false">
      <c r="A120" s="71"/>
      <c r="B120" s="71"/>
      <c r="C120" s="6"/>
      <c r="D120" s="49"/>
      <c r="E120" s="75" t="n">
        <f aca="false">IFERROR(__xludf.dummyfunction("COUNTA(SPLIT(D120,"" ""))/COUNTA(SPLIT($B$67,"" ""))"),1)</f>
        <v>1</v>
      </c>
      <c r="F120" s="6"/>
      <c r="G120" s="6"/>
      <c r="H120" s="6"/>
      <c r="I120" s="6"/>
      <c r="J120" s="6"/>
      <c r="K120" s="51"/>
      <c r="L120" s="51"/>
      <c r="M120" s="51"/>
      <c r="N120" s="51"/>
      <c r="O120" s="51"/>
      <c r="P120" s="51"/>
      <c r="Q120" s="51"/>
      <c r="R120" s="51"/>
      <c r="S120" s="51"/>
      <c r="T120" s="51"/>
      <c r="U120" s="51"/>
      <c r="V120" s="51"/>
      <c r="W120" s="51"/>
      <c r="X120" s="51"/>
      <c r="Y120" s="51"/>
      <c r="Z120" s="51"/>
      <c r="AA120" s="51"/>
      <c r="AB120" s="51"/>
    </row>
    <row r="121" customFormat="false" ht="15.75" hidden="false" customHeight="false" outlineLevel="0" collapsed="false">
      <c r="A121" s="51"/>
      <c r="B121" s="51"/>
      <c r="C121" s="6"/>
      <c r="D121" s="49"/>
      <c r="E121" s="51"/>
      <c r="F121" s="6"/>
      <c r="G121" s="6"/>
      <c r="H121" s="6"/>
      <c r="I121" s="6"/>
      <c r="J121" s="6"/>
      <c r="K121" s="51"/>
      <c r="L121" s="51"/>
      <c r="M121" s="51"/>
      <c r="N121" s="51"/>
      <c r="O121" s="51"/>
      <c r="P121" s="51"/>
      <c r="Q121" s="51"/>
      <c r="R121" s="51"/>
      <c r="S121" s="51"/>
      <c r="T121" s="51"/>
      <c r="U121" s="51"/>
      <c r="V121" s="51"/>
      <c r="W121" s="51"/>
      <c r="X121" s="51"/>
      <c r="Y121" s="51"/>
      <c r="Z121" s="51"/>
      <c r="AA121" s="51"/>
      <c r="AB121" s="51"/>
    </row>
    <row r="122" customFormat="false" ht="15.75" hidden="false" customHeight="false" outlineLevel="0" collapsed="false">
      <c r="A122" s="71"/>
      <c r="B122" s="55"/>
      <c r="C122" s="56" t="s">
        <v>16</v>
      </c>
      <c r="D122" s="57"/>
      <c r="E122" s="72" t="n">
        <f aca="false">IFERROR(__xludf.dummyfunction("COUNTA(SPLIT(D122,"" ""))/COUNTA(SPLIT($B$67,"" ""))"),1)</f>
        <v>1</v>
      </c>
      <c r="F122" s="56"/>
      <c r="G122" s="56"/>
      <c r="H122" s="56"/>
      <c r="I122" s="56"/>
      <c r="J122" s="56"/>
      <c r="K122" s="59"/>
      <c r="L122" s="59"/>
      <c r="M122" s="59"/>
      <c r="N122" s="59"/>
      <c r="O122" s="59"/>
      <c r="P122" s="59"/>
      <c r="Q122" s="59"/>
      <c r="R122" s="59"/>
      <c r="S122" s="59"/>
      <c r="T122" s="59"/>
      <c r="U122" s="59"/>
      <c r="V122" s="59"/>
      <c r="W122" s="59"/>
      <c r="X122" s="59"/>
      <c r="Y122" s="59"/>
      <c r="Z122" s="59"/>
      <c r="AA122" s="59"/>
      <c r="AB122" s="59"/>
    </row>
    <row r="123" customFormat="false" ht="15.75" hidden="false" customHeight="false" outlineLevel="0" collapsed="false">
      <c r="A123" s="71"/>
      <c r="B123" s="71"/>
      <c r="C123" s="6"/>
      <c r="D123" s="49"/>
      <c r="E123" s="73" t="n">
        <f aca="false">IFERROR(__xludf.dummyfunction("COUNTA(SPLIT(D123,"" ""))/COUNTA(SPLIT($B$67,"" ""))"),1)</f>
        <v>1</v>
      </c>
      <c r="F123" s="6"/>
      <c r="G123" s="6"/>
      <c r="H123" s="6"/>
      <c r="I123" s="6"/>
      <c r="J123" s="6"/>
      <c r="K123" s="51"/>
      <c r="L123" s="51"/>
      <c r="M123" s="51"/>
      <c r="N123" s="51"/>
      <c r="O123" s="51"/>
      <c r="P123" s="51"/>
      <c r="Q123" s="51"/>
      <c r="R123" s="51"/>
      <c r="S123" s="51"/>
      <c r="T123" s="51"/>
      <c r="U123" s="51"/>
      <c r="V123" s="51"/>
      <c r="W123" s="51"/>
      <c r="X123" s="51"/>
      <c r="Y123" s="51"/>
      <c r="Z123" s="51"/>
      <c r="AA123" s="51"/>
      <c r="AB123" s="51"/>
    </row>
    <row r="124" customFormat="false" ht="15.75" hidden="false" customHeight="false" outlineLevel="0" collapsed="false">
      <c r="A124" s="71"/>
      <c r="B124" s="71"/>
      <c r="C124" s="6"/>
      <c r="D124" s="49"/>
      <c r="E124" s="74" t="n">
        <f aca="false">IFERROR(__xludf.dummyfunction("COUNTA(SPLIT(D124,"" ""))/COUNTA(SPLIT($B$67,"" ""))"),1)</f>
        <v>1</v>
      </c>
      <c r="F124" s="6"/>
      <c r="G124" s="6"/>
      <c r="H124" s="6"/>
      <c r="I124" s="6"/>
      <c r="J124" s="6"/>
      <c r="K124" s="51"/>
      <c r="L124" s="51"/>
      <c r="M124" s="51"/>
      <c r="N124" s="51"/>
      <c r="O124" s="51"/>
      <c r="P124" s="51"/>
      <c r="Q124" s="51"/>
      <c r="R124" s="51"/>
      <c r="S124" s="51"/>
      <c r="T124" s="51"/>
      <c r="U124" s="51"/>
      <c r="V124" s="51"/>
      <c r="W124" s="51"/>
      <c r="X124" s="51"/>
      <c r="Y124" s="51"/>
      <c r="Z124" s="51"/>
      <c r="AA124" s="51"/>
      <c r="AB124" s="51"/>
    </row>
    <row r="125" customFormat="false" ht="15.75" hidden="false" customHeight="false" outlineLevel="0" collapsed="false">
      <c r="A125" s="71"/>
      <c r="B125" s="71"/>
      <c r="C125" s="6"/>
      <c r="D125" s="49"/>
      <c r="E125" s="75" t="n">
        <f aca="false">IFERROR(__xludf.dummyfunction("COUNTA(SPLIT(D125,"" ""))/COUNTA(SPLIT($B$67,"" ""))"),1)</f>
        <v>1</v>
      </c>
      <c r="F125" s="6"/>
      <c r="G125" s="6"/>
      <c r="H125" s="6"/>
      <c r="I125" s="6"/>
      <c r="J125" s="6"/>
      <c r="K125" s="51"/>
      <c r="L125" s="51"/>
      <c r="M125" s="51"/>
      <c r="N125" s="51"/>
      <c r="O125" s="51"/>
      <c r="P125" s="51"/>
      <c r="Q125" s="51"/>
      <c r="R125" s="51"/>
      <c r="S125" s="51"/>
      <c r="T125" s="51"/>
      <c r="U125" s="51"/>
      <c r="V125" s="51"/>
      <c r="W125" s="51"/>
      <c r="X125" s="51"/>
      <c r="Y125" s="51"/>
      <c r="Z125" s="51"/>
      <c r="AA125" s="51"/>
      <c r="AB125" s="51"/>
    </row>
    <row r="126" customFormat="false" ht="15.75" hidden="false" customHeight="false" outlineLevel="0" collapsed="false">
      <c r="A126" s="51"/>
      <c r="B126" s="51"/>
      <c r="C126" s="6"/>
      <c r="D126" s="49"/>
      <c r="E126" s="51"/>
      <c r="F126" s="6"/>
      <c r="G126" s="6"/>
      <c r="H126" s="6"/>
      <c r="I126" s="6"/>
      <c r="J126" s="6"/>
      <c r="K126" s="51"/>
      <c r="L126" s="51"/>
      <c r="M126" s="51"/>
      <c r="N126" s="51"/>
      <c r="O126" s="51"/>
      <c r="P126" s="51"/>
      <c r="Q126" s="51"/>
      <c r="R126" s="51"/>
      <c r="S126" s="51"/>
      <c r="T126" s="51"/>
      <c r="U126" s="51"/>
      <c r="V126" s="51"/>
      <c r="W126" s="51"/>
      <c r="X126" s="51"/>
      <c r="Y126" s="51"/>
      <c r="Z126" s="51"/>
      <c r="AA126" s="51"/>
      <c r="AB126" s="51"/>
    </row>
    <row r="127" customFormat="false" ht="15.75" hidden="false" customHeight="false" outlineLevel="0" collapsed="false">
      <c r="A127" s="71"/>
      <c r="B127" s="55"/>
      <c r="C127" s="56" t="s">
        <v>16</v>
      </c>
      <c r="D127" s="57"/>
      <c r="E127" s="72" t="n">
        <f aca="false">IFERROR(__xludf.dummyfunction("COUNTA(SPLIT(D127,"" ""))/COUNTA(SPLIT($B$67,"" ""))"),1)</f>
        <v>1</v>
      </c>
      <c r="F127" s="56"/>
      <c r="G127" s="56"/>
      <c r="H127" s="56"/>
      <c r="I127" s="56"/>
      <c r="J127" s="56"/>
      <c r="K127" s="59"/>
      <c r="L127" s="59"/>
      <c r="M127" s="59"/>
      <c r="N127" s="59"/>
      <c r="O127" s="59"/>
      <c r="P127" s="59"/>
      <c r="Q127" s="59"/>
      <c r="R127" s="59"/>
      <c r="S127" s="59"/>
      <c r="T127" s="59"/>
      <c r="U127" s="59"/>
      <c r="V127" s="59"/>
      <c r="W127" s="59"/>
      <c r="X127" s="59"/>
      <c r="Y127" s="59"/>
      <c r="Z127" s="59"/>
      <c r="AA127" s="59"/>
      <c r="AB127" s="59"/>
    </row>
    <row r="128" customFormat="false" ht="15.75" hidden="false" customHeight="false" outlineLevel="0" collapsed="false">
      <c r="A128" s="71"/>
      <c r="B128" s="71"/>
      <c r="C128" s="6"/>
      <c r="D128" s="49"/>
      <c r="E128" s="73" t="n">
        <f aca="false">IFERROR(__xludf.dummyfunction("COUNTA(SPLIT(D128,"" ""))/COUNTA(SPLIT($B$67,"" ""))"),1)</f>
        <v>1</v>
      </c>
      <c r="F128" s="6"/>
      <c r="G128" s="6"/>
      <c r="H128" s="6"/>
      <c r="I128" s="6"/>
      <c r="J128" s="6"/>
      <c r="K128" s="51"/>
      <c r="L128" s="51"/>
      <c r="M128" s="51"/>
      <c r="N128" s="51"/>
      <c r="O128" s="51"/>
      <c r="P128" s="51"/>
      <c r="Q128" s="51"/>
      <c r="R128" s="51"/>
      <c r="S128" s="51"/>
      <c r="T128" s="51"/>
      <c r="U128" s="51"/>
      <c r="V128" s="51"/>
      <c r="W128" s="51"/>
      <c r="X128" s="51"/>
      <c r="Y128" s="51"/>
      <c r="Z128" s="51"/>
      <c r="AA128" s="51"/>
      <c r="AB128" s="51"/>
    </row>
    <row r="129" customFormat="false" ht="15.75" hidden="false" customHeight="false" outlineLevel="0" collapsed="false">
      <c r="A129" s="71"/>
      <c r="B129" s="71"/>
      <c r="C129" s="6"/>
      <c r="D129" s="49"/>
      <c r="E129" s="74" t="n">
        <f aca="false">IFERROR(__xludf.dummyfunction("COUNTA(SPLIT(D129,"" ""))/COUNTA(SPLIT($B$67,"" ""))"),1)</f>
        <v>1</v>
      </c>
      <c r="F129" s="6"/>
      <c r="G129" s="6"/>
      <c r="H129" s="6"/>
      <c r="I129" s="6"/>
      <c r="J129" s="6"/>
      <c r="K129" s="51"/>
      <c r="L129" s="51"/>
      <c r="M129" s="51"/>
      <c r="N129" s="51"/>
      <c r="O129" s="51"/>
      <c r="P129" s="51"/>
      <c r="Q129" s="51"/>
      <c r="R129" s="51"/>
      <c r="S129" s="51"/>
      <c r="T129" s="51"/>
      <c r="U129" s="51"/>
      <c r="V129" s="51"/>
      <c r="W129" s="51"/>
      <c r="X129" s="51"/>
      <c r="Y129" s="51"/>
      <c r="Z129" s="51"/>
      <c r="AA129" s="51"/>
      <c r="AB129" s="51"/>
    </row>
    <row r="130" customFormat="false" ht="15.75" hidden="false" customHeight="false" outlineLevel="0" collapsed="false">
      <c r="A130" s="71"/>
      <c r="B130" s="71"/>
      <c r="C130" s="6"/>
      <c r="D130" s="49"/>
      <c r="E130" s="75" t="n">
        <f aca="false">IFERROR(__xludf.dummyfunction("COUNTA(SPLIT(D130,"" ""))/COUNTA(SPLIT($B$67,"" ""))"),1)</f>
        <v>1</v>
      </c>
      <c r="F130" s="6"/>
      <c r="G130" s="6"/>
      <c r="H130" s="6"/>
      <c r="I130" s="6"/>
      <c r="J130" s="6"/>
      <c r="K130" s="51"/>
      <c r="L130" s="51"/>
      <c r="M130" s="51"/>
      <c r="N130" s="51"/>
      <c r="O130" s="51"/>
      <c r="P130" s="51"/>
      <c r="Q130" s="51"/>
      <c r="R130" s="51"/>
      <c r="S130" s="51"/>
      <c r="T130" s="51"/>
      <c r="U130" s="51"/>
      <c r="V130" s="51"/>
      <c r="W130" s="51"/>
      <c r="X130" s="51"/>
      <c r="Y130" s="51"/>
      <c r="Z130" s="51"/>
      <c r="AA130" s="51"/>
      <c r="AB130" s="51"/>
    </row>
    <row r="131" customFormat="false" ht="15.75" hidden="false" customHeight="false" outlineLevel="0" collapsed="false">
      <c r="A131" s="51"/>
      <c r="B131" s="51"/>
      <c r="C131" s="6"/>
      <c r="D131" s="49"/>
      <c r="E131" s="51"/>
      <c r="F131" s="6"/>
      <c r="G131" s="6"/>
      <c r="H131" s="6"/>
      <c r="I131" s="6"/>
      <c r="J131" s="6"/>
      <c r="K131" s="51"/>
      <c r="L131" s="51"/>
      <c r="M131" s="51"/>
      <c r="N131" s="51"/>
      <c r="O131" s="51"/>
      <c r="P131" s="51"/>
      <c r="Q131" s="51"/>
      <c r="R131" s="51"/>
      <c r="S131" s="51"/>
      <c r="T131" s="51"/>
      <c r="U131" s="51"/>
      <c r="V131" s="51"/>
      <c r="W131" s="51"/>
      <c r="X131" s="51"/>
      <c r="Y131" s="51"/>
      <c r="Z131" s="51"/>
      <c r="AA131" s="51"/>
      <c r="AB131" s="51"/>
    </row>
    <row r="132" customFormat="false" ht="15.75" hidden="false" customHeight="false" outlineLevel="0" collapsed="false">
      <c r="A132" s="71"/>
      <c r="B132" s="55"/>
      <c r="C132" s="56" t="s">
        <v>16</v>
      </c>
      <c r="D132" s="57"/>
      <c r="E132" s="72" t="n">
        <f aca="false">IFERROR(__xludf.dummyfunction("COUNTA(SPLIT(D132,"" ""))/COUNTA(SPLIT($B$67,"" ""))"),1)</f>
        <v>1</v>
      </c>
      <c r="F132" s="56"/>
      <c r="G132" s="56"/>
      <c r="H132" s="56"/>
      <c r="I132" s="56"/>
      <c r="J132" s="56"/>
      <c r="K132" s="59"/>
      <c r="L132" s="59"/>
      <c r="M132" s="59"/>
      <c r="N132" s="59"/>
      <c r="O132" s="59"/>
      <c r="P132" s="59"/>
      <c r="Q132" s="59"/>
      <c r="R132" s="59"/>
      <c r="S132" s="59"/>
      <c r="T132" s="59"/>
      <c r="U132" s="59"/>
      <c r="V132" s="59"/>
      <c r="W132" s="59"/>
      <c r="X132" s="59"/>
      <c r="Y132" s="59"/>
      <c r="Z132" s="59"/>
      <c r="AA132" s="59"/>
      <c r="AB132" s="59"/>
    </row>
    <row r="133" customFormat="false" ht="15.75" hidden="false" customHeight="false" outlineLevel="0" collapsed="false">
      <c r="A133" s="71"/>
      <c r="B133" s="71"/>
      <c r="C133" s="6"/>
      <c r="D133" s="49"/>
      <c r="E133" s="73" t="n">
        <f aca="false">IFERROR(__xludf.dummyfunction("COUNTA(SPLIT(D133,"" ""))/COUNTA(SPLIT($B$67,"" ""))"),1)</f>
        <v>1</v>
      </c>
      <c r="F133" s="6"/>
      <c r="G133" s="6"/>
      <c r="H133" s="6"/>
      <c r="I133" s="6"/>
      <c r="J133" s="6"/>
      <c r="K133" s="51"/>
      <c r="L133" s="51"/>
      <c r="M133" s="51"/>
      <c r="N133" s="51"/>
      <c r="O133" s="51"/>
      <c r="P133" s="51"/>
      <c r="Q133" s="51"/>
      <c r="R133" s="51"/>
      <c r="S133" s="51"/>
      <c r="T133" s="51"/>
      <c r="U133" s="51"/>
      <c r="V133" s="51"/>
      <c r="W133" s="51"/>
      <c r="X133" s="51"/>
      <c r="Y133" s="51"/>
      <c r="Z133" s="51"/>
      <c r="AA133" s="51"/>
      <c r="AB133" s="51"/>
    </row>
    <row r="134" customFormat="false" ht="15.75" hidden="false" customHeight="false" outlineLevel="0" collapsed="false">
      <c r="A134" s="71"/>
      <c r="B134" s="71"/>
      <c r="C134" s="6"/>
      <c r="D134" s="49"/>
      <c r="E134" s="74" t="n">
        <f aca="false">IFERROR(__xludf.dummyfunction("COUNTA(SPLIT(D134,"" ""))/COUNTA(SPLIT($B$67,"" ""))"),1)</f>
        <v>1</v>
      </c>
      <c r="F134" s="6"/>
      <c r="G134" s="6"/>
      <c r="H134" s="6"/>
      <c r="I134" s="6"/>
      <c r="J134" s="6"/>
      <c r="K134" s="51"/>
      <c r="L134" s="51"/>
      <c r="M134" s="51"/>
      <c r="N134" s="51"/>
      <c r="O134" s="51"/>
      <c r="P134" s="51"/>
      <c r="Q134" s="51"/>
      <c r="R134" s="51"/>
      <c r="S134" s="51"/>
      <c r="T134" s="51"/>
      <c r="U134" s="51"/>
      <c r="V134" s="51"/>
      <c r="W134" s="51"/>
      <c r="X134" s="51"/>
      <c r="Y134" s="51"/>
      <c r="Z134" s="51"/>
      <c r="AA134" s="51"/>
      <c r="AB134" s="51"/>
    </row>
    <row r="135" customFormat="false" ht="15.75" hidden="false" customHeight="false" outlineLevel="0" collapsed="false">
      <c r="A135" s="71"/>
      <c r="B135" s="71"/>
      <c r="C135" s="6"/>
      <c r="D135" s="49"/>
      <c r="E135" s="75" t="n">
        <f aca="false">IFERROR(__xludf.dummyfunction("COUNTA(SPLIT(D135,"" ""))/COUNTA(SPLIT($B$67,"" ""))"),1)</f>
        <v>1</v>
      </c>
      <c r="F135" s="6"/>
      <c r="G135" s="6"/>
      <c r="H135" s="6"/>
      <c r="I135" s="6"/>
      <c r="J135" s="6"/>
      <c r="K135" s="51"/>
      <c r="L135" s="51"/>
      <c r="M135" s="51"/>
      <c r="N135" s="51"/>
      <c r="O135" s="51"/>
      <c r="P135" s="51"/>
      <c r="Q135" s="51"/>
      <c r="R135" s="51"/>
      <c r="S135" s="51"/>
      <c r="T135" s="51"/>
      <c r="U135" s="51"/>
      <c r="V135" s="51"/>
      <c r="W135" s="51"/>
      <c r="X135" s="51"/>
      <c r="Y135" s="51"/>
      <c r="Z135" s="51"/>
      <c r="AA135" s="51"/>
      <c r="AB135" s="51"/>
    </row>
    <row r="136" customFormat="false" ht="15.75" hidden="false" customHeight="false" outlineLevel="0" collapsed="false">
      <c r="A136" s="51"/>
      <c r="B136" s="51"/>
      <c r="C136" s="6"/>
      <c r="D136" s="49"/>
      <c r="E136" s="51"/>
      <c r="F136" s="6"/>
      <c r="G136" s="6"/>
      <c r="H136" s="6"/>
      <c r="I136" s="6"/>
      <c r="J136" s="6"/>
      <c r="K136" s="51"/>
      <c r="L136" s="51"/>
      <c r="M136" s="51"/>
      <c r="N136" s="51"/>
      <c r="O136" s="51"/>
      <c r="P136" s="51"/>
      <c r="Q136" s="51"/>
      <c r="R136" s="51"/>
      <c r="S136" s="51"/>
      <c r="T136" s="51"/>
      <c r="U136" s="51"/>
      <c r="V136" s="51"/>
      <c r="W136" s="51"/>
      <c r="X136" s="51"/>
      <c r="Y136" s="51"/>
      <c r="Z136" s="51"/>
      <c r="AA136" s="51"/>
      <c r="AB136" s="51"/>
    </row>
    <row r="137" customFormat="false" ht="15.75" hidden="false" customHeight="false" outlineLevel="0" collapsed="false">
      <c r="A137" s="71"/>
      <c r="B137" s="55"/>
      <c r="C137" s="56" t="s">
        <v>16</v>
      </c>
      <c r="D137" s="57"/>
      <c r="E137" s="72" t="n">
        <f aca="false">IFERROR(__xludf.dummyfunction("COUNTA(SPLIT(D137,"" ""))/COUNTA(SPLIT($B$67,"" ""))"),1)</f>
        <v>1</v>
      </c>
      <c r="F137" s="56"/>
      <c r="G137" s="56"/>
      <c r="H137" s="56"/>
      <c r="I137" s="56"/>
      <c r="J137" s="56"/>
      <c r="K137" s="59"/>
      <c r="L137" s="59"/>
      <c r="M137" s="59"/>
      <c r="N137" s="59"/>
      <c r="O137" s="59"/>
      <c r="P137" s="59"/>
      <c r="Q137" s="59"/>
      <c r="R137" s="59"/>
      <c r="S137" s="59"/>
      <c r="T137" s="59"/>
      <c r="U137" s="59"/>
      <c r="V137" s="59"/>
      <c r="W137" s="59"/>
      <c r="X137" s="59"/>
      <c r="Y137" s="59"/>
      <c r="Z137" s="59"/>
      <c r="AA137" s="59"/>
      <c r="AB137" s="59"/>
    </row>
    <row r="138" customFormat="false" ht="15.75" hidden="false" customHeight="false" outlineLevel="0" collapsed="false">
      <c r="A138" s="71"/>
      <c r="B138" s="71"/>
      <c r="C138" s="6"/>
      <c r="D138" s="49"/>
      <c r="E138" s="73" t="n">
        <f aca="false">IFERROR(__xludf.dummyfunction("COUNTA(SPLIT(D138,"" ""))/COUNTA(SPLIT($B$67,"" ""))"),1)</f>
        <v>1</v>
      </c>
      <c r="F138" s="6"/>
      <c r="G138" s="6"/>
      <c r="H138" s="6"/>
      <c r="I138" s="6"/>
      <c r="J138" s="6"/>
      <c r="K138" s="51"/>
      <c r="L138" s="51"/>
      <c r="M138" s="51"/>
      <c r="N138" s="51"/>
      <c r="O138" s="51"/>
      <c r="P138" s="51"/>
      <c r="Q138" s="51"/>
      <c r="R138" s="51"/>
      <c r="S138" s="51"/>
      <c r="T138" s="51"/>
      <c r="U138" s="51"/>
      <c r="V138" s="51"/>
      <c r="W138" s="51"/>
      <c r="X138" s="51"/>
      <c r="Y138" s="51"/>
      <c r="Z138" s="51"/>
      <c r="AA138" s="51"/>
      <c r="AB138" s="51"/>
    </row>
    <row r="139" customFormat="false" ht="15.75" hidden="false" customHeight="false" outlineLevel="0" collapsed="false">
      <c r="A139" s="71"/>
      <c r="B139" s="71"/>
      <c r="C139" s="6"/>
      <c r="D139" s="49"/>
      <c r="E139" s="74" t="n">
        <f aca="false">IFERROR(__xludf.dummyfunction("COUNTA(SPLIT(D139,"" ""))/COUNTA(SPLIT($B$67,"" ""))"),1)</f>
        <v>1</v>
      </c>
      <c r="F139" s="6"/>
      <c r="G139" s="6"/>
      <c r="H139" s="6"/>
      <c r="I139" s="6"/>
      <c r="J139" s="6"/>
      <c r="K139" s="51"/>
      <c r="L139" s="51"/>
      <c r="M139" s="51"/>
      <c r="N139" s="51"/>
      <c r="O139" s="51"/>
      <c r="P139" s="51"/>
      <c r="Q139" s="51"/>
      <c r="R139" s="51"/>
      <c r="S139" s="51"/>
      <c r="T139" s="51"/>
      <c r="U139" s="51"/>
      <c r="V139" s="51"/>
      <c r="W139" s="51"/>
      <c r="X139" s="51"/>
      <c r="Y139" s="51"/>
      <c r="Z139" s="51"/>
      <c r="AA139" s="51"/>
      <c r="AB139" s="51"/>
    </row>
    <row r="140" customFormat="false" ht="15.75" hidden="false" customHeight="false" outlineLevel="0" collapsed="false">
      <c r="A140" s="71"/>
      <c r="B140" s="71"/>
      <c r="C140" s="6"/>
      <c r="D140" s="49"/>
      <c r="E140" s="75" t="n">
        <f aca="false">IFERROR(__xludf.dummyfunction("COUNTA(SPLIT(D140,"" ""))/COUNTA(SPLIT($B$67,"" ""))"),1)</f>
        <v>1</v>
      </c>
      <c r="F140" s="6"/>
      <c r="G140" s="6"/>
      <c r="H140" s="6"/>
      <c r="I140" s="6"/>
      <c r="J140" s="6"/>
      <c r="K140" s="51"/>
      <c r="L140" s="51"/>
      <c r="M140" s="51"/>
      <c r="N140" s="51"/>
      <c r="O140" s="51"/>
      <c r="P140" s="51"/>
      <c r="Q140" s="51"/>
      <c r="R140" s="51"/>
      <c r="S140" s="51"/>
      <c r="T140" s="51"/>
      <c r="U140" s="51"/>
      <c r="V140" s="51"/>
      <c r="W140" s="51"/>
      <c r="X140" s="51"/>
      <c r="Y140" s="51"/>
      <c r="Z140" s="51"/>
      <c r="AA140" s="51"/>
      <c r="AB140" s="51"/>
    </row>
    <row r="141" customFormat="false" ht="15.75" hidden="false" customHeight="false" outlineLevel="0" collapsed="false">
      <c r="A141" s="51"/>
      <c r="B141" s="51"/>
      <c r="C141" s="6"/>
      <c r="D141" s="49"/>
      <c r="E141" s="51"/>
      <c r="F141" s="6"/>
      <c r="G141" s="6"/>
      <c r="H141" s="6"/>
      <c r="I141" s="6"/>
      <c r="J141" s="6"/>
      <c r="K141" s="51"/>
      <c r="L141" s="51"/>
      <c r="M141" s="51"/>
      <c r="N141" s="51"/>
      <c r="O141" s="51"/>
      <c r="P141" s="51"/>
      <c r="Q141" s="51"/>
      <c r="R141" s="51"/>
      <c r="S141" s="51"/>
      <c r="T141" s="51"/>
      <c r="U141" s="51"/>
      <c r="V141" s="51"/>
      <c r="W141" s="51"/>
      <c r="X141" s="51"/>
      <c r="Y141" s="51"/>
      <c r="Z141" s="51"/>
      <c r="AA141" s="51"/>
      <c r="AB141" s="51"/>
    </row>
    <row r="142" customFormat="false" ht="15.75" hidden="false" customHeight="false" outlineLevel="0" collapsed="false">
      <c r="A142" s="71"/>
      <c r="B142" s="55"/>
      <c r="C142" s="56" t="s">
        <v>16</v>
      </c>
      <c r="D142" s="57"/>
      <c r="E142" s="72" t="n">
        <f aca="false">IFERROR(__xludf.dummyfunction("COUNTA(SPLIT(D142,"" ""))/COUNTA(SPLIT($B$67,"" ""))"),1)</f>
        <v>1</v>
      </c>
      <c r="F142" s="56"/>
      <c r="G142" s="56"/>
      <c r="H142" s="56"/>
      <c r="I142" s="56"/>
      <c r="J142" s="56"/>
      <c r="K142" s="59"/>
      <c r="L142" s="59"/>
      <c r="M142" s="59"/>
      <c r="N142" s="59"/>
      <c r="O142" s="59"/>
      <c r="P142" s="59"/>
      <c r="Q142" s="59"/>
      <c r="R142" s="59"/>
      <c r="S142" s="59"/>
      <c r="T142" s="59"/>
      <c r="U142" s="59"/>
      <c r="V142" s="59"/>
      <c r="W142" s="59"/>
      <c r="X142" s="59"/>
      <c r="Y142" s="59"/>
      <c r="Z142" s="59"/>
      <c r="AA142" s="59"/>
      <c r="AB142" s="59"/>
    </row>
    <row r="143" customFormat="false" ht="15.75" hidden="false" customHeight="false" outlineLevel="0" collapsed="false">
      <c r="A143" s="71"/>
      <c r="B143" s="71"/>
      <c r="C143" s="6"/>
      <c r="D143" s="49"/>
      <c r="E143" s="73" t="n">
        <f aca="false">IFERROR(__xludf.dummyfunction("COUNTA(SPLIT(D143,"" ""))/COUNTA(SPLIT($B$67,"" ""))"),1)</f>
        <v>1</v>
      </c>
      <c r="F143" s="6"/>
      <c r="G143" s="6"/>
      <c r="H143" s="6"/>
      <c r="I143" s="6"/>
      <c r="J143" s="6"/>
      <c r="K143" s="51"/>
      <c r="L143" s="51"/>
      <c r="M143" s="51"/>
      <c r="N143" s="51"/>
      <c r="O143" s="51"/>
      <c r="P143" s="51"/>
      <c r="Q143" s="51"/>
      <c r="R143" s="51"/>
      <c r="S143" s="51"/>
      <c r="T143" s="51"/>
      <c r="U143" s="51"/>
      <c r="V143" s="51"/>
      <c r="W143" s="51"/>
      <c r="X143" s="51"/>
      <c r="Y143" s="51"/>
      <c r="Z143" s="51"/>
      <c r="AA143" s="51"/>
      <c r="AB143" s="51"/>
    </row>
    <row r="144" customFormat="false" ht="15.75" hidden="false" customHeight="false" outlineLevel="0" collapsed="false">
      <c r="A144" s="71"/>
      <c r="B144" s="71"/>
      <c r="C144" s="6"/>
      <c r="D144" s="49"/>
      <c r="E144" s="74" t="n">
        <f aca="false">IFERROR(__xludf.dummyfunction("COUNTA(SPLIT(D144,"" ""))/COUNTA(SPLIT($B$67,"" ""))"),1)</f>
        <v>1</v>
      </c>
      <c r="F144" s="6"/>
      <c r="G144" s="6"/>
      <c r="H144" s="6"/>
      <c r="I144" s="6"/>
      <c r="J144" s="6"/>
      <c r="K144" s="51"/>
      <c r="L144" s="51"/>
      <c r="M144" s="51"/>
      <c r="N144" s="51"/>
      <c r="O144" s="51"/>
      <c r="P144" s="51"/>
      <c r="Q144" s="51"/>
      <c r="R144" s="51"/>
      <c r="S144" s="51"/>
      <c r="T144" s="51"/>
      <c r="U144" s="51"/>
      <c r="V144" s="51"/>
      <c r="W144" s="51"/>
      <c r="X144" s="51"/>
      <c r="Y144" s="51"/>
      <c r="Z144" s="51"/>
      <c r="AA144" s="51"/>
      <c r="AB144" s="51"/>
    </row>
    <row r="145" customFormat="false" ht="15.75" hidden="false" customHeight="false" outlineLevel="0" collapsed="false">
      <c r="A145" s="71"/>
      <c r="B145" s="71"/>
      <c r="C145" s="6"/>
      <c r="D145" s="49"/>
      <c r="E145" s="75" t="n">
        <f aca="false">IFERROR(__xludf.dummyfunction("COUNTA(SPLIT(D145,"" ""))/COUNTA(SPLIT($B$67,"" ""))"),1)</f>
        <v>1</v>
      </c>
      <c r="F145" s="6"/>
      <c r="G145" s="6"/>
      <c r="H145" s="6"/>
      <c r="I145" s="6"/>
      <c r="J145" s="6"/>
      <c r="K145" s="51"/>
      <c r="L145" s="51"/>
      <c r="M145" s="51"/>
      <c r="N145" s="51"/>
      <c r="O145" s="51"/>
      <c r="P145" s="51"/>
      <c r="Q145" s="51"/>
      <c r="R145" s="51"/>
      <c r="S145" s="51"/>
      <c r="T145" s="51"/>
      <c r="U145" s="51"/>
      <c r="V145" s="51"/>
      <c r="W145" s="51"/>
      <c r="X145" s="51"/>
      <c r="Y145" s="51"/>
      <c r="Z145" s="51"/>
      <c r="AA145" s="51"/>
      <c r="AB145" s="51"/>
    </row>
    <row r="146" customFormat="false" ht="15.75" hidden="false" customHeight="false" outlineLevel="0" collapsed="false">
      <c r="A146" s="51"/>
      <c r="B146" s="51"/>
      <c r="C146" s="6"/>
      <c r="D146" s="49"/>
      <c r="E146" s="51"/>
      <c r="F146" s="6"/>
      <c r="G146" s="6"/>
      <c r="H146" s="6"/>
      <c r="I146" s="6"/>
      <c r="J146" s="6"/>
      <c r="K146" s="51"/>
      <c r="L146" s="51"/>
      <c r="M146" s="51"/>
      <c r="N146" s="51"/>
      <c r="O146" s="51"/>
      <c r="P146" s="51"/>
      <c r="Q146" s="51"/>
      <c r="R146" s="51"/>
      <c r="S146" s="51"/>
      <c r="T146" s="51"/>
      <c r="U146" s="51"/>
      <c r="V146" s="51"/>
      <c r="W146" s="51"/>
      <c r="X146" s="51"/>
      <c r="Y146" s="51"/>
      <c r="Z146" s="51"/>
      <c r="AA146" s="51"/>
      <c r="AB146" s="51"/>
    </row>
    <row r="147" customFormat="false" ht="15.75" hidden="false" customHeight="false" outlineLevel="0" collapsed="false">
      <c r="A147" s="71"/>
      <c r="B147" s="55"/>
      <c r="C147" s="56" t="s">
        <v>16</v>
      </c>
      <c r="D147" s="57"/>
      <c r="E147" s="72" t="n">
        <f aca="false">IFERROR(__xludf.dummyfunction("COUNTA(SPLIT(D147,"" ""))/COUNTA(SPLIT($B$67,"" ""))"),1)</f>
        <v>1</v>
      </c>
      <c r="F147" s="56"/>
      <c r="G147" s="56"/>
      <c r="H147" s="56"/>
      <c r="I147" s="56"/>
      <c r="J147" s="56"/>
      <c r="K147" s="59"/>
      <c r="L147" s="59"/>
      <c r="M147" s="59"/>
      <c r="N147" s="59"/>
      <c r="O147" s="59"/>
      <c r="P147" s="59"/>
      <c r="Q147" s="59"/>
      <c r="R147" s="59"/>
      <c r="S147" s="59"/>
      <c r="T147" s="59"/>
      <c r="U147" s="59"/>
      <c r="V147" s="59"/>
      <c r="W147" s="59"/>
      <c r="X147" s="59"/>
      <c r="Y147" s="59"/>
      <c r="Z147" s="59"/>
      <c r="AA147" s="59"/>
      <c r="AB147" s="59"/>
    </row>
    <row r="148" customFormat="false" ht="15.75" hidden="false" customHeight="false" outlineLevel="0" collapsed="false">
      <c r="A148" s="71"/>
      <c r="B148" s="71"/>
      <c r="C148" s="6"/>
      <c r="D148" s="49"/>
      <c r="E148" s="73" t="n">
        <f aca="false">IFERROR(__xludf.dummyfunction("COUNTA(SPLIT(D148,"" ""))/COUNTA(SPLIT($B$67,"" ""))"),1)</f>
        <v>1</v>
      </c>
      <c r="F148" s="6"/>
      <c r="G148" s="6"/>
      <c r="H148" s="6"/>
      <c r="I148" s="6"/>
      <c r="J148" s="6"/>
      <c r="K148" s="51"/>
      <c r="L148" s="51"/>
      <c r="M148" s="51"/>
      <c r="N148" s="51"/>
      <c r="O148" s="51"/>
      <c r="P148" s="51"/>
      <c r="Q148" s="51"/>
      <c r="R148" s="51"/>
      <c r="S148" s="51"/>
      <c r="T148" s="51"/>
      <c r="U148" s="51"/>
      <c r="V148" s="51"/>
      <c r="W148" s="51"/>
      <c r="X148" s="51"/>
      <c r="Y148" s="51"/>
      <c r="Z148" s="51"/>
      <c r="AA148" s="51"/>
      <c r="AB148" s="51"/>
    </row>
    <row r="149" customFormat="false" ht="15.75" hidden="false" customHeight="false" outlineLevel="0" collapsed="false">
      <c r="A149" s="71"/>
      <c r="B149" s="71"/>
      <c r="C149" s="6"/>
      <c r="D149" s="49"/>
      <c r="E149" s="74" t="n">
        <f aca="false">IFERROR(__xludf.dummyfunction("COUNTA(SPLIT(D149,"" ""))/COUNTA(SPLIT($B$67,"" ""))"),1)</f>
        <v>1</v>
      </c>
      <c r="F149" s="6"/>
      <c r="G149" s="6"/>
      <c r="H149" s="6"/>
      <c r="I149" s="6"/>
      <c r="J149" s="6"/>
      <c r="K149" s="51"/>
      <c r="L149" s="51"/>
      <c r="M149" s="51"/>
      <c r="N149" s="51"/>
      <c r="O149" s="51"/>
      <c r="P149" s="51"/>
      <c r="Q149" s="51"/>
      <c r="R149" s="51"/>
      <c r="S149" s="51"/>
      <c r="T149" s="51"/>
      <c r="U149" s="51"/>
      <c r="V149" s="51"/>
      <c r="W149" s="51"/>
      <c r="X149" s="51"/>
      <c r="Y149" s="51"/>
      <c r="Z149" s="51"/>
      <c r="AA149" s="51"/>
      <c r="AB149" s="51"/>
    </row>
    <row r="150" customFormat="false" ht="15.75" hidden="false" customHeight="false" outlineLevel="0" collapsed="false">
      <c r="A150" s="71"/>
      <c r="B150" s="71"/>
      <c r="C150" s="6"/>
      <c r="D150" s="49"/>
      <c r="E150" s="75" t="n">
        <f aca="false">IFERROR(__xludf.dummyfunction("COUNTA(SPLIT(D150,"" ""))/COUNTA(SPLIT($B$67,"" ""))"),1)</f>
        <v>1</v>
      </c>
      <c r="F150" s="6"/>
      <c r="G150" s="6"/>
      <c r="H150" s="6"/>
      <c r="I150" s="6"/>
      <c r="J150" s="6"/>
      <c r="K150" s="51"/>
      <c r="L150" s="51"/>
      <c r="M150" s="51"/>
      <c r="N150" s="51"/>
      <c r="O150" s="51"/>
      <c r="P150" s="51"/>
      <c r="Q150" s="51"/>
      <c r="R150" s="51"/>
      <c r="S150" s="51"/>
      <c r="T150" s="51"/>
      <c r="U150" s="51"/>
      <c r="V150" s="51"/>
      <c r="W150" s="51"/>
      <c r="X150" s="51"/>
      <c r="Y150" s="51"/>
      <c r="Z150" s="51"/>
      <c r="AA150" s="51"/>
      <c r="AB150" s="51"/>
    </row>
    <row r="151" customFormat="false" ht="15.75" hidden="false" customHeight="false" outlineLevel="0" collapsed="false">
      <c r="A151" s="51"/>
      <c r="B151" s="51"/>
      <c r="C151" s="6"/>
      <c r="D151" s="49"/>
      <c r="E151" s="51"/>
      <c r="F151" s="6"/>
      <c r="G151" s="6"/>
      <c r="H151" s="6"/>
      <c r="I151" s="6"/>
      <c r="J151" s="6"/>
      <c r="K151" s="51"/>
      <c r="L151" s="51"/>
      <c r="M151" s="51"/>
      <c r="N151" s="51"/>
      <c r="O151" s="51"/>
      <c r="P151" s="51"/>
      <c r="Q151" s="51"/>
      <c r="R151" s="51"/>
      <c r="S151" s="51"/>
      <c r="T151" s="51"/>
      <c r="U151" s="51"/>
      <c r="V151" s="51"/>
      <c r="W151" s="51"/>
      <c r="X151" s="51"/>
      <c r="Y151" s="51"/>
      <c r="Z151" s="51"/>
      <c r="AA151" s="51"/>
      <c r="AB151" s="51"/>
    </row>
    <row r="152" customFormat="false" ht="15.75" hidden="false" customHeight="false" outlineLevel="0" collapsed="false">
      <c r="A152" s="71"/>
      <c r="B152" s="55"/>
      <c r="C152" s="56" t="s">
        <v>16</v>
      </c>
      <c r="D152" s="57"/>
      <c r="E152" s="72" t="n">
        <f aca="false">IFERROR(__xludf.dummyfunction("COUNTA(SPLIT(D152,"" ""))/COUNTA(SPLIT($B$67,"" ""))"),1)</f>
        <v>1</v>
      </c>
      <c r="F152" s="56"/>
      <c r="G152" s="56"/>
      <c r="H152" s="56"/>
      <c r="I152" s="56"/>
      <c r="J152" s="56"/>
      <c r="K152" s="59"/>
      <c r="L152" s="59"/>
      <c r="M152" s="59"/>
      <c r="N152" s="59"/>
      <c r="O152" s="59"/>
      <c r="P152" s="59"/>
      <c r="Q152" s="59"/>
      <c r="R152" s="59"/>
      <c r="S152" s="59"/>
      <c r="T152" s="59"/>
      <c r="U152" s="59"/>
      <c r="V152" s="59"/>
      <c r="W152" s="59"/>
      <c r="X152" s="59"/>
      <c r="Y152" s="59"/>
      <c r="Z152" s="59"/>
      <c r="AA152" s="59"/>
      <c r="AB152" s="59"/>
    </row>
    <row r="153" customFormat="false" ht="15.75" hidden="false" customHeight="false" outlineLevel="0" collapsed="false">
      <c r="A153" s="71"/>
      <c r="B153" s="71"/>
      <c r="C153" s="6"/>
      <c r="D153" s="49"/>
      <c r="E153" s="73" t="n">
        <f aca="false">IFERROR(__xludf.dummyfunction("COUNTA(SPLIT(D153,"" ""))/COUNTA(SPLIT($B$67,"" ""))"),1)</f>
        <v>1</v>
      </c>
      <c r="F153" s="6"/>
      <c r="G153" s="6"/>
      <c r="H153" s="6"/>
      <c r="I153" s="6"/>
      <c r="J153" s="6"/>
      <c r="K153" s="51"/>
      <c r="L153" s="51"/>
      <c r="M153" s="51"/>
      <c r="N153" s="51"/>
      <c r="O153" s="51"/>
      <c r="P153" s="51"/>
      <c r="Q153" s="51"/>
      <c r="R153" s="51"/>
      <c r="S153" s="51"/>
      <c r="T153" s="51"/>
      <c r="U153" s="51"/>
      <c r="V153" s="51"/>
      <c r="W153" s="51"/>
      <c r="X153" s="51"/>
      <c r="Y153" s="51"/>
      <c r="Z153" s="51"/>
      <c r="AA153" s="51"/>
      <c r="AB153" s="51"/>
    </row>
    <row r="154" customFormat="false" ht="15.75" hidden="false" customHeight="false" outlineLevel="0" collapsed="false">
      <c r="A154" s="71"/>
      <c r="B154" s="71"/>
      <c r="C154" s="6"/>
      <c r="D154" s="49"/>
      <c r="E154" s="74" t="n">
        <f aca="false">IFERROR(__xludf.dummyfunction("COUNTA(SPLIT(D154,"" ""))/COUNTA(SPLIT($B$67,"" ""))"),1)</f>
        <v>1</v>
      </c>
      <c r="F154" s="6"/>
      <c r="G154" s="6"/>
      <c r="H154" s="6"/>
      <c r="I154" s="6"/>
      <c r="J154" s="6"/>
      <c r="K154" s="51"/>
      <c r="L154" s="51"/>
      <c r="M154" s="51"/>
      <c r="N154" s="51"/>
      <c r="O154" s="51"/>
      <c r="P154" s="51"/>
      <c r="Q154" s="51"/>
      <c r="R154" s="51"/>
      <c r="S154" s="51"/>
      <c r="T154" s="51"/>
      <c r="U154" s="51"/>
      <c r="V154" s="51"/>
      <c r="W154" s="51"/>
      <c r="X154" s="51"/>
      <c r="Y154" s="51"/>
      <c r="Z154" s="51"/>
      <c r="AA154" s="51"/>
      <c r="AB154" s="51"/>
    </row>
    <row r="155" customFormat="false" ht="15.75" hidden="false" customHeight="false" outlineLevel="0" collapsed="false">
      <c r="A155" s="71"/>
      <c r="B155" s="71"/>
      <c r="C155" s="6"/>
      <c r="D155" s="49"/>
      <c r="E155" s="75" t="n">
        <f aca="false">IFERROR(__xludf.dummyfunction("COUNTA(SPLIT(D155,"" ""))/COUNTA(SPLIT($B$67,"" ""))"),1)</f>
        <v>1</v>
      </c>
      <c r="F155" s="6"/>
      <c r="G155" s="6"/>
      <c r="H155" s="6"/>
      <c r="I155" s="6"/>
      <c r="J155" s="6"/>
      <c r="K155" s="51"/>
      <c r="L155" s="51"/>
      <c r="M155" s="51"/>
      <c r="N155" s="51"/>
      <c r="O155" s="51"/>
      <c r="P155" s="51"/>
      <c r="Q155" s="51"/>
      <c r="R155" s="51"/>
      <c r="S155" s="51"/>
      <c r="T155" s="51"/>
      <c r="U155" s="51"/>
      <c r="V155" s="51"/>
      <c r="W155" s="51"/>
      <c r="X155" s="51"/>
      <c r="Y155" s="51"/>
      <c r="Z155" s="51"/>
      <c r="AA155" s="51"/>
      <c r="AB155" s="51"/>
    </row>
    <row r="156" customFormat="false" ht="15.75" hidden="false" customHeight="false" outlineLevel="0" collapsed="false">
      <c r="A156" s="51"/>
      <c r="B156" s="51"/>
      <c r="C156" s="6"/>
      <c r="D156" s="49"/>
      <c r="E156" s="51"/>
      <c r="F156" s="6"/>
      <c r="G156" s="6"/>
      <c r="H156" s="6"/>
      <c r="I156" s="6"/>
      <c r="J156" s="6"/>
      <c r="K156" s="51"/>
      <c r="L156" s="51"/>
      <c r="M156" s="51"/>
      <c r="N156" s="51"/>
      <c r="O156" s="51"/>
      <c r="P156" s="51"/>
      <c r="Q156" s="51"/>
      <c r="R156" s="51"/>
      <c r="S156" s="51"/>
      <c r="T156" s="51"/>
      <c r="U156" s="51"/>
      <c r="V156" s="51"/>
      <c r="W156" s="51"/>
      <c r="X156" s="51"/>
      <c r="Y156" s="51"/>
      <c r="Z156" s="51"/>
      <c r="AA156" s="51"/>
      <c r="AB156" s="51"/>
    </row>
    <row r="157" customFormat="false" ht="15.75" hidden="false" customHeight="false" outlineLevel="0" collapsed="false">
      <c r="A157" s="71"/>
      <c r="B157" s="55"/>
      <c r="C157" s="56" t="s">
        <v>16</v>
      </c>
      <c r="D157" s="57"/>
      <c r="E157" s="72" t="n">
        <f aca="false">IFERROR(__xludf.dummyfunction("COUNTA(SPLIT(D157,"" ""))/COUNTA(SPLIT($B$67,"" ""))"),1)</f>
        <v>1</v>
      </c>
      <c r="F157" s="56"/>
      <c r="G157" s="56"/>
      <c r="H157" s="56"/>
      <c r="I157" s="56"/>
      <c r="J157" s="56"/>
      <c r="K157" s="59"/>
      <c r="L157" s="59"/>
      <c r="M157" s="59"/>
      <c r="N157" s="59"/>
      <c r="O157" s="59"/>
      <c r="P157" s="59"/>
      <c r="Q157" s="59"/>
      <c r="R157" s="59"/>
      <c r="S157" s="59"/>
      <c r="T157" s="59"/>
      <c r="U157" s="59"/>
      <c r="V157" s="59"/>
      <c r="W157" s="59"/>
      <c r="X157" s="59"/>
      <c r="Y157" s="59"/>
      <c r="Z157" s="59"/>
      <c r="AA157" s="59"/>
      <c r="AB157" s="59"/>
    </row>
    <row r="158" customFormat="false" ht="15.75" hidden="false" customHeight="false" outlineLevel="0" collapsed="false">
      <c r="A158" s="71"/>
      <c r="B158" s="71"/>
      <c r="C158" s="6"/>
      <c r="D158" s="49"/>
      <c r="E158" s="73" t="n">
        <f aca="false">IFERROR(__xludf.dummyfunction("COUNTA(SPLIT(D158,"" ""))/COUNTA(SPLIT($B$67,"" ""))"),1)</f>
        <v>1</v>
      </c>
      <c r="F158" s="6"/>
      <c r="G158" s="6"/>
      <c r="H158" s="6"/>
      <c r="I158" s="6"/>
      <c r="J158" s="6"/>
      <c r="K158" s="51"/>
      <c r="L158" s="51"/>
      <c r="M158" s="51"/>
      <c r="N158" s="51"/>
      <c r="O158" s="51"/>
      <c r="P158" s="51"/>
      <c r="Q158" s="51"/>
      <c r="R158" s="51"/>
      <c r="S158" s="51"/>
      <c r="T158" s="51"/>
      <c r="U158" s="51"/>
      <c r="V158" s="51"/>
      <c r="W158" s="51"/>
      <c r="X158" s="51"/>
      <c r="Y158" s="51"/>
      <c r="Z158" s="51"/>
      <c r="AA158" s="51"/>
      <c r="AB158" s="51"/>
    </row>
    <row r="159" customFormat="false" ht="15.75" hidden="false" customHeight="false" outlineLevel="0" collapsed="false">
      <c r="A159" s="71"/>
      <c r="B159" s="71"/>
      <c r="C159" s="6"/>
      <c r="D159" s="49"/>
      <c r="E159" s="74" t="n">
        <f aca="false">IFERROR(__xludf.dummyfunction("COUNTA(SPLIT(D159,"" ""))/COUNTA(SPLIT($B$67,"" ""))"),1)</f>
        <v>1</v>
      </c>
      <c r="F159" s="6"/>
      <c r="G159" s="6"/>
      <c r="H159" s="6"/>
      <c r="I159" s="6"/>
      <c r="J159" s="6"/>
      <c r="K159" s="51"/>
      <c r="L159" s="51"/>
      <c r="M159" s="51"/>
      <c r="N159" s="51"/>
      <c r="O159" s="51"/>
      <c r="P159" s="51"/>
      <c r="Q159" s="51"/>
      <c r="R159" s="51"/>
      <c r="S159" s="51"/>
      <c r="T159" s="51"/>
      <c r="U159" s="51"/>
      <c r="V159" s="51"/>
      <c r="W159" s="51"/>
      <c r="X159" s="51"/>
      <c r="Y159" s="51"/>
      <c r="Z159" s="51"/>
      <c r="AA159" s="51"/>
      <c r="AB159" s="51"/>
    </row>
    <row r="160" customFormat="false" ht="15.75" hidden="false" customHeight="false" outlineLevel="0" collapsed="false">
      <c r="A160" s="71"/>
      <c r="B160" s="71"/>
      <c r="C160" s="6"/>
      <c r="D160" s="49"/>
      <c r="E160" s="75" t="n">
        <f aca="false">IFERROR(__xludf.dummyfunction("COUNTA(SPLIT(D160,"" ""))/COUNTA(SPLIT($B$67,"" ""))"),1)</f>
        <v>1</v>
      </c>
      <c r="F160" s="6"/>
      <c r="G160" s="6"/>
      <c r="H160" s="6"/>
      <c r="I160" s="6"/>
      <c r="J160" s="6"/>
      <c r="K160" s="51"/>
      <c r="L160" s="51"/>
      <c r="M160" s="51"/>
      <c r="N160" s="51"/>
      <c r="O160" s="51"/>
      <c r="P160" s="51"/>
      <c r="Q160" s="51"/>
      <c r="R160" s="51"/>
      <c r="S160" s="51"/>
      <c r="T160" s="51"/>
      <c r="U160" s="51"/>
      <c r="V160" s="51"/>
      <c r="W160" s="51"/>
      <c r="X160" s="51"/>
      <c r="Y160" s="51"/>
      <c r="Z160" s="51"/>
      <c r="AA160" s="51"/>
      <c r="AB160" s="51"/>
    </row>
    <row r="161" customFormat="false" ht="15.75" hidden="false" customHeight="false" outlineLevel="0" collapsed="false">
      <c r="A161" s="51"/>
      <c r="B161" s="51"/>
      <c r="C161" s="6"/>
      <c r="D161" s="49"/>
      <c r="E161" s="51"/>
      <c r="F161" s="6"/>
      <c r="G161" s="6"/>
      <c r="H161" s="6"/>
      <c r="I161" s="6"/>
      <c r="J161" s="6"/>
      <c r="K161" s="51"/>
      <c r="L161" s="51"/>
      <c r="M161" s="51"/>
      <c r="N161" s="51"/>
      <c r="O161" s="51"/>
      <c r="P161" s="51"/>
      <c r="Q161" s="51"/>
      <c r="R161" s="51"/>
      <c r="S161" s="51"/>
      <c r="T161" s="51"/>
      <c r="U161" s="51"/>
      <c r="V161" s="51"/>
      <c r="W161" s="51"/>
      <c r="X161" s="51"/>
      <c r="Y161" s="51"/>
      <c r="Z161" s="51"/>
      <c r="AA161" s="51"/>
      <c r="AB161" s="51"/>
    </row>
    <row r="162" customFormat="false" ht="15.75" hidden="false" customHeight="false" outlineLevel="0" collapsed="false">
      <c r="A162" s="71"/>
      <c r="B162" s="55"/>
      <c r="C162" s="56" t="s">
        <v>16</v>
      </c>
      <c r="D162" s="57"/>
      <c r="E162" s="72" t="n">
        <f aca="false">IFERROR(__xludf.dummyfunction("COUNTA(SPLIT(D162,"" ""))/COUNTA(SPLIT($B$67,"" ""))"),1)</f>
        <v>1</v>
      </c>
      <c r="F162" s="56"/>
      <c r="G162" s="56"/>
      <c r="H162" s="56"/>
      <c r="I162" s="56"/>
      <c r="J162" s="56"/>
      <c r="K162" s="59"/>
      <c r="L162" s="59"/>
      <c r="M162" s="59"/>
      <c r="N162" s="59"/>
      <c r="O162" s="59"/>
      <c r="P162" s="59"/>
      <c r="Q162" s="59"/>
      <c r="R162" s="59"/>
      <c r="S162" s="59"/>
      <c r="T162" s="59"/>
      <c r="U162" s="59"/>
      <c r="V162" s="59"/>
      <c r="W162" s="59"/>
      <c r="X162" s="59"/>
      <c r="Y162" s="59"/>
      <c r="Z162" s="59"/>
      <c r="AA162" s="59"/>
      <c r="AB162" s="59"/>
    </row>
    <row r="163" customFormat="false" ht="15.75" hidden="false" customHeight="false" outlineLevel="0" collapsed="false">
      <c r="A163" s="71"/>
      <c r="B163" s="71"/>
      <c r="C163" s="6"/>
      <c r="D163" s="49"/>
      <c r="E163" s="73" t="n">
        <f aca="false">IFERROR(__xludf.dummyfunction("COUNTA(SPLIT(D163,"" ""))/COUNTA(SPLIT($B$67,"" ""))"),1)</f>
        <v>1</v>
      </c>
      <c r="F163" s="6"/>
      <c r="G163" s="6"/>
      <c r="H163" s="6"/>
      <c r="I163" s="6"/>
      <c r="J163" s="6"/>
      <c r="K163" s="51"/>
      <c r="L163" s="51"/>
      <c r="M163" s="51"/>
      <c r="N163" s="51"/>
      <c r="O163" s="51"/>
      <c r="P163" s="51"/>
      <c r="Q163" s="51"/>
      <c r="R163" s="51"/>
      <c r="S163" s="51"/>
      <c r="T163" s="51"/>
      <c r="U163" s="51"/>
      <c r="V163" s="51"/>
      <c r="W163" s="51"/>
      <c r="X163" s="51"/>
      <c r="Y163" s="51"/>
      <c r="Z163" s="51"/>
      <c r="AA163" s="51"/>
      <c r="AB163" s="51"/>
    </row>
    <row r="164" customFormat="false" ht="15.75" hidden="false" customHeight="false" outlineLevel="0" collapsed="false">
      <c r="A164" s="71"/>
      <c r="B164" s="71"/>
      <c r="C164" s="6"/>
      <c r="D164" s="49"/>
      <c r="E164" s="74" t="n">
        <f aca="false">IFERROR(__xludf.dummyfunction("COUNTA(SPLIT(D164,"" ""))/COUNTA(SPLIT($B$67,"" ""))"),1)</f>
        <v>1</v>
      </c>
      <c r="F164" s="6"/>
      <c r="G164" s="6"/>
      <c r="H164" s="6"/>
      <c r="I164" s="6"/>
      <c r="J164" s="6"/>
      <c r="K164" s="51"/>
      <c r="L164" s="51"/>
      <c r="M164" s="51"/>
      <c r="N164" s="51"/>
      <c r="O164" s="51"/>
      <c r="P164" s="51"/>
      <c r="Q164" s="51"/>
      <c r="R164" s="51"/>
      <c r="S164" s="51"/>
      <c r="T164" s="51"/>
      <c r="U164" s="51"/>
      <c r="V164" s="51"/>
      <c r="W164" s="51"/>
      <c r="X164" s="51"/>
      <c r="Y164" s="51"/>
      <c r="Z164" s="51"/>
      <c r="AA164" s="51"/>
      <c r="AB164" s="51"/>
    </row>
    <row r="165" customFormat="false" ht="15.75" hidden="false" customHeight="false" outlineLevel="0" collapsed="false">
      <c r="A165" s="71"/>
      <c r="B165" s="71"/>
      <c r="C165" s="6"/>
      <c r="D165" s="49"/>
      <c r="E165" s="75" t="n">
        <f aca="false">IFERROR(__xludf.dummyfunction("COUNTA(SPLIT(D165,"" ""))/COUNTA(SPLIT($B$67,"" ""))"),1)</f>
        <v>1</v>
      </c>
      <c r="F165" s="6"/>
      <c r="G165" s="6"/>
      <c r="H165" s="6"/>
      <c r="I165" s="6"/>
      <c r="J165" s="6"/>
      <c r="K165" s="51"/>
      <c r="L165" s="51"/>
      <c r="M165" s="51"/>
      <c r="N165" s="51"/>
      <c r="O165" s="51"/>
      <c r="P165" s="51"/>
      <c r="Q165" s="51"/>
      <c r="R165" s="51"/>
      <c r="S165" s="51"/>
      <c r="T165" s="51"/>
      <c r="U165" s="51"/>
      <c r="V165" s="51"/>
      <c r="W165" s="51"/>
      <c r="X165" s="51"/>
      <c r="Y165" s="51"/>
      <c r="Z165" s="51"/>
      <c r="AA165" s="51"/>
      <c r="AB165" s="51"/>
    </row>
    <row r="166" customFormat="false" ht="15.75" hidden="false" customHeight="false" outlineLevel="0" collapsed="false">
      <c r="A166" s="51"/>
      <c r="B166" s="51"/>
      <c r="C166" s="6"/>
      <c r="D166" s="49"/>
      <c r="E166" s="51"/>
      <c r="F166" s="6"/>
      <c r="G166" s="6"/>
      <c r="H166" s="6"/>
      <c r="I166" s="6"/>
      <c r="J166" s="6"/>
      <c r="K166" s="51"/>
      <c r="L166" s="51"/>
      <c r="M166" s="51"/>
      <c r="N166" s="51"/>
      <c r="O166" s="51"/>
      <c r="P166" s="51"/>
      <c r="Q166" s="51"/>
      <c r="R166" s="51"/>
      <c r="S166" s="51"/>
      <c r="T166" s="51"/>
      <c r="U166" s="51"/>
      <c r="V166" s="51"/>
      <c r="W166" s="51"/>
      <c r="X166" s="51"/>
      <c r="Y166" s="51"/>
      <c r="Z166" s="51"/>
      <c r="AA166" s="51"/>
      <c r="AB166" s="51"/>
    </row>
    <row r="167" customFormat="false" ht="15.75" hidden="false" customHeight="false" outlineLevel="0" collapsed="false">
      <c r="A167" s="51"/>
      <c r="B167" s="51"/>
      <c r="C167" s="6"/>
      <c r="D167" s="49"/>
      <c r="E167" s="51"/>
      <c r="F167" s="6"/>
      <c r="G167" s="6"/>
      <c r="H167" s="6"/>
      <c r="I167" s="6"/>
      <c r="J167" s="6"/>
      <c r="K167" s="51"/>
      <c r="L167" s="51"/>
      <c r="M167" s="51"/>
      <c r="N167" s="51"/>
      <c r="O167" s="51"/>
      <c r="P167" s="51"/>
      <c r="Q167" s="51"/>
      <c r="R167" s="51"/>
      <c r="S167" s="51"/>
      <c r="T167" s="51"/>
      <c r="U167" s="51"/>
      <c r="V167" s="51"/>
      <c r="W167" s="51"/>
      <c r="X167" s="51"/>
      <c r="Y167" s="51"/>
      <c r="Z167" s="51"/>
      <c r="AA167" s="51"/>
      <c r="AB167" s="51"/>
    </row>
    <row r="168" customFormat="false" ht="15.75" hidden="false" customHeight="false" outlineLevel="0" collapsed="false">
      <c r="A168" s="51"/>
      <c r="B168" s="51"/>
      <c r="C168" s="6"/>
      <c r="D168" s="49"/>
      <c r="E168" s="51"/>
      <c r="F168" s="6"/>
      <c r="G168" s="6"/>
      <c r="H168" s="6"/>
      <c r="I168" s="6"/>
      <c r="J168" s="6"/>
      <c r="K168" s="51"/>
      <c r="L168" s="51"/>
      <c r="M168" s="51"/>
      <c r="N168" s="51"/>
      <c r="O168" s="51"/>
      <c r="P168" s="51"/>
      <c r="Q168" s="51"/>
      <c r="R168" s="51"/>
      <c r="S168" s="51"/>
      <c r="T168" s="51"/>
      <c r="U168" s="51"/>
      <c r="V168" s="51"/>
      <c r="W168" s="51"/>
      <c r="X168" s="51"/>
      <c r="Y168" s="51"/>
      <c r="Z168" s="51"/>
      <c r="AA168" s="51"/>
      <c r="AB168" s="51"/>
    </row>
    <row r="169" customFormat="false" ht="15.75" hidden="false" customHeight="false" outlineLevel="0" collapsed="false">
      <c r="A169" s="51"/>
      <c r="B169" s="51"/>
      <c r="C169" s="6"/>
      <c r="D169" s="49"/>
      <c r="E169" s="51"/>
      <c r="F169" s="6"/>
      <c r="G169" s="6"/>
      <c r="H169" s="6"/>
      <c r="I169" s="6"/>
      <c r="J169" s="6"/>
      <c r="K169" s="51"/>
      <c r="L169" s="51"/>
      <c r="M169" s="51"/>
      <c r="N169" s="51"/>
      <c r="O169" s="51"/>
      <c r="P169" s="51"/>
      <c r="Q169" s="51"/>
      <c r="R169" s="51"/>
      <c r="S169" s="51"/>
      <c r="T169" s="51"/>
      <c r="U169" s="51"/>
      <c r="V169" s="51"/>
      <c r="W169" s="51"/>
      <c r="X169" s="51"/>
      <c r="Y169" s="51"/>
      <c r="Z169" s="51"/>
      <c r="AA169" s="51"/>
      <c r="AB169" s="51"/>
    </row>
    <row r="170" customFormat="false" ht="15.75" hidden="false" customHeight="false" outlineLevel="0" collapsed="false">
      <c r="A170" s="51"/>
      <c r="B170" s="51"/>
      <c r="C170" s="6"/>
      <c r="D170" s="49"/>
      <c r="E170" s="51"/>
      <c r="F170" s="6"/>
      <c r="G170" s="6"/>
      <c r="H170" s="6"/>
      <c r="I170" s="6"/>
      <c r="J170" s="6"/>
      <c r="K170" s="51"/>
      <c r="L170" s="51"/>
      <c r="M170" s="51"/>
      <c r="N170" s="51"/>
      <c r="O170" s="51"/>
      <c r="P170" s="51"/>
      <c r="Q170" s="51"/>
      <c r="R170" s="51"/>
      <c r="S170" s="51"/>
      <c r="T170" s="51"/>
      <c r="U170" s="51"/>
      <c r="V170" s="51"/>
      <c r="W170" s="51"/>
      <c r="X170" s="51"/>
      <c r="Y170" s="51"/>
      <c r="Z170" s="51"/>
      <c r="AA170" s="51"/>
      <c r="AB170" s="51"/>
    </row>
    <row r="171" customFormat="false" ht="15.75" hidden="false" customHeight="false" outlineLevel="0" collapsed="false">
      <c r="A171" s="51"/>
      <c r="B171" s="51"/>
      <c r="C171" s="6"/>
      <c r="D171" s="49"/>
      <c r="E171" s="51"/>
      <c r="F171" s="6"/>
      <c r="G171" s="6"/>
      <c r="H171" s="6"/>
      <c r="I171" s="6"/>
      <c r="J171" s="6"/>
      <c r="K171" s="51"/>
      <c r="L171" s="51"/>
      <c r="M171" s="51"/>
      <c r="N171" s="51"/>
      <c r="O171" s="51"/>
      <c r="P171" s="51"/>
      <c r="Q171" s="51"/>
      <c r="R171" s="51"/>
      <c r="S171" s="51"/>
      <c r="T171" s="51"/>
      <c r="U171" s="51"/>
      <c r="V171" s="51"/>
      <c r="W171" s="51"/>
      <c r="X171" s="51"/>
      <c r="Y171" s="51"/>
      <c r="Z171" s="51"/>
      <c r="AA171" s="51"/>
      <c r="AB171" s="51"/>
    </row>
    <row r="172" customFormat="false" ht="15.75" hidden="false" customHeight="false" outlineLevel="0" collapsed="false">
      <c r="A172" s="51"/>
      <c r="B172" s="51"/>
      <c r="C172" s="6"/>
      <c r="D172" s="49"/>
      <c r="E172" s="51"/>
      <c r="F172" s="6"/>
      <c r="G172" s="6"/>
      <c r="H172" s="6"/>
      <c r="I172" s="6"/>
      <c r="J172" s="6"/>
      <c r="K172" s="51"/>
      <c r="L172" s="51"/>
      <c r="M172" s="51"/>
      <c r="N172" s="51"/>
      <c r="O172" s="51"/>
      <c r="P172" s="51"/>
      <c r="Q172" s="51"/>
      <c r="R172" s="51"/>
      <c r="S172" s="51"/>
      <c r="T172" s="51"/>
      <c r="U172" s="51"/>
      <c r="V172" s="51"/>
      <c r="W172" s="51"/>
      <c r="X172" s="51"/>
      <c r="Y172" s="51"/>
      <c r="Z172" s="51"/>
      <c r="AA172" s="51"/>
      <c r="AB172" s="51"/>
    </row>
    <row r="173" customFormat="false" ht="15.75" hidden="false" customHeight="false" outlineLevel="0" collapsed="false">
      <c r="A173" s="51"/>
      <c r="B173" s="51"/>
      <c r="C173" s="6"/>
      <c r="D173" s="49"/>
      <c r="E173" s="51"/>
      <c r="F173" s="6"/>
      <c r="G173" s="6"/>
      <c r="H173" s="6"/>
      <c r="I173" s="6"/>
      <c r="J173" s="6"/>
      <c r="K173" s="51"/>
      <c r="L173" s="51"/>
      <c r="M173" s="51"/>
      <c r="N173" s="51"/>
      <c r="O173" s="51"/>
      <c r="P173" s="51"/>
      <c r="Q173" s="51"/>
      <c r="R173" s="51"/>
      <c r="S173" s="51"/>
      <c r="T173" s="51"/>
      <c r="U173" s="51"/>
      <c r="V173" s="51"/>
      <c r="W173" s="51"/>
      <c r="X173" s="51"/>
      <c r="Y173" s="51"/>
      <c r="Z173" s="51"/>
      <c r="AA173" s="51"/>
      <c r="AB173" s="51"/>
    </row>
    <row r="174" customFormat="false" ht="15.75" hidden="false" customHeight="false" outlineLevel="0" collapsed="false">
      <c r="A174" s="51"/>
      <c r="B174" s="51"/>
      <c r="C174" s="6"/>
      <c r="D174" s="49"/>
      <c r="E174" s="51"/>
      <c r="F174" s="6"/>
      <c r="G174" s="6"/>
      <c r="H174" s="6"/>
      <c r="I174" s="6"/>
      <c r="J174" s="6"/>
      <c r="K174" s="51"/>
      <c r="L174" s="51"/>
      <c r="M174" s="51"/>
      <c r="N174" s="51"/>
      <c r="O174" s="51"/>
      <c r="P174" s="51"/>
      <c r="Q174" s="51"/>
      <c r="R174" s="51"/>
      <c r="S174" s="51"/>
      <c r="T174" s="51"/>
      <c r="U174" s="51"/>
      <c r="V174" s="51"/>
      <c r="W174" s="51"/>
      <c r="X174" s="51"/>
      <c r="Y174" s="51"/>
      <c r="Z174" s="51"/>
      <c r="AA174" s="51"/>
      <c r="AB174" s="51"/>
    </row>
    <row r="175" customFormat="false" ht="15.75" hidden="false" customHeight="false" outlineLevel="0" collapsed="false">
      <c r="A175" s="51"/>
      <c r="B175" s="51"/>
      <c r="C175" s="6"/>
      <c r="D175" s="49"/>
      <c r="E175" s="51"/>
      <c r="F175" s="6"/>
      <c r="G175" s="6"/>
      <c r="H175" s="6"/>
      <c r="I175" s="6"/>
      <c r="J175" s="6"/>
      <c r="K175" s="51"/>
      <c r="L175" s="51"/>
      <c r="M175" s="51"/>
      <c r="N175" s="51"/>
      <c r="O175" s="51"/>
      <c r="P175" s="51"/>
      <c r="Q175" s="51"/>
      <c r="R175" s="51"/>
      <c r="S175" s="51"/>
      <c r="T175" s="51"/>
      <c r="U175" s="51"/>
      <c r="V175" s="51"/>
      <c r="W175" s="51"/>
      <c r="X175" s="51"/>
      <c r="Y175" s="51"/>
      <c r="Z175" s="51"/>
      <c r="AA175" s="51"/>
      <c r="AB175" s="51"/>
    </row>
    <row r="176" customFormat="false" ht="15.75" hidden="false" customHeight="false" outlineLevel="0" collapsed="false">
      <c r="A176" s="51"/>
      <c r="B176" s="51"/>
      <c r="C176" s="6"/>
      <c r="D176" s="49"/>
      <c r="E176" s="51"/>
      <c r="F176" s="6"/>
      <c r="G176" s="6"/>
      <c r="H176" s="6"/>
      <c r="I176" s="6"/>
      <c r="J176" s="6"/>
      <c r="K176" s="51"/>
      <c r="L176" s="51"/>
      <c r="M176" s="51"/>
      <c r="N176" s="51"/>
      <c r="O176" s="51"/>
      <c r="P176" s="51"/>
      <c r="Q176" s="51"/>
      <c r="R176" s="51"/>
      <c r="S176" s="51"/>
      <c r="T176" s="51"/>
      <c r="U176" s="51"/>
      <c r="V176" s="51"/>
      <c r="W176" s="51"/>
      <c r="X176" s="51"/>
      <c r="Y176" s="51"/>
      <c r="Z176" s="51"/>
      <c r="AA176" s="51"/>
      <c r="AB176" s="51"/>
    </row>
    <row r="177" customFormat="false" ht="15.75" hidden="false" customHeight="false" outlineLevel="0" collapsed="false">
      <c r="A177" s="51"/>
      <c r="B177" s="51"/>
      <c r="C177" s="6"/>
      <c r="D177" s="49"/>
      <c r="E177" s="51"/>
      <c r="F177" s="6"/>
      <c r="G177" s="6"/>
      <c r="H177" s="6"/>
      <c r="I177" s="6"/>
      <c r="J177" s="6"/>
      <c r="K177" s="51"/>
      <c r="L177" s="51"/>
      <c r="M177" s="51"/>
      <c r="N177" s="51"/>
      <c r="O177" s="51"/>
      <c r="P177" s="51"/>
      <c r="Q177" s="51"/>
      <c r="R177" s="51"/>
      <c r="S177" s="51"/>
      <c r="T177" s="51"/>
      <c r="U177" s="51"/>
      <c r="V177" s="51"/>
      <c r="W177" s="51"/>
      <c r="X177" s="51"/>
      <c r="Y177" s="51"/>
      <c r="Z177" s="51"/>
      <c r="AA177" s="51"/>
      <c r="AB177" s="51"/>
    </row>
    <row r="178" customFormat="false" ht="15.75" hidden="false" customHeight="false" outlineLevel="0" collapsed="false">
      <c r="A178" s="51"/>
      <c r="B178" s="51"/>
      <c r="C178" s="6"/>
      <c r="D178" s="49"/>
      <c r="E178" s="51"/>
      <c r="F178" s="6"/>
      <c r="G178" s="6"/>
      <c r="H178" s="6"/>
      <c r="I178" s="6"/>
      <c r="J178" s="6"/>
      <c r="K178" s="51"/>
      <c r="L178" s="51"/>
      <c r="M178" s="51"/>
      <c r="N178" s="51"/>
      <c r="O178" s="51"/>
      <c r="P178" s="51"/>
      <c r="Q178" s="51"/>
      <c r="R178" s="51"/>
      <c r="S178" s="51"/>
      <c r="T178" s="51"/>
      <c r="U178" s="51"/>
      <c r="V178" s="51"/>
      <c r="W178" s="51"/>
      <c r="X178" s="51"/>
      <c r="Y178" s="51"/>
      <c r="Z178" s="51"/>
      <c r="AA178" s="51"/>
      <c r="AB178" s="51"/>
    </row>
    <row r="179" customFormat="false" ht="15.75" hidden="false" customHeight="false" outlineLevel="0" collapsed="false">
      <c r="A179" s="51"/>
      <c r="B179" s="51"/>
      <c r="C179" s="6"/>
      <c r="D179" s="49"/>
      <c r="E179" s="51"/>
      <c r="F179" s="6"/>
      <c r="G179" s="6"/>
      <c r="H179" s="6"/>
      <c r="I179" s="6"/>
      <c r="J179" s="6"/>
      <c r="K179" s="51"/>
      <c r="L179" s="51"/>
      <c r="M179" s="51"/>
      <c r="N179" s="51"/>
      <c r="O179" s="51"/>
      <c r="P179" s="51"/>
      <c r="Q179" s="51"/>
      <c r="R179" s="51"/>
      <c r="S179" s="51"/>
      <c r="T179" s="51"/>
      <c r="U179" s="51"/>
      <c r="V179" s="51"/>
      <c r="W179" s="51"/>
      <c r="X179" s="51"/>
      <c r="Y179" s="51"/>
      <c r="Z179" s="51"/>
      <c r="AA179" s="51"/>
      <c r="AB179" s="51"/>
    </row>
    <row r="180" customFormat="false" ht="15.75" hidden="false" customHeight="false" outlineLevel="0" collapsed="false">
      <c r="A180" s="51"/>
      <c r="B180" s="51"/>
      <c r="C180" s="6"/>
      <c r="D180" s="49"/>
      <c r="E180" s="51"/>
      <c r="F180" s="6"/>
      <c r="G180" s="6"/>
      <c r="H180" s="6"/>
      <c r="I180" s="6"/>
      <c r="J180" s="6"/>
      <c r="K180" s="51"/>
      <c r="L180" s="51"/>
      <c r="M180" s="51"/>
      <c r="N180" s="51"/>
      <c r="O180" s="51"/>
      <c r="P180" s="51"/>
      <c r="Q180" s="51"/>
      <c r="R180" s="51"/>
      <c r="S180" s="51"/>
      <c r="T180" s="51"/>
      <c r="U180" s="51"/>
      <c r="V180" s="51"/>
      <c r="W180" s="51"/>
      <c r="X180" s="51"/>
      <c r="Y180" s="51"/>
      <c r="Z180" s="51"/>
      <c r="AA180" s="51"/>
      <c r="AB180" s="51"/>
    </row>
    <row r="181" customFormat="false" ht="15.75" hidden="false" customHeight="false" outlineLevel="0" collapsed="false">
      <c r="A181" s="51"/>
      <c r="B181" s="51"/>
      <c r="C181" s="6"/>
      <c r="D181" s="49"/>
      <c r="E181" s="51"/>
      <c r="F181" s="6"/>
      <c r="G181" s="6"/>
      <c r="H181" s="6"/>
      <c r="I181" s="6"/>
      <c r="J181" s="6"/>
      <c r="K181" s="51"/>
      <c r="L181" s="51"/>
      <c r="M181" s="51"/>
      <c r="N181" s="51"/>
      <c r="O181" s="51"/>
      <c r="P181" s="51"/>
      <c r="Q181" s="51"/>
      <c r="R181" s="51"/>
      <c r="S181" s="51"/>
      <c r="T181" s="51"/>
      <c r="U181" s="51"/>
      <c r="V181" s="51"/>
      <c r="W181" s="51"/>
      <c r="X181" s="51"/>
      <c r="Y181" s="51"/>
      <c r="Z181" s="51"/>
      <c r="AA181" s="51"/>
      <c r="AB181" s="51"/>
    </row>
    <row r="182" customFormat="false" ht="15.75" hidden="false" customHeight="false" outlineLevel="0" collapsed="false">
      <c r="A182" s="51"/>
      <c r="B182" s="51"/>
      <c r="C182" s="6"/>
      <c r="D182" s="49"/>
      <c r="E182" s="51"/>
      <c r="F182" s="6"/>
      <c r="G182" s="6"/>
      <c r="H182" s="6"/>
      <c r="I182" s="6"/>
      <c r="J182" s="6"/>
      <c r="K182" s="51"/>
      <c r="L182" s="51"/>
      <c r="M182" s="51"/>
      <c r="N182" s="51"/>
      <c r="O182" s="51"/>
      <c r="P182" s="51"/>
      <c r="Q182" s="51"/>
      <c r="R182" s="51"/>
      <c r="S182" s="51"/>
      <c r="T182" s="51"/>
      <c r="U182" s="51"/>
      <c r="V182" s="51"/>
      <c r="W182" s="51"/>
      <c r="X182" s="51"/>
      <c r="Y182" s="51"/>
      <c r="Z182" s="51"/>
      <c r="AA182" s="51"/>
      <c r="AB182" s="51"/>
    </row>
    <row r="183" customFormat="false" ht="15.75" hidden="false" customHeight="false" outlineLevel="0" collapsed="false">
      <c r="A183" s="51"/>
      <c r="B183" s="51"/>
      <c r="C183" s="6"/>
      <c r="D183" s="49"/>
      <c r="E183" s="51"/>
      <c r="F183" s="6"/>
      <c r="G183" s="6"/>
      <c r="H183" s="6"/>
      <c r="I183" s="6"/>
      <c r="J183" s="6"/>
      <c r="K183" s="51"/>
      <c r="L183" s="51"/>
      <c r="M183" s="51"/>
      <c r="N183" s="51"/>
      <c r="O183" s="51"/>
      <c r="P183" s="51"/>
      <c r="Q183" s="51"/>
      <c r="R183" s="51"/>
      <c r="S183" s="51"/>
      <c r="T183" s="51"/>
      <c r="U183" s="51"/>
      <c r="V183" s="51"/>
      <c r="W183" s="51"/>
      <c r="X183" s="51"/>
      <c r="Y183" s="51"/>
      <c r="Z183" s="51"/>
      <c r="AA183" s="51"/>
      <c r="AB183" s="51"/>
    </row>
    <row r="184" customFormat="false" ht="15.75" hidden="false" customHeight="false" outlineLevel="0" collapsed="false">
      <c r="A184" s="51"/>
      <c r="B184" s="51"/>
      <c r="C184" s="6"/>
      <c r="D184" s="49"/>
      <c r="E184" s="51"/>
      <c r="F184" s="6"/>
      <c r="G184" s="6"/>
      <c r="H184" s="6"/>
      <c r="I184" s="6"/>
      <c r="J184" s="6"/>
      <c r="K184" s="51"/>
      <c r="L184" s="51"/>
      <c r="M184" s="51"/>
      <c r="N184" s="51"/>
      <c r="O184" s="51"/>
      <c r="P184" s="51"/>
      <c r="Q184" s="51"/>
      <c r="R184" s="51"/>
      <c r="S184" s="51"/>
      <c r="T184" s="51"/>
      <c r="U184" s="51"/>
      <c r="V184" s="51"/>
      <c r="W184" s="51"/>
      <c r="X184" s="51"/>
      <c r="Y184" s="51"/>
      <c r="Z184" s="51"/>
      <c r="AA184" s="51"/>
      <c r="AB184" s="51"/>
    </row>
    <row r="185" customFormat="false" ht="15.75" hidden="false" customHeight="false" outlineLevel="0" collapsed="false">
      <c r="A185" s="51"/>
      <c r="B185" s="51"/>
      <c r="C185" s="6"/>
      <c r="D185" s="49"/>
      <c r="E185" s="51"/>
      <c r="F185" s="6"/>
      <c r="G185" s="6"/>
      <c r="H185" s="6"/>
      <c r="I185" s="6"/>
      <c r="J185" s="6"/>
      <c r="K185" s="51"/>
      <c r="L185" s="51"/>
      <c r="M185" s="51"/>
      <c r="N185" s="51"/>
      <c r="O185" s="51"/>
      <c r="P185" s="51"/>
      <c r="Q185" s="51"/>
      <c r="R185" s="51"/>
      <c r="S185" s="51"/>
      <c r="T185" s="51"/>
      <c r="U185" s="51"/>
      <c r="V185" s="51"/>
      <c r="W185" s="51"/>
      <c r="X185" s="51"/>
      <c r="Y185" s="51"/>
      <c r="Z185" s="51"/>
      <c r="AA185" s="51"/>
      <c r="AB185" s="51"/>
    </row>
    <row r="186" customFormat="false" ht="15.75" hidden="false" customHeight="false" outlineLevel="0" collapsed="false">
      <c r="A186" s="51"/>
      <c r="B186" s="51"/>
      <c r="C186" s="6"/>
      <c r="D186" s="49"/>
      <c r="E186" s="51"/>
      <c r="F186" s="6"/>
      <c r="G186" s="6"/>
      <c r="H186" s="6"/>
      <c r="I186" s="6"/>
      <c r="J186" s="6"/>
      <c r="K186" s="51"/>
      <c r="L186" s="51"/>
      <c r="M186" s="51"/>
      <c r="N186" s="51"/>
      <c r="O186" s="51"/>
      <c r="P186" s="51"/>
      <c r="Q186" s="51"/>
      <c r="R186" s="51"/>
      <c r="S186" s="51"/>
      <c r="T186" s="51"/>
      <c r="U186" s="51"/>
      <c r="V186" s="51"/>
      <c r="W186" s="51"/>
      <c r="X186" s="51"/>
      <c r="Y186" s="51"/>
      <c r="Z186" s="51"/>
      <c r="AA186" s="51"/>
      <c r="AB186" s="51"/>
    </row>
    <row r="187" customFormat="false" ht="15.75" hidden="false" customHeight="false" outlineLevel="0" collapsed="false">
      <c r="A187" s="51"/>
      <c r="B187" s="51"/>
      <c r="C187" s="6"/>
      <c r="D187" s="49"/>
      <c r="E187" s="51"/>
      <c r="F187" s="6"/>
      <c r="G187" s="6"/>
      <c r="H187" s="6"/>
      <c r="I187" s="6"/>
      <c r="J187" s="6"/>
      <c r="K187" s="51"/>
      <c r="L187" s="51"/>
      <c r="M187" s="51"/>
      <c r="N187" s="51"/>
      <c r="O187" s="51"/>
      <c r="P187" s="51"/>
      <c r="Q187" s="51"/>
      <c r="R187" s="51"/>
      <c r="S187" s="51"/>
      <c r="T187" s="51"/>
      <c r="U187" s="51"/>
      <c r="V187" s="51"/>
      <c r="W187" s="51"/>
      <c r="X187" s="51"/>
      <c r="Y187" s="51"/>
      <c r="Z187" s="51"/>
      <c r="AA187" s="51"/>
      <c r="AB187" s="51"/>
    </row>
    <row r="188" customFormat="false" ht="15.75" hidden="false" customHeight="false" outlineLevel="0" collapsed="false">
      <c r="A188" s="51"/>
      <c r="B188" s="51"/>
      <c r="C188" s="6"/>
      <c r="D188" s="49"/>
      <c r="E188" s="51"/>
      <c r="F188" s="6"/>
      <c r="G188" s="6"/>
      <c r="H188" s="6"/>
      <c r="I188" s="6"/>
      <c r="J188" s="6"/>
      <c r="K188" s="51"/>
      <c r="L188" s="51"/>
      <c r="M188" s="51"/>
      <c r="N188" s="51"/>
      <c r="O188" s="51"/>
      <c r="P188" s="51"/>
      <c r="Q188" s="51"/>
      <c r="R188" s="51"/>
      <c r="S188" s="51"/>
      <c r="T188" s="51"/>
      <c r="U188" s="51"/>
      <c r="V188" s="51"/>
      <c r="W188" s="51"/>
      <c r="X188" s="51"/>
      <c r="Y188" s="51"/>
      <c r="Z188" s="51"/>
      <c r="AA188" s="51"/>
      <c r="AB188" s="51"/>
    </row>
    <row r="189" customFormat="false" ht="15.75" hidden="false" customHeight="false" outlineLevel="0" collapsed="false">
      <c r="A189" s="51"/>
      <c r="B189" s="51"/>
      <c r="C189" s="6"/>
      <c r="D189" s="49"/>
      <c r="E189" s="51"/>
      <c r="F189" s="6"/>
      <c r="G189" s="6"/>
      <c r="H189" s="6"/>
      <c r="I189" s="6"/>
      <c r="J189" s="6"/>
      <c r="K189" s="51"/>
      <c r="L189" s="51"/>
      <c r="M189" s="51"/>
      <c r="N189" s="51"/>
      <c r="O189" s="51"/>
      <c r="P189" s="51"/>
      <c r="Q189" s="51"/>
      <c r="R189" s="51"/>
      <c r="S189" s="51"/>
      <c r="T189" s="51"/>
      <c r="U189" s="51"/>
      <c r="V189" s="51"/>
      <c r="W189" s="51"/>
      <c r="X189" s="51"/>
      <c r="Y189" s="51"/>
      <c r="Z189" s="51"/>
      <c r="AA189" s="51"/>
      <c r="AB189" s="51"/>
    </row>
    <row r="190" customFormat="false" ht="15.75" hidden="false" customHeight="false" outlineLevel="0" collapsed="false">
      <c r="A190" s="51"/>
      <c r="B190" s="51"/>
      <c r="C190" s="6"/>
      <c r="D190" s="49"/>
      <c r="E190" s="51"/>
      <c r="F190" s="6"/>
      <c r="G190" s="6"/>
      <c r="H190" s="6"/>
      <c r="I190" s="6"/>
      <c r="J190" s="6"/>
      <c r="K190" s="51"/>
      <c r="L190" s="51"/>
      <c r="M190" s="51"/>
      <c r="N190" s="51"/>
      <c r="O190" s="51"/>
      <c r="P190" s="51"/>
      <c r="Q190" s="51"/>
      <c r="R190" s="51"/>
      <c r="S190" s="51"/>
      <c r="T190" s="51"/>
      <c r="U190" s="51"/>
      <c r="V190" s="51"/>
      <c r="W190" s="51"/>
      <c r="X190" s="51"/>
      <c r="Y190" s="51"/>
      <c r="Z190" s="51"/>
      <c r="AA190" s="51"/>
      <c r="AB190" s="51"/>
    </row>
    <row r="191" customFormat="false" ht="15.75" hidden="false" customHeight="false" outlineLevel="0" collapsed="false">
      <c r="A191" s="51"/>
      <c r="B191" s="51"/>
      <c r="C191" s="6"/>
      <c r="D191" s="49"/>
      <c r="E191" s="51"/>
      <c r="F191" s="6"/>
      <c r="G191" s="6"/>
      <c r="H191" s="6"/>
      <c r="I191" s="6"/>
      <c r="J191" s="6"/>
      <c r="K191" s="51"/>
      <c r="L191" s="51"/>
      <c r="M191" s="51"/>
      <c r="N191" s="51"/>
      <c r="O191" s="51"/>
      <c r="P191" s="51"/>
      <c r="Q191" s="51"/>
      <c r="R191" s="51"/>
      <c r="S191" s="51"/>
      <c r="T191" s="51"/>
      <c r="U191" s="51"/>
      <c r="V191" s="51"/>
      <c r="W191" s="51"/>
      <c r="X191" s="51"/>
      <c r="Y191" s="51"/>
      <c r="Z191" s="51"/>
      <c r="AA191" s="51"/>
      <c r="AB191" s="51"/>
    </row>
    <row r="192" customFormat="false" ht="15.75" hidden="false" customHeight="false" outlineLevel="0" collapsed="false">
      <c r="A192" s="51"/>
      <c r="B192" s="51"/>
      <c r="C192" s="6"/>
      <c r="D192" s="49"/>
      <c r="E192" s="51"/>
      <c r="F192" s="6"/>
      <c r="G192" s="6"/>
      <c r="H192" s="6"/>
      <c r="I192" s="6"/>
      <c r="J192" s="6"/>
      <c r="K192" s="51"/>
      <c r="L192" s="51"/>
      <c r="M192" s="51"/>
      <c r="N192" s="51"/>
      <c r="O192" s="51"/>
      <c r="P192" s="51"/>
      <c r="Q192" s="51"/>
      <c r="R192" s="51"/>
      <c r="S192" s="51"/>
      <c r="T192" s="51"/>
      <c r="U192" s="51"/>
      <c r="V192" s="51"/>
      <c r="W192" s="51"/>
      <c r="X192" s="51"/>
      <c r="Y192" s="51"/>
      <c r="Z192" s="51"/>
      <c r="AA192" s="51"/>
      <c r="AB192" s="51"/>
    </row>
    <row r="193" customFormat="false" ht="15.75" hidden="false" customHeight="false" outlineLevel="0" collapsed="false">
      <c r="A193" s="51"/>
      <c r="B193" s="51"/>
      <c r="C193" s="6"/>
      <c r="D193" s="49"/>
      <c r="E193" s="51"/>
      <c r="F193" s="6"/>
      <c r="G193" s="6"/>
      <c r="H193" s="6"/>
      <c r="I193" s="6"/>
      <c r="J193" s="6"/>
      <c r="K193" s="51"/>
      <c r="L193" s="51"/>
      <c r="M193" s="51"/>
      <c r="N193" s="51"/>
      <c r="O193" s="51"/>
      <c r="P193" s="51"/>
      <c r="Q193" s="51"/>
      <c r="R193" s="51"/>
      <c r="S193" s="51"/>
      <c r="T193" s="51"/>
      <c r="U193" s="51"/>
      <c r="V193" s="51"/>
      <c r="W193" s="51"/>
      <c r="X193" s="51"/>
      <c r="Y193" s="51"/>
      <c r="Z193" s="51"/>
      <c r="AA193" s="51"/>
      <c r="AB193" s="51"/>
    </row>
    <row r="194" customFormat="false" ht="15.75" hidden="false" customHeight="false" outlineLevel="0" collapsed="false">
      <c r="A194" s="51"/>
      <c r="B194" s="51"/>
      <c r="C194" s="6"/>
      <c r="D194" s="49"/>
      <c r="E194" s="51"/>
      <c r="F194" s="6"/>
      <c r="G194" s="6"/>
      <c r="H194" s="6"/>
      <c r="I194" s="6"/>
      <c r="J194" s="6"/>
      <c r="K194" s="51"/>
      <c r="L194" s="51"/>
      <c r="M194" s="51"/>
      <c r="N194" s="51"/>
      <c r="O194" s="51"/>
      <c r="P194" s="51"/>
      <c r="Q194" s="51"/>
      <c r="R194" s="51"/>
      <c r="S194" s="51"/>
      <c r="T194" s="51"/>
      <c r="U194" s="51"/>
      <c r="V194" s="51"/>
      <c r="W194" s="51"/>
      <c r="X194" s="51"/>
      <c r="Y194" s="51"/>
      <c r="Z194" s="51"/>
      <c r="AA194" s="51"/>
      <c r="AB194" s="51"/>
    </row>
    <row r="195" customFormat="false" ht="15.75" hidden="false" customHeight="false" outlineLevel="0" collapsed="false">
      <c r="A195" s="51"/>
      <c r="B195" s="51"/>
      <c r="C195" s="6"/>
      <c r="D195" s="49"/>
      <c r="E195" s="51"/>
      <c r="F195" s="6"/>
      <c r="G195" s="6"/>
      <c r="H195" s="6"/>
      <c r="I195" s="6"/>
      <c r="J195" s="6"/>
      <c r="K195" s="51"/>
      <c r="L195" s="51"/>
      <c r="M195" s="51"/>
      <c r="N195" s="51"/>
      <c r="O195" s="51"/>
      <c r="P195" s="51"/>
      <c r="Q195" s="51"/>
      <c r="R195" s="51"/>
      <c r="S195" s="51"/>
      <c r="T195" s="51"/>
      <c r="U195" s="51"/>
      <c r="V195" s="51"/>
      <c r="W195" s="51"/>
      <c r="X195" s="51"/>
      <c r="Y195" s="51"/>
      <c r="Z195" s="51"/>
      <c r="AA195" s="51"/>
      <c r="AB195" s="51"/>
    </row>
    <row r="196" customFormat="false" ht="15.75" hidden="false" customHeight="false" outlineLevel="0" collapsed="false">
      <c r="A196" s="51"/>
      <c r="B196" s="51"/>
      <c r="C196" s="6"/>
      <c r="D196" s="49"/>
      <c r="E196" s="51"/>
      <c r="F196" s="6"/>
      <c r="G196" s="6"/>
      <c r="H196" s="6"/>
      <c r="I196" s="6"/>
      <c r="J196" s="6"/>
      <c r="K196" s="51"/>
      <c r="L196" s="51"/>
      <c r="M196" s="51"/>
      <c r="N196" s="51"/>
      <c r="O196" s="51"/>
      <c r="P196" s="51"/>
      <c r="Q196" s="51"/>
      <c r="R196" s="51"/>
      <c r="S196" s="51"/>
      <c r="T196" s="51"/>
      <c r="U196" s="51"/>
      <c r="V196" s="51"/>
      <c r="W196" s="51"/>
      <c r="X196" s="51"/>
      <c r="Y196" s="51"/>
      <c r="Z196" s="51"/>
      <c r="AA196" s="51"/>
      <c r="AB196" s="51"/>
    </row>
    <row r="197" customFormat="false" ht="15.75" hidden="false" customHeight="false" outlineLevel="0" collapsed="false">
      <c r="A197" s="51"/>
      <c r="B197" s="51"/>
      <c r="C197" s="6"/>
      <c r="D197" s="49"/>
      <c r="E197" s="51"/>
      <c r="F197" s="6"/>
      <c r="G197" s="6"/>
      <c r="H197" s="6"/>
      <c r="I197" s="6"/>
      <c r="J197" s="6"/>
      <c r="K197" s="51"/>
      <c r="L197" s="51"/>
      <c r="M197" s="51"/>
      <c r="N197" s="51"/>
      <c r="O197" s="51"/>
      <c r="P197" s="51"/>
      <c r="Q197" s="51"/>
      <c r="R197" s="51"/>
      <c r="S197" s="51"/>
      <c r="T197" s="51"/>
      <c r="U197" s="51"/>
      <c r="V197" s="51"/>
      <c r="W197" s="51"/>
      <c r="X197" s="51"/>
      <c r="Y197" s="51"/>
      <c r="Z197" s="51"/>
      <c r="AA197" s="51"/>
      <c r="AB197" s="51"/>
    </row>
    <row r="198" customFormat="false" ht="15.75" hidden="false" customHeight="false" outlineLevel="0" collapsed="false">
      <c r="A198" s="51"/>
      <c r="B198" s="51"/>
      <c r="C198" s="6"/>
      <c r="D198" s="49"/>
      <c r="E198" s="51"/>
      <c r="F198" s="6"/>
      <c r="G198" s="6"/>
      <c r="H198" s="6"/>
      <c r="I198" s="6"/>
      <c r="J198" s="6"/>
      <c r="K198" s="51"/>
      <c r="L198" s="51"/>
      <c r="M198" s="51"/>
      <c r="N198" s="51"/>
      <c r="O198" s="51"/>
      <c r="P198" s="51"/>
      <c r="Q198" s="51"/>
      <c r="R198" s="51"/>
      <c r="S198" s="51"/>
      <c r="T198" s="51"/>
      <c r="U198" s="51"/>
      <c r="V198" s="51"/>
      <c r="W198" s="51"/>
      <c r="X198" s="51"/>
      <c r="Y198" s="51"/>
      <c r="Z198" s="51"/>
      <c r="AA198" s="51"/>
      <c r="AB198" s="51"/>
    </row>
    <row r="199" customFormat="false" ht="15.75" hidden="false" customHeight="false" outlineLevel="0" collapsed="false">
      <c r="A199" s="51"/>
      <c r="B199" s="51"/>
      <c r="C199" s="6"/>
      <c r="D199" s="49"/>
      <c r="E199" s="51"/>
      <c r="F199" s="6"/>
      <c r="G199" s="6"/>
      <c r="H199" s="6"/>
      <c r="I199" s="6"/>
      <c r="J199" s="6"/>
      <c r="K199" s="51"/>
      <c r="L199" s="51"/>
      <c r="M199" s="51"/>
      <c r="N199" s="51"/>
      <c r="O199" s="51"/>
      <c r="P199" s="51"/>
      <c r="Q199" s="51"/>
      <c r="R199" s="51"/>
      <c r="S199" s="51"/>
      <c r="T199" s="51"/>
      <c r="U199" s="51"/>
      <c r="V199" s="51"/>
      <c r="W199" s="51"/>
      <c r="X199" s="51"/>
      <c r="Y199" s="51"/>
      <c r="Z199" s="51"/>
      <c r="AA199" s="51"/>
      <c r="AB199" s="51"/>
    </row>
    <row r="200" customFormat="false" ht="15.75" hidden="false" customHeight="false" outlineLevel="0" collapsed="false">
      <c r="A200" s="51"/>
      <c r="B200" s="51"/>
      <c r="C200" s="6"/>
      <c r="D200" s="49"/>
      <c r="E200" s="51"/>
      <c r="F200" s="6"/>
      <c r="G200" s="6"/>
      <c r="H200" s="6"/>
      <c r="I200" s="6"/>
      <c r="J200" s="6"/>
      <c r="K200" s="51"/>
      <c r="L200" s="51"/>
      <c r="M200" s="51"/>
      <c r="N200" s="51"/>
      <c r="O200" s="51"/>
      <c r="P200" s="51"/>
      <c r="Q200" s="51"/>
      <c r="R200" s="51"/>
      <c r="S200" s="51"/>
      <c r="T200" s="51"/>
      <c r="U200" s="51"/>
      <c r="V200" s="51"/>
      <c r="W200" s="51"/>
      <c r="X200" s="51"/>
      <c r="Y200" s="51"/>
      <c r="Z200" s="51"/>
      <c r="AA200" s="51"/>
      <c r="AB200" s="51"/>
    </row>
    <row r="201" customFormat="false" ht="15.75" hidden="false" customHeight="false" outlineLevel="0" collapsed="false">
      <c r="A201" s="51"/>
      <c r="B201" s="51"/>
      <c r="C201" s="6"/>
      <c r="D201" s="49"/>
      <c r="E201" s="51"/>
      <c r="F201" s="6"/>
      <c r="G201" s="6"/>
      <c r="H201" s="6"/>
      <c r="I201" s="6"/>
      <c r="J201" s="6"/>
      <c r="K201" s="51"/>
      <c r="L201" s="51"/>
      <c r="M201" s="51"/>
      <c r="N201" s="51"/>
      <c r="O201" s="51"/>
      <c r="P201" s="51"/>
      <c r="Q201" s="51"/>
      <c r="R201" s="51"/>
      <c r="S201" s="51"/>
      <c r="T201" s="51"/>
      <c r="U201" s="51"/>
      <c r="V201" s="51"/>
      <c r="W201" s="51"/>
      <c r="X201" s="51"/>
      <c r="Y201" s="51"/>
      <c r="Z201" s="51"/>
      <c r="AA201" s="51"/>
      <c r="AB201" s="51"/>
    </row>
    <row r="202" customFormat="false" ht="15.75" hidden="false" customHeight="false" outlineLevel="0" collapsed="false">
      <c r="A202" s="51"/>
      <c r="B202" s="51"/>
      <c r="C202" s="6"/>
      <c r="D202" s="49"/>
      <c r="E202" s="51"/>
      <c r="F202" s="6"/>
      <c r="G202" s="6"/>
      <c r="H202" s="6"/>
      <c r="I202" s="6"/>
      <c r="J202" s="6"/>
      <c r="K202" s="51"/>
      <c r="L202" s="51"/>
      <c r="M202" s="51"/>
      <c r="N202" s="51"/>
      <c r="O202" s="51"/>
      <c r="P202" s="51"/>
      <c r="Q202" s="51"/>
      <c r="R202" s="51"/>
      <c r="S202" s="51"/>
      <c r="T202" s="51"/>
      <c r="U202" s="51"/>
      <c r="V202" s="51"/>
      <c r="W202" s="51"/>
      <c r="X202" s="51"/>
      <c r="Y202" s="51"/>
      <c r="Z202" s="51"/>
      <c r="AA202" s="51"/>
      <c r="AB202" s="51"/>
    </row>
    <row r="203" customFormat="false" ht="15.75" hidden="false" customHeight="false" outlineLevel="0" collapsed="false">
      <c r="A203" s="51"/>
      <c r="B203" s="51"/>
      <c r="C203" s="6"/>
      <c r="D203" s="49"/>
      <c r="E203" s="51"/>
      <c r="F203" s="6"/>
      <c r="G203" s="6"/>
      <c r="H203" s="6"/>
      <c r="I203" s="6"/>
      <c r="J203" s="6"/>
      <c r="K203" s="51"/>
      <c r="L203" s="51"/>
      <c r="M203" s="51"/>
      <c r="N203" s="51"/>
      <c r="O203" s="51"/>
      <c r="P203" s="51"/>
      <c r="Q203" s="51"/>
      <c r="R203" s="51"/>
      <c r="S203" s="51"/>
      <c r="T203" s="51"/>
      <c r="U203" s="51"/>
      <c r="V203" s="51"/>
      <c r="W203" s="51"/>
      <c r="X203" s="51"/>
      <c r="Y203" s="51"/>
      <c r="Z203" s="51"/>
      <c r="AA203" s="51"/>
      <c r="AB203" s="51"/>
    </row>
    <row r="204" customFormat="false" ht="15.75" hidden="false" customHeight="false" outlineLevel="0" collapsed="false">
      <c r="A204" s="51"/>
      <c r="B204" s="51"/>
      <c r="C204" s="6"/>
      <c r="D204" s="49"/>
      <c r="E204" s="51"/>
      <c r="F204" s="6"/>
      <c r="G204" s="6"/>
      <c r="H204" s="6"/>
      <c r="I204" s="6"/>
      <c r="J204" s="6"/>
      <c r="K204" s="51"/>
      <c r="L204" s="51"/>
      <c r="M204" s="51"/>
      <c r="N204" s="51"/>
      <c r="O204" s="51"/>
      <c r="P204" s="51"/>
      <c r="Q204" s="51"/>
      <c r="R204" s="51"/>
      <c r="S204" s="51"/>
      <c r="T204" s="51"/>
      <c r="U204" s="51"/>
      <c r="V204" s="51"/>
      <c r="W204" s="51"/>
      <c r="X204" s="51"/>
      <c r="Y204" s="51"/>
      <c r="Z204" s="51"/>
      <c r="AA204" s="51"/>
      <c r="AB204" s="51"/>
    </row>
    <row r="205" customFormat="false" ht="15.75" hidden="false" customHeight="false" outlineLevel="0" collapsed="false">
      <c r="A205" s="51"/>
      <c r="B205" s="51"/>
      <c r="C205" s="6"/>
      <c r="D205" s="49"/>
      <c r="E205" s="51"/>
      <c r="F205" s="6"/>
      <c r="G205" s="6"/>
      <c r="H205" s="6"/>
      <c r="I205" s="6"/>
      <c r="J205" s="6"/>
      <c r="K205" s="51"/>
      <c r="L205" s="51"/>
      <c r="M205" s="51"/>
      <c r="N205" s="51"/>
      <c r="O205" s="51"/>
      <c r="P205" s="51"/>
      <c r="Q205" s="51"/>
      <c r="R205" s="51"/>
      <c r="S205" s="51"/>
      <c r="T205" s="51"/>
      <c r="U205" s="51"/>
      <c r="V205" s="51"/>
      <c r="W205" s="51"/>
      <c r="X205" s="51"/>
      <c r="Y205" s="51"/>
      <c r="Z205" s="51"/>
      <c r="AA205" s="51"/>
      <c r="AB205" s="51"/>
    </row>
    <row r="206" customFormat="false" ht="15.75" hidden="false" customHeight="false" outlineLevel="0" collapsed="false">
      <c r="A206" s="51"/>
      <c r="B206" s="51"/>
      <c r="C206" s="6"/>
      <c r="D206" s="49"/>
      <c r="E206" s="51"/>
      <c r="F206" s="6"/>
      <c r="G206" s="6"/>
      <c r="H206" s="6"/>
      <c r="I206" s="6"/>
      <c r="J206" s="6"/>
      <c r="K206" s="51"/>
      <c r="L206" s="51"/>
      <c r="M206" s="51"/>
      <c r="N206" s="51"/>
      <c r="O206" s="51"/>
      <c r="P206" s="51"/>
      <c r="Q206" s="51"/>
      <c r="R206" s="51"/>
      <c r="S206" s="51"/>
      <c r="T206" s="51"/>
      <c r="U206" s="51"/>
      <c r="V206" s="51"/>
      <c r="W206" s="51"/>
      <c r="X206" s="51"/>
      <c r="Y206" s="51"/>
      <c r="Z206" s="51"/>
      <c r="AA206" s="51"/>
      <c r="AB206" s="51"/>
    </row>
    <row r="207" customFormat="false" ht="15.75" hidden="false" customHeight="false" outlineLevel="0" collapsed="false">
      <c r="A207" s="51"/>
      <c r="B207" s="51"/>
      <c r="C207" s="6"/>
      <c r="D207" s="49"/>
      <c r="E207" s="51"/>
      <c r="F207" s="6"/>
      <c r="G207" s="6"/>
      <c r="H207" s="6"/>
      <c r="I207" s="6"/>
      <c r="J207" s="6"/>
      <c r="K207" s="51"/>
      <c r="L207" s="51"/>
      <c r="M207" s="51"/>
      <c r="N207" s="51"/>
      <c r="O207" s="51"/>
      <c r="P207" s="51"/>
      <c r="Q207" s="51"/>
      <c r="R207" s="51"/>
      <c r="S207" s="51"/>
      <c r="T207" s="51"/>
      <c r="U207" s="51"/>
      <c r="V207" s="51"/>
      <c r="W207" s="51"/>
      <c r="X207" s="51"/>
      <c r="Y207" s="51"/>
      <c r="Z207" s="51"/>
      <c r="AA207" s="51"/>
      <c r="AB207" s="51"/>
    </row>
    <row r="208" customFormat="false" ht="15.75" hidden="false" customHeight="false" outlineLevel="0" collapsed="false">
      <c r="A208" s="51"/>
      <c r="B208" s="51"/>
      <c r="C208" s="6"/>
      <c r="D208" s="49"/>
      <c r="E208" s="51"/>
      <c r="F208" s="6"/>
      <c r="G208" s="6"/>
      <c r="H208" s="6"/>
      <c r="I208" s="6"/>
      <c r="J208" s="6"/>
      <c r="K208" s="51"/>
      <c r="L208" s="51"/>
      <c r="M208" s="51"/>
      <c r="N208" s="51"/>
      <c r="O208" s="51"/>
      <c r="P208" s="51"/>
      <c r="Q208" s="51"/>
      <c r="R208" s="51"/>
      <c r="S208" s="51"/>
      <c r="T208" s="51"/>
      <c r="U208" s="51"/>
      <c r="V208" s="51"/>
      <c r="W208" s="51"/>
      <c r="X208" s="51"/>
      <c r="Y208" s="51"/>
      <c r="Z208" s="51"/>
      <c r="AA208" s="51"/>
      <c r="AB208" s="51"/>
    </row>
    <row r="209" customFormat="false" ht="15.75" hidden="false" customHeight="false" outlineLevel="0" collapsed="false">
      <c r="A209" s="51"/>
      <c r="B209" s="51"/>
      <c r="C209" s="6"/>
      <c r="D209" s="49"/>
      <c r="E209" s="51"/>
      <c r="F209" s="6"/>
      <c r="G209" s="6"/>
      <c r="H209" s="6"/>
      <c r="I209" s="6"/>
      <c r="J209" s="6"/>
      <c r="K209" s="51"/>
      <c r="L209" s="51"/>
      <c r="M209" s="51"/>
      <c r="N209" s="51"/>
      <c r="O209" s="51"/>
      <c r="P209" s="51"/>
      <c r="Q209" s="51"/>
      <c r="R209" s="51"/>
      <c r="S209" s="51"/>
      <c r="T209" s="51"/>
      <c r="U209" s="51"/>
      <c r="V209" s="51"/>
      <c r="W209" s="51"/>
      <c r="X209" s="51"/>
      <c r="Y209" s="51"/>
      <c r="Z209" s="51"/>
      <c r="AA209" s="51"/>
      <c r="AB209" s="51"/>
    </row>
    <row r="210" customFormat="false" ht="15.75" hidden="false" customHeight="false" outlineLevel="0" collapsed="false">
      <c r="A210" s="51"/>
      <c r="B210" s="51"/>
      <c r="C210" s="6"/>
      <c r="D210" s="49"/>
      <c r="E210" s="51"/>
      <c r="F210" s="6"/>
      <c r="G210" s="6"/>
      <c r="H210" s="6"/>
      <c r="I210" s="6"/>
      <c r="J210" s="6"/>
      <c r="K210" s="51"/>
      <c r="L210" s="51"/>
      <c r="M210" s="51"/>
      <c r="N210" s="51"/>
      <c r="O210" s="51"/>
      <c r="P210" s="51"/>
      <c r="Q210" s="51"/>
      <c r="R210" s="51"/>
      <c r="S210" s="51"/>
      <c r="T210" s="51"/>
      <c r="U210" s="51"/>
      <c r="V210" s="51"/>
      <c r="W210" s="51"/>
      <c r="X210" s="51"/>
      <c r="Y210" s="51"/>
      <c r="Z210" s="51"/>
      <c r="AA210" s="51"/>
      <c r="AB210" s="51"/>
    </row>
    <row r="211" customFormat="false" ht="15.75" hidden="false" customHeight="false" outlineLevel="0" collapsed="false">
      <c r="A211" s="51"/>
      <c r="B211" s="51"/>
      <c r="C211" s="6"/>
      <c r="D211" s="49"/>
      <c r="E211" s="51"/>
      <c r="F211" s="6"/>
      <c r="G211" s="6"/>
      <c r="H211" s="6"/>
      <c r="I211" s="6"/>
      <c r="J211" s="6"/>
      <c r="K211" s="51"/>
      <c r="L211" s="51"/>
      <c r="M211" s="51"/>
      <c r="N211" s="51"/>
      <c r="O211" s="51"/>
      <c r="P211" s="51"/>
      <c r="Q211" s="51"/>
      <c r="R211" s="51"/>
      <c r="S211" s="51"/>
      <c r="T211" s="51"/>
      <c r="U211" s="51"/>
      <c r="V211" s="51"/>
      <c r="W211" s="51"/>
      <c r="X211" s="51"/>
      <c r="Y211" s="51"/>
      <c r="Z211" s="51"/>
      <c r="AA211" s="51"/>
      <c r="AB211" s="51"/>
    </row>
    <row r="212" customFormat="false" ht="15.75" hidden="false" customHeight="false" outlineLevel="0" collapsed="false">
      <c r="A212" s="51"/>
      <c r="B212" s="51"/>
      <c r="C212" s="6"/>
      <c r="D212" s="49"/>
      <c r="E212" s="51"/>
      <c r="F212" s="6"/>
      <c r="G212" s="6"/>
      <c r="H212" s="6"/>
      <c r="I212" s="6"/>
      <c r="J212" s="6"/>
      <c r="K212" s="51"/>
      <c r="L212" s="51"/>
      <c r="M212" s="51"/>
      <c r="N212" s="51"/>
      <c r="O212" s="51"/>
      <c r="P212" s="51"/>
      <c r="Q212" s="51"/>
      <c r="R212" s="51"/>
      <c r="S212" s="51"/>
      <c r="T212" s="51"/>
      <c r="U212" s="51"/>
      <c r="V212" s="51"/>
      <c r="W212" s="51"/>
      <c r="X212" s="51"/>
      <c r="Y212" s="51"/>
      <c r="Z212" s="51"/>
      <c r="AA212" s="51"/>
      <c r="AB212" s="51"/>
    </row>
    <row r="213" customFormat="false" ht="15.75" hidden="false" customHeight="false" outlineLevel="0" collapsed="false">
      <c r="A213" s="51"/>
      <c r="B213" s="51"/>
      <c r="C213" s="6"/>
      <c r="D213" s="49"/>
      <c r="E213" s="51"/>
      <c r="F213" s="6"/>
      <c r="G213" s="6"/>
      <c r="H213" s="6"/>
      <c r="I213" s="6"/>
      <c r="J213" s="6"/>
      <c r="K213" s="51"/>
      <c r="L213" s="51"/>
      <c r="M213" s="51"/>
      <c r="N213" s="51"/>
      <c r="O213" s="51"/>
      <c r="P213" s="51"/>
      <c r="Q213" s="51"/>
      <c r="R213" s="51"/>
      <c r="S213" s="51"/>
      <c r="T213" s="51"/>
      <c r="U213" s="51"/>
      <c r="V213" s="51"/>
      <c r="W213" s="51"/>
      <c r="X213" s="51"/>
      <c r="Y213" s="51"/>
      <c r="Z213" s="51"/>
      <c r="AA213" s="51"/>
      <c r="AB213" s="51"/>
    </row>
    <row r="214" customFormat="false" ht="15.75" hidden="false" customHeight="false" outlineLevel="0" collapsed="false">
      <c r="A214" s="51"/>
      <c r="B214" s="51"/>
      <c r="C214" s="6"/>
      <c r="D214" s="49"/>
      <c r="E214" s="51"/>
      <c r="F214" s="6"/>
      <c r="G214" s="6"/>
      <c r="H214" s="6"/>
      <c r="I214" s="6"/>
      <c r="J214" s="6"/>
      <c r="K214" s="51"/>
      <c r="L214" s="51"/>
      <c r="M214" s="51"/>
      <c r="N214" s="51"/>
      <c r="O214" s="51"/>
      <c r="P214" s="51"/>
      <c r="Q214" s="51"/>
      <c r="R214" s="51"/>
      <c r="S214" s="51"/>
      <c r="T214" s="51"/>
      <c r="U214" s="51"/>
      <c r="V214" s="51"/>
      <c r="W214" s="51"/>
      <c r="X214" s="51"/>
      <c r="Y214" s="51"/>
      <c r="Z214" s="51"/>
      <c r="AA214" s="51"/>
      <c r="AB214" s="51"/>
    </row>
    <row r="215" customFormat="false" ht="15.75" hidden="false" customHeight="false" outlineLevel="0" collapsed="false">
      <c r="A215" s="51"/>
      <c r="B215" s="51"/>
      <c r="C215" s="6"/>
      <c r="D215" s="49"/>
      <c r="E215" s="51"/>
      <c r="F215" s="6"/>
      <c r="G215" s="6"/>
      <c r="H215" s="6"/>
      <c r="I215" s="6"/>
      <c r="J215" s="6"/>
      <c r="K215" s="51"/>
      <c r="L215" s="51"/>
      <c r="M215" s="51"/>
      <c r="N215" s="51"/>
      <c r="O215" s="51"/>
      <c r="P215" s="51"/>
      <c r="Q215" s="51"/>
      <c r="R215" s="51"/>
      <c r="S215" s="51"/>
      <c r="T215" s="51"/>
      <c r="U215" s="51"/>
      <c r="V215" s="51"/>
      <c r="W215" s="51"/>
      <c r="X215" s="51"/>
      <c r="Y215" s="51"/>
      <c r="Z215" s="51"/>
      <c r="AA215" s="51"/>
      <c r="AB215" s="51"/>
    </row>
    <row r="216" customFormat="false" ht="15.75" hidden="false" customHeight="false" outlineLevel="0" collapsed="false">
      <c r="A216" s="51"/>
      <c r="B216" s="51"/>
      <c r="C216" s="6"/>
      <c r="D216" s="49"/>
      <c r="E216" s="51"/>
      <c r="F216" s="6"/>
      <c r="G216" s="6"/>
      <c r="H216" s="6"/>
      <c r="I216" s="6"/>
      <c r="J216" s="6"/>
      <c r="K216" s="51"/>
      <c r="L216" s="51"/>
      <c r="M216" s="51"/>
      <c r="N216" s="51"/>
      <c r="O216" s="51"/>
      <c r="P216" s="51"/>
      <c r="Q216" s="51"/>
      <c r="R216" s="51"/>
      <c r="S216" s="51"/>
      <c r="T216" s="51"/>
      <c r="U216" s="51"/>
      <c r="V216" s="51"/>
      <c r="W216" s="51"/>
      <c r="X216" s="51"/>
      <c r="Y216" s="51"/>
      <c r="Z216" s="51"/>
      <c r="AA216" s="51"/>
      <c r="AB216" s="51"/>
    </row>
    <row r="217" customFormat="false" ht="15.75" hidden="false" customHeight="false" outlineLevel="0" collapsed="false">
      <c r="A217" s="51"/>
      <c r="B217" s="51"/>
      <c r="C217" s="6"/>
      <c r="D217" s="49"/>
      <c r="E217" s="51"/>
      <c r="F217" s="6"/>
      <c r="G217" s="6"/>
      <c r="H217" s="6"/>
      <c r="I217" s="6"/>
      <c r="J217" s="6"/>
      <c r="K217" s="51"/>
      <c r="L217" s="51"/>
      <c r="M217" s="51"/>
      <c r="N217" s="51"/>
      <c r="O217" s="51"/>
      <c r="P217" s="51"/>
      <c r="Q217" s="51"/>
      <c r="R217" s="51"/>
      <c r="S217" s="51"/>
      <c r="T217" s="51"/>
      <c r="U217" s="51"/>
      <c r="V217" s="51"/>
      <c r="W217" s="51"/>
      <c r="X217" s="51"/>
      <c r="Y217" s="51"/>
      <c r="Z217" s="51"/>
      <c r="AA217" s="51"/>
      <c r="AB217" s="51"/>
    </row>
    <row r="218" customFormat="false" ht="15.75" hidden="false" customHeight="false" outlineLevel="0" collapsed="false">
      <c r="A218" s="51"/>
      <c r="B218" s="51"/>
      <c r="C218" s="6"/>
      <c r="D218" s="49"/>
      <c r="E218" s="51"/>
      <c r="F218" s="6"/>
      <c r="G218" s="6"/>
      <c r="H218" s="6"/>
      <c r="I218" s="6"/>
      <c r="J218" s="6"/>
      <c r="K218" s="51"/>
      <c r="L218" s="51"/>
      <c r="M218" s="51"/>
      <c r="N218" s="51"/>
      <c r="O218" s="51"/>
      <c r="P218" s="51"/>
      <c r="Q218" s="51"/>
      <c r="R218" s="51"/>
      <c r="S218" s="51"/>
      <c r="T218" s="51"/>
      <c r="U218" s="51"/>
      <c r="V218" s="51"/>
      <c r="W218" s="51"/>
      <c r="X218" s="51"/>
      <c r="Y218" s="51"/>
      <c r="Z218" s="51"/>
      <c r="AA218" s="51"/>
      <c r="AB218" s="51"/>
    </row>
    <row r="219" customFormat="false" ht="15.75" hidden="false" customHeight="false" outlineLevel="0" collapsed="false">
      <c r="A219" s="51"/>
      <c r="B219" s="51"/>
      <c r="C219" s="6"/>
      <c r="D219" s="49"/>
      <c r="E219" s="51"/>
      <c r="F219" s="6"/>
      <c r="G219" s="6"/>
      <c r="H219" s="6"/>
      <c r="I219" s="6"/>
      <c r="J219" s="6"/>
      <c r="K219" s="51"/>
      <c r="L219" s="51"/>
      <c r="M219" s="51"/>
      <c r="N219" s="51"/>
      <c r="O219" s="51"/>
      <c r="P219" s="51"/>
      <c r="Q219" s="51"/>
      <c r="R219" s="51"/>
      <c r="S219" s="51"/>
      <c r="T219" s="51"/>
      <c r="U219" s="51"/>
      <c r="V219" s="51"/>
      <c r="W219" s="51"/>
      <c r="X219" s="51"/>
      <c r="Y219" s="51"/>
      <c r="Z219" s="51"/>
      <c r="AA219" s="51"/>
      <c r="AB219" s="51"/>
    </row>
    <row r="220" customFormat="false" ht="15.75" hidden="false" customHeight="false" outlineLevel="0" collapsed="false">
      <c r="A220" s="51"/>
      <c r="B220" s="51"/>
      <c r="C220" s="6"/>
      <c r="D220" s="49"/>
      <c r="E220" s="51"/>
      <c r="F220" s="6"/>
      <c r="G220" s="6"/>
      <c r="H220" s="6"/>
      <c r="I220" s="6"/>
      <c r="J220" s="6"/>
      <c r="K220" s="51"/>
      <c r="L220" s="51"/>
      <c r="M220" s="51"/>
      <c r="N220" s="51"/>
      <c r="O220" s="51"/>
      <c r="P220" s="51"/>
      <c r="Q220" s="51"/>
      <c r="R220" s="51"/>
      <c r="S220" s="51"/>
      <c r="T220" s="51"/>
      <c r="U220" s="51"/>
      <c r="V220" s="51"/>
      <c r="W220" s="51"/>
      <c r="X220" s="51"/>
      <c r="Y220" s="51"/>
      <c r="Z220" s="51"/>
      <c r="AA220" s="51"/>
      <c r="AB220" s="51"/>
    </row>
    <row r="221" customFormat="false" ht="15.75" hidden="false" customHeight="false" outlineLevel="0" collapsed="false">
      <c r="A221" s="51"/>
      <c r="B221" s="51"/>
      <c r="C221" s="6"/>
      <c r="D221" s="49"/>
      <c r="E221" s="51"/>
      <c r="F221" s="6"/>
      <c r="G221" s="6"/>
      <c r="H221" s="6"/>
      <c r="I221" s="6"/>
      <c r="J221" s="6"/>
      <c r="K221" s="51"/>
      <c r="L221" s="51"/>
      <c r="M221" s="51"/>
      <c r="N221" s="51"/>
      <c r="O221" s="51"/>
      <c r="P221" s="51"/>
      <c r="Q221" s="51"/>
      <c r="R221" s="51"/>
      <c r="S221" s="51"/>
      <c r="T221" s="51"/>
      <c r="U221" s="51"/>
      <c r="V221" s="51"/>
      <c r="W221" s="51"/>
      <c r="X221" s="51"/>
      <c r="Y221" s="51"/>
      <c r="Z221" s="51"/>
      <c r="AA221" s="51"/>
      <c r="AB221" s="51"/>
    </row>
    <row r="222" customFormat="false" ht="15.75" hidden="false" customHeight="false" outlineLevel="0" collapsed="false">
      <c r="A222" s="51"/>
      <c r="B222" s="51"/>
      <c r="C222" s="6"/>
      <c r="D222" s="49"/>
      <c r="E222" s="51"/>
      <c r="F222" s="6"/>
      <c r="G222" s="6"/>
      <c r="H222" s="6"/>
      <c r="I222" s="6"/>
      <c r="J222" s="6"/>
      <c r="K222" s="51"/>
      <c r="L222" s="51"/>
      <c r="M222" s="51"/>
      <c r="N222" s="51"/>
      <c r="O222" s="51"/>
      <c r="P222" s="51"/>
      <c r="Q222" s="51"/>
      <c r="R222" s="51"/>
      <c r="S222" s="51"/>
      <c r="T222" s="51"/>
      <c r="U222" s="51"/>
      <c r="V222" s="51"/>
      <c r="W222" s="51"/>
      <c r="X222" s="51"/>
      <c r="Y222" s="51"/>
      <c r="Z222" s="51"/>
      <c r="AA222" s="51"/>
      <c r="AB222" s="51"/>
    </row>
    <row r="223" customFormat="false" ht="15.75" hidden="false" customHeight="false" outlineLevel="0" collapsed="false">
      <c r="A223" s="51"/>
      <c r="B223" s="51"/>
      <c r="C223" s="6"/>
      <c r="D223" s="49"/>
      <c r="E223" s="51"/>
      <c r="F223" s="6"/>
      <c r="G223" s="6"/>
      <c r="H223" s="6"/>
      <c r="I223" s="6"/>
      <c r="J223" s="6"/>
      <c r="K223" s="51"/>
      <c r="L223" s="51"/>
      <c r="M223" s="51"/>
      <c r="N223" s="51"/>
      <c r="O223" s="51"/>
      <c r="P223" s="51"/>
      <c r="Q223" s="51"/>
      <c r="R223" s="51"/>
      <c r="S223" s="51"/>
      <c r="T223" s="51"/>
      <c r="U223" s="51"/>
      <c r="V223" s="51"/>
      <c r="W223" s="51"/>
      <c r="X223" s="51"/>
      <c r="Y223" s="51"/>
      <c r="Z223" s="51"/>
      <c r="AA223" s="51"/>
      <c r="AB223" s="51"/>
    </row>
    <row r="224" customFormat="false" ht="15.75" hidden="false" customHeight="false" outlineLevel="0" collapsed="false">
      <c r="A224" s="51"/>
      <c r="B224" s="51"/>
      <c r="C224" s="6"/>
      <c r="D224" s="49"/>
      <c r="E224" s="51"/>
      <c r="F224" s="6"/>
      <c r="G224" s="6"/>
      <c r="H224" s="6"/>
      <c r="I224" s="6"/>
      <c r="J224" s="6"/>
      <c r="K224" s="51"/>
      <c r="L224" s="51"/>
      <c r="M224" s="51"/>
      <c r="N224" s="51"/>
      <c r="O224" s="51"/>
      <c r="P224" s="51"/>
      <c r="Q224" s="51"/>
      <c r="R224" s="51"/>
      <c r="S224" s="51"/>
      <c r="T224" s="51"/>
      <c r="U224" s="51"/>
      <c r="V224" s="51"/>
      <c r="W224" s="51"/>
      <c r="X224" s="51"/>
      <c r="Y224" s="51"/>
      <c r="Z224" s="51"/>
      <c r="AA224" s="51"/>
      <c r="AB224" s="51"/>
    </row>
    <row r="225" customFormat="false" ht="15.75" hidden="false" customHeight="false" outlineLevel="0" collapsed="false">
      <c r="A225" s="51"/>
      <c r="B225" s="51"/>
      <c r="C225" s="6"/>
      <c r="D225" s="49"/>
      <c r="E225" s="51"/>
      <c r="F225" s="6"/>
      <c r="G225" s="6"/>
      <c r="H225" s="6"/>
      <c r="I225" s="6"/>
      <c r="J225" s="6"/>
      <c r="K225" s="51"/>
      <c r="L225" s="51"/>
      <c r="M225" s="51"/>
      <c r="N225" s="51"/>
      <c r="O225" s="51"/>
      <c r="P225" s="51"/>
      <c r="Q225" s="51"/>
      <c r="R225" s="51"/>
      <c r="S225" s="51"/>
      <c r="T225" s="51"/>
      <c r="U225" s="51"/>
      <c r="V225" s="51"/>
      <c r="W225" s="51"/>
      <c r="X225" s="51"/>
      <c r="Y225" s="51"/>
      <c r="Z225" s="51"/>
      <c r="AA225" s="51"/>
      <c r="AB225" s="51"/>
    </row>
    <row r="226" customFormat="false" ht="15.75" hidden="false" customHeight="false" outlineLevel="0" collapsed="false">
      <c r="A226" s="51"/>
      <c r="B226" s="51"/>
      <c r="C226" s="6"/>
      <c r="D226" s="49"/>
      <c r="E226" s="51"/>
      <c r="F226" s="6"/>
      <c r="G226" s="6"/>
      <c r="H226" s="6"/>
      <c r="I226" s="6"/>
      <c r="J226" s="6"/>
      <c r="K226" s="51"/>
      <c r="L226" s="51"/>
      <c r="M226" s="51"/>
      <c r="N226" s="51"/>
      <c r="O226" s="51"/>
      <c r="P226" s="51"/>
      <c r="Q226" s="51"/>
      <c r="R226" s="51"/>
      <c r="S226" s="51"/>
      <c r="T226" s="51"/>
      <c r="U226" s="51"/>
      <c r="V226" s="51"/>
      <c r="W226" s="51"/>
      <c r="X226" s="51"/>
      <c r="Y226" s="51"/>
      <c r="Z226" s="51"/>
      <c r="AA226" s="51"/>
      <c r="AB226" s="51"/>
    </row>
    <row r="227" customFormat="false" ht="15.75" hidden="false" customHeight="false" outlineLevel="0" collapsed="false">
      <c r="A227" s="51"/>
      <c r="B227" s="51"/>
      <c r="C227" s="6"/>
      <c r="D227" s="49"/>
      <c r="E227" s="51"/>
      <c r="F227" s="6"/>
      <c r="G227" s="6"/>
      <c r="H227" s="6"/>
      <c r="I227" s="6"/>
      <c r="J227" s="6"/>
      <c r="K227" s="51"/>
      <c r="L227" s="51"/>
      <c r="M227" s="51"/>
      <c r="N227" s="51"/>
      <c r="O227" s="51"/>
      <c r="P227" s="51"/>
      <c r="Q227" s="51"/>
      <c r="R227" s="51"/>
      <c r="S227" s="51"/>
      <c r="T227" s="51"/>
      <c r="U227" s="51"/>
      <c r="V227" s="51"/>
      <c r="W227" s="51"/>
      <c r="X227" s="51"/>
      <c r="Y227" s="51"/>
      <c r="Z227" s="51"/>
      <c r="AA227" s="51"/>
      <c r="AB227" s="51"/>
    </row>
    <row r="228" customFormat="false" ht="15.75" hidden="false" customHeight="false" outlineLevel="0" collapsed="false">
      <c r="A228" s="51"/>
      <c r="B228" s="51"/>
      <c r="C228" s="6"/>
      <c r="D228" s="49"/>
      <c r="E228" s="51"/>
      <c r="F228" s="6"/>
      <c r="G228" s="6"/>
      <c r="H228" s="6"/>
      <c r="I228" s="6"/>
      <c r="J228" s="6"/>
      <c r="K228" s="51"/>
      <c r="L228" s="51"/>
      <c r="M228" s="51"/>
      <c r="N228" s="51"/>
      <c r="O228" s="51"/>
      <c r="P228" s="51"/>
      <c r="Q228" s="51"/>
      <c r="R228" s="51"/>
      <c r="S228" s="51"/>
      <c r="T228" s="51"/>
      <c r="U228" s="51"/>
      <c r="V228" s="51"/>
      <c r="W228" s="51"/>
      <c r="X228" s="51"/>
      <c r="Y228" s="51"/>
      <c r="Z228" s="51"/>
      <c r="AA228" s="51"/>
      <c r="AB228" s="51"/>
    </row>
    <row r="229" customFormat="false" ht="15.75" hidden="false" customHeight="false" outlineLevel="0" collapsed="false">
      <c r="A229" s="51"/>
      <c r="B229" s="51"/>
      <c r="C229" s="6"/>
      <c r="D229" s="49"/>
      <c r="E229" s="51"/>
      <c r="F229" s="6"/>
      <c r="G229" s="6"/>
      <c r="H229" s="6"/>
      <c r="I229" s="6"/>
      <c r="J229" s="6"/>
      <c r="K229" s="51"/>
      <c r="L229" s="51"/>
      <c r="M229" s="51"/>
      <c r="N229" s="51"/>
      <c r="O229" s="51"/>
      <c r="P229" s="51"/>
      <c r="Q229" s="51"/>
      <c r="R229" s="51"/>
      <c r="S229" s="51"/>
      <c r="T229" s="51"/>
      <c r="U229" s="51"/>
      <c r="V229" s="51"/>
      <c r="W229" s="51"/>
      <c r="X229" s="51"/>
      <c r="Y229" s="51"/>
      <c r="Z229" s="51"/>
      <c r="AA229" s="51"/>
      <c r="AB229" s="51"/>
    </row>
    <row r="230" customFormat="false" ht="15.75" hidden="false" customHeight="false" outlineLevel="0" collapsed="false">
      <c r="A230" s="51"/>
      <c r="B230" s="51"/>
      <c r="C230" s="6"/>
      <c r="D230" s="49"/>
      <c r="E230" s="51"/>
      <c r="F230" s="6"/>
      <c r="G230" s="6"/>
      <c r="H230" s="6"/>
      <c r="I230" s="6"/>
      <c r="J230" s="6"/>
      <c r="K230" s="51"/>
      <c r="L230" s="51"/>
      <c r="M230" s="51"/>
      <c r="N230" s="51"/>
      <c r="O230" s="51"/>
      <c r="P230" s="51"/>
      <c r="Q230" s="51"/>
      <c r="R230" s="51"/>
      <c r="S230" s="51"/>
      <c r="T230" s="51"/>
      <c r="U230" s="51"/>
      <c r="V230" s="51"/>
      <c r="W230" s="51"/>
      <c r="X230" s="51"/>
      <c r="Y230" s="51"/>
      <c r="Z230" s="51"/>
      <c r="AA230" s="51"/>
      <c r="AB230" s="51"/>
    </row>
    <row r="231" customFormat="false" ht="15.75" hidden="false" customHeight="false" outlineLevel="0" collapsed="false">
      <c r="A231" s="51"/>
      <c r="B231" s="51"/>
      <c r="C231" s="6"/>
      <c r="D231" s="49"/>
      <c r="E231" s="51"/>
      <c r="F231" s="6"/>
      <c r="G231" s="6"/>
      <c r="H231" s="6"/>
      <c r="I231" s="6"/>
      <c r="J231" s="6"/>
      <c r="K231" s="51"/>
      <c r="L231" s="51"/>
      <c r="M231" s="51"/>
      <c r="N231" s="51"/>
      <c r="O231" s="51"/>
      <c r="P231" s="51"/>
      <c r="Q231" s="51"/>
      <c r="R231" s="51"/>
      <c r="S231" s="51"/>
      <c r="T231" s="51"/>
      <c r="U231" s="51"/>
      <c r="V231" s="51"/>
      <c r="W231" s="51"/>
      <c r="X231" s="51"/>
      <c r="Y231" s="51"/>
      <c r="Z231" s="51"/>
      <c r="AA231" s="51"/>
      <c r="AB231" s="51"/>
    </row>
    <row r="232" customFormat="false" ht="15.75" hidden="false" customHeight="false" outlineLevel="0" collapsed="false">
      <c r="A232" s="51"/>
      <c r="B232" s="51"/>
      <c r="C232" s="6"/>
      <c r="D232" s="49"/>
      <c r="E232" s="51"/>
      <c r="F232" s="6"/>
      <c r="G232" s="6"/>
      <c r="H232" s="6"/>
      <c r="I232" s="6"/>
      <c r="J232" s="6"/>
      <c r="K232" s="51"/>
      <c r="L232" s="51"/>
      <c r="M232" s="51"/>
      <c r="N232" s="51"/>
      <c r="O232" s="51"/>
      <c r="P232" s="51"/>
      <c r="Q232" s="51"/>
      <c r="R232" s="51"/>
      <c r="S232" s="51"/>
      <c r="T232" s="51"/>
      <c r="U232" s="51"/>
      <c r="V232" s="51"/>
      <c r="W232" s="51"/>
      <c r="X232" s="51"/>
      <c r="Y232" s="51"/>
      <c r="Z232" s="51"/>
      <c r="AA232" s="51"/>
      <c r="AB232" s="51"/>
    </row>
    <row r="233" customFormat="false" ht="15.75" hidden="false" customHeight="false" outlineLevel="0" collapsed="false">
      <c r="A233" s="51"/>
      <c r="B233" s="51"/>
      <c r="C233" s="6"/>
      <c r="D233" s="49"/>
      <c r="E233" s="51"/>
      <c r="F233" s="6"/>
      <c r="G233" s="6"/>
      <c r="H233" s="6"/>
      <c r="I233" s="6"/>
      <c r="J233" s="6"/>
      <c r="K233" s="51"/>
      <c r="L233" s="51"/>
      <c r="M233" s="51"/>
      <c r="N233" s="51"/>
      <c r="O233" s="51"/>
      <c r="P233" s="51"/>
      <c r="Q233" s="51"/>
      <c r="R233" s="51"/>
      <c r="S233" s="51"/>
      <c r="T233" s="51"/>
      <c r="U233" s="51"/>
      <c r="V233" s="51"/>
      <c r="W233" s="51"/>
      <c r="X233" s="51"/>
      <c r="Y233" s="51"/>
      <c r="Z233" s="51"/>
      <c r="AA233" s="51"/>
      <c r="AB233" s="51"/>
    </row>
    <row r="234" customFormat="false" ht="15.75" hidden="false" customHeight="false" outlineLevel="0" collapsed="false">
      <c r="A234" s="51"/>
      <c r="B234" s="51"/>
      <c r="C234" s="6"/>
      <c r="D234" s="49"/>
      <c r="E234" s="51"/>
      <c r="F234" s="6"/>
      <c r="G234" s="6"/>
      <c r="H234" s="6"/>
      <c r="I234" s="6"/>
      <c r="J234" s="6"/>
      <c r="K234" s="51"/>
      <c r="L234" s="51"/>
      <c r="M234" s="51"/>
      <c r="N234" s="51"/>
      <c r="O234" s="51"/>
      <c r="P234" s="51"/>
      <c r="Q234" s="51"/>
      <c r="R234" s="51"/>
      <c r="S234" s="51"/>
      <c r="T234" s="51"/>
      <c r="U234" s="51"/>
      <c r="V234" s="51"/>
      <c r="W234" s="51"/>
      <c r="X234" s="51"/>
      <c r="Y234" s="51"/>
      <c r="Z234" s="51"/>
      <c r="AA234" s="51"/>
      <c r="AB234" s="51"/>
    </row>
    <row r="235" customFormat="false" ht="15.75" hidden="false" customHeight="false" outlineLevel="0" collapsed="false">
      <c r="A235" s="51"/>
      <c r="B235" s="51"/>
      <c r="C235" s="6"/>
      <c r="D235" s="49"/>
      <c r="E235" s="51"/>
      <c r="F235" s="6"/>
      <c r="G235" s="6"/>
      <c r="H235" s="6"/>
      <c r="I235" s="6"/>
      <c r="J235" s="6"/>
      <c r="K235" s="51"/>
      <c r="L235" s="51"/>
      <c r="M235" s="51"/>
      <c r="N235" s="51"/>
      <c r="O235" s="51"/>
      <c r="P235" s="51"/>
      <c r="Q235" s="51"/>
      <c r="R235" s="51"/>
      <c r="S235" s="51"/>
      <c r="T235" s="51"/>
      <c r="U235" s="51"/>
      <c r="V235" s="51"/>
      <c r="W235" s="51"/>
      <c r="X235" s="51"/>
      <c r="Y235" s="51"/>
      <c r="Z235" s="51"/>
      <c r="AA235" s="51"/>
      <c r="AB235" s="51"/>
    </row>
    <row r="236" customFormat="false" ht="15.75" hidden="false" customHeight="false" outlineLevel="0" collapsed="false">
      <c r="A236" s="51"/>
      <c r="B236" s="51"/>
      <c r="C236" s="6"/>
      <c r="D236" s="49"/>
      <c r="E236" s="51"/>
      <c r="F236" s="6"/>
      <c r="G236" s="6"/>
      <c r="H236" s="6"/>
      <c r="I236" s="6"/>
      <c r="J236" s="6"/>
      <c r="K236" s="51"/>
      <c r="L236" s="51"/>
      <c r="M236" s="51"/>
      <c r="N236" s="51"/>
      <c r="O236" s="51"/>
      <c r="P236" s="51"/>
      <c r="Q236" s="51"/>
      <c r="R236" s="51"/>
      <c r="S236" s="51"/>
      <c r="T236" s="51"/>
      <c r="U236" s="51"/>
      <c r="V236" s="51"/>
      <c r="W236" s="51"/>
      <c r="X236" s="51"/>
      <c r="Y236" s="51"/>
      <c r="Z236" s="51"/>
      <c r="AA236" s="51"/>
      <c r="AB236" s="51"/>
    </row>
    <row r="237" customFormat="false" ht="15.75" hidden="false" customHeight="false" outlineLevel="0" collapsed="false">
      <c r="A237" s="51"/>
      <c r="B237" s="51"/>
      <c r="C237" s="6"/>
      <c r="D237" s="49"/>
      <c r="E237" s="51"/>
      <c r="F237" s="6"/>
      <c r="G237" s="6"/>
      <c r="H237" s="6"/>
      <c r="I237" s="6"/>
      <c r="J237" s="6"/>
      <c r="K237" s="51"/>
      <c r="L237" s="51"/>
      <c r="M237" s="51"/>
      <c r="N237" s="51"/>
      <c r="O237" s="51"/>
      <c r="P237" s="51"/>
      <c r="Q237" s="51"/>
      <c r="R237" s="51"/>
      <c r="S237" s="51"/>
      <c r="T237" s="51"/>
      <c r="U237" s="51"/>
      <c r="V237" s="51"/>
      <c r="W237" s="51"/>
      <c r="X237" s="51"/>
      <c r="Y237" s="51"/>
      <c r="Z237" s="51"/>
      <c r="AA237" s="51"/>
      <c r="AB237" s="51"/>
    </row>
    <row r="238" customFormat="false" ht="15.75" hidden="false" customHeight="false" outlineLevel="0" collapsed="false">
      <c r="A238" s="51"/>
      <c r="B238" s="51"/>
      <c r="C238" s="6"/>
      <c r="D238" s="49"/>
      <c r="E238" s="51"/>
      <c r="F238" s="6"/>
      <c r="G238" s="6"/>
      <c r="H238" s="6"/>
      <c r="I238" s="6"/>
      <c r="J238" s="6"/>
      <c r="K238" s="51"/>
      <c r="L238" s="51"/>
      <c r="M238" s="51"/>
      <c r="N238" s="51"/>
      <c r="O238" s="51"/>
      <c r="P238" s="51"/>
      <c r="Q238" s="51"/>
      <c r="R238" s="51"/>
      <c r="S238" s="51"/>
      <c r="T238" s="51"/>
      <c r="U238" s="51"/>
      <c r="V238" s="51"/>
      <c r="W238" s="51"/>
      <c r="X238" s="51"/>
      <c r="Y238" s="51"/>
      <c r="Z238" s="51"/>
      <c r="AA238" s="51"/>
      <c r="AB238" s="51"/>
    </row>
    <row r="239" customFormat="false" ht="15.75" hidden="false" customHeight="false" outlineLevel="0" collapsed="false">
      <c r="A239" s="51"/>
      <c r="B239" s="51"/>
      <c r="C239" s="6"/>
      <c r="D239" s="49"/>
      <c r="E239" s="51"/>
      <c r="F239" s="6"/>
      <c r="G239" s="6"/>
      <c r="H239" s="6"/>
      <c r="I239" s="6"/>
      <c r="J239" s="6"/>
      <c r="K239" s="51"/>
      <c r="L239" s="51"/>
      <c r="M239" s="51"/>
      <c r="N239" s="51"/>
      <c r="O239" s="51"/>
      <c r="P239" s="51"/>
      <c r="Q239" s="51"/>
      <c r="R239" s="51"/>
      <c r="S239" s="51"/>
      <c r="T239" s="51"/>
      <c r="U239" s="51"/>
      <c r="V239" s="51"/>
      <c r="W239" s="51"/>
      <c r="X239" s="51"/>
      <c r="Y239" s="51"/>
      <c r="Z239" s="51"/>
      <c r="AA239" s="51"/>
      <c r="AB239" s="51"/>
    </row>
    <row r="240" customFormat="false" ht="15.75" hidden="false" customHeight="false" outlineLevel="0" collapsed="false">
      <c r="A240" s="51"/>
      <c r="B240" s="51"/>
      <c r="C240" s="6"/>
      <c r="D240" s="49"/>
      <c r="E240" s="51"/>
      <c r="F240" s="6"/>
      <c r="G240" s="6"/>
      <c r="H240" s="6"/>
      <c r="I240" s="6"/>
      <c r="J240" s="6"/>
      <c r="K240" s="51"/>
      <c r="L240" s="51"/>
      <c r="M240" s="51"/>
      <c r="N240" s="51"/>
      <c r="O240" s="51"/>
      <c r="P240" s="51"/>
      <c r="Q240" s="51"/>
      <c r="R240" s="51"/>
      <c r="S240" s="51"/>
      <c r="T240" s="51"/>
      <c r="U240" s="51"/>
      <c r="V240" s="51"/>
      <c r="W240" s="51"/>
      <c r="X240" s="51"/>
      <c r="Y240" s="51"/>
      <c r="Z240" s="51"/>
      <c r="AA240" s="51"/>
      <c r="AB240" s="51"/>
    </row>
    <row r="241" customFormat="false" ht="15.75" hidden="false" customHeight="false" outlineLevel="0" collapsed="false">
      <c r="A241" s="51"/>
      <c r="B241" s="51"/>
      <c r="C241" s="6"/>
      <c r="D241" s="49"/>
      <c r="E241" s="51"/>
      <c r="F241" s="6"/>
      <c r="G241" s="6"/>
      <c r="H241" s="6"/>
      <c r="I241" s="6"/>
      <c r="J241" s="6"/>
      <c r="K241" s="51"/>
      <c r="L241" s="51"/>
      <c r="M241" s="51"/>
      <c r="N241" s="51"/>
      <c r="O241" s="51"/>
      <c r="P241" s="51"/>
      <c r="Q241" s="51"/>
      <c r="R241" s="51"/>
      <c r="S241" s="51"/>
      <c r="T241" s="51"/>
      <c r="U241" s="51"/>
      <c r="V241" s="51"/>
      <c r="W241" s="51"/>
      <c r="X241" s="51"/>
      <c r="Y241" s="51"/>
      <c r="Z241" s="51"/>
      <c r="AA241" s="51"/>
      <c r="AB241" s="51"/>
    </row>
    <row r="242" customFormat="false" ht="15.75" hidden="false" customHeight="false" outlineLevel="0" collapsed="false">
      <c r="A242" s="51"/>
      <c r="B242" s="51"/>
      <c r="C242" s="6"/>
      <c r="D242" s="49"/>
      <c r="E242" s="51"/>
      <c r="F242" s="6"/>
      <c r="G242" s="6"/>
      <c r="H242" s="6"/>
      <c r="I242" s="6"/>
      <c r="J242" s="6"/>
      <c r="K242" s="51"/>
      <c r="L242" s="51"/>
      <c r="M242" s="51"/>
      <c r="N242" s="51"/>
      <c r="O242" s="51"/>
      <c r="P242" s="51"/>
      <c r="Q242" s="51"/>
      <c r="R242" s="51"/>
      <c r="S242" s="51"/>
      <c r="T242" s="51"/>
      <c r="U242" s="51"/>
      <c r="V242" s="51"/>
      <c r="W242" s="51"/>
      <c r="X242" s="51"/>
      <c r="Y242" s="51"/>
      <c r="Z242" s="51"/>
      <c r="AA242" s="51"/>
      <c r="AB242" s="51"/>
    </row>
    <row r="243" customFormat="false" ht="15.75" hidden="false" customHeight="false" outlineLevel="0" collapsed="false">
      <c r="A243" s="51"/>
      <c r="B243" s="51"/>
      <c r="C243" s="6"/>
      <c r="D243" s="49"/>
      <c r="E243" s="51"/>
      <c r="F243" s="6"/>
      <c r="G243" s="6"/>
      <c r="H243" s="6"/>
      <c r="I243" s="6"/>
      <c r="J243" s="6"/>
      <c r="K243" s="51"/>
      <c r="L243" s="51"/>
      <c r="M243" s="51"/>
      <c r="N243" s="51"/>
      <c r="O243" s="51"/>
      <c r="P243" s="51"/>
      <c r="Q243" s="51"/>
      <c r="R243" s="51"/>
      <c r="S243" s="51"/>
      <c r="T243" s="51"/>
      <c r="U243" s="51"/>
      <c r="V243" s="51"/>
      <c r="W243" s="51"/>
      <c r="X243" s="51"/>
      <c r="Y243" s="51"/>
      <c r="Z243" s="51"/>
      <c r="AA243" s="51"/>
      <c r="AB243" s="51"/>
    </row>
    <row r="244" customFormat="false" ht="15.75" hidden="false" customHeight="false" outlineLevel="0" collapsed="false">
      <c r="A244" s="51"/>
      <c r="B244" s="51"/>
      <c r="C244" s="6"/>
      <c r="D244" s="49"/>
      <c r="E244" s="51"/>
      <c r="F244" s="6"/>
      <c r="G244" s="6"/>
      <c r="H244" s="6"/>
      <c r="I244" s="6"/>
      <c r="J244" s="6"/>
      <c r="K244" s="51"/>
      <c r="L244" s="51"/>
      <c r="M244" s="51"/>
      <c r="N244" s="51"/>
      <c r="O244" s="51"/>
      <c r="P244" s="51"/>
      <c r="Q244" s="51"/>
      <c r="R244" s="51"/>
      <c r="S244" s="51"/>
      <c r="T244" s="51"/>
      <c r="U244" s="51"/>
      <c r="V244" s="51"/>
      <c r="W244" s="51"/>
      <c r="X244" s="51"/>
      <c r="Y244" s="51"/>
      <c r="Z244" s="51"/>
      <c r="AA244" s="51"/>
      <c r="AB244" s="51"/>
    </row>
    <row r="245" customFormat="false" ht="15.75" hidden="false" customHeight="false" outlineLevel="0" collapsed="false">
      <c r="A245" s="51"/>
      <c r="B245" s="51"/>
      <c r="C245" s="6"/>
      <c r="D245" s="49"/>
      <c r="E245" s="51"/>
      <c r="F245" s="6"/>
      <c r="G245" s="6"/>
      <c r="H245" s="6"/>
      <c r="I245" s="6"/>
      <c r="J245" s="6"/>
      <c r="K245" s="51"/>
      <c r="L245" s="51"/>
      <c r="M245" s="51"/>
      <c r="N245" s="51"/>
      <c r="O245" s="51"/>
      <c r="P245" s="51"/>
      <c r="Q245" s="51"/>
      <c r="R245" s="51"/>
      <c r="S245" s="51"/>
      <c r="T245" s="51"/>
      <c r="U245" s="51"/>
      <c r="V245" s="51"/>
      <c r="W245" s="51"/>
      <c r="X245" s="51"/>
      <c r="Y245" s="51"/>
      <c r="Z245" s="51"/>
      <c r="AA245" s="51"/>
      <c r="AB245" s="51"/>
    </row>
    <row r="246" customFormat="false" ht="15.75" hidden="false" customHeight="false" outlineLevel="0" collapsed="false">
      <c r="A246" s="51"/>
      <c r="B246" s="51"/>
      <c r="C246" s="6"/>
      <c r="D246" s="49"/>
      <c r="E246" s="51"/>
      <c r="F246" s="6"/>
      <c r="G246" s="6"/>
      <c r="H246" s="6"/>
      <c r="I246" s="6"/>
      <c r="J246" s="6"/>
      <c r="K246" s="51"/>
      <c r="L246" s="51"/>
      <c r="M246" s="51"/>
      <c r="N246" s="51"/>
      <c r="O246" s="51"/>
      <c r="P246" s="51"/>
      <c r="Q246" s="51"/>
      <c r="R246" s="51"/>
      <c r="S246" s="51"/>
      <c r="T246" s="51"/>
      <c r="U246" s="51"/>
      <c r="V246" s="51"/>
      <c r="W246" s="51"/>
      <c r="X246" s="51"/>
      <c r="Y246" s="51"/>
      <c r="Z246" s="51"/>
      <c r="AA246" s="51"/>
      <c r="AB246" s="51"/>
    </row>
    <row r="247" customFormat="false" ht="15.75" hidden="false" customHeight="false" outlineLevel="0" collapsed="false">
      <c r="A247" s="51"/>
      <c r="B247" s="51"/>
      <c r="C247" s="6"/>
      <c r="D247" s="49"/>
      <c r="E247" s="51"/>
      <c r="F247" s="6"/>
      <c r="G247" s="6"/>
      <c r="H247" s="6"/>
      <c r="I247" s="6"/>
      <c r="J247" s="6"/>
      <c r="K247" s="51"/>
      <c r="L247" s="51"/>
      <c r="M247" s="51"/>
      <c r="N247" s="51"/>
      <c r="O247" s="51"/>
      <c r="P247" s="51"/>
      <c r="Q247" s="51"/>
      <c r="R247" s="51"/>
      <c r="S247" s="51"/>
      <c r="T247" s="51"/>
      <c r="U247" s="51"/>
      <c r="V247" s="51"/>
      <c r="W247" s="51"/>
      <c r="X247" s="51"/>
      <c r="Y247" s="51"/>
      <c r="Z247" s="51"/>
      <c r="AA247" s="51"/>
      <c r="AB247" s="51"/>
    </row>
    <row r="248" customFormat="false" ht="15.75" hidden="false" customHeight="false" outlineLevel="0" collapsed="false">
      <c r="A248" s="51"/>
      <c r="B248" s="51"/>
      <c r="C248" s="6"/>
      <c r="D248" s="49"/>
      <c r="E248" s="51"/>
      <c r="F248" s="6"/>
      <c r="G248" s="6"/>
      <c r="H248" s="6"/>
      <c r="I248" s="6"/>
      <c r="J248" s="6"/>
      <c r="K248" s="51"/>
      <c r="L248" s="51"/>
      <c r="M248" s="51"/>
      <c r="N248" s="51"/>
      <c r="O248" s="51"/>
      <c r="P248" s="51"/>
      <c r="Q248" s="51"/>
      <c r="R248" s="51"/>
      <c r="S248" s="51"/>
      <c r="T248" s="51"/>
      <c r="U248" s="51"/>
      <c r="V248" s="51"/>
      <c r="W248" s="51"/>
      <c r="X248" s="51"/>
      <c r="Y248" s="51"/>
      <c r="Z248" s="51"/>
      <c r="AA248" s="51"/>
      <c r="AB248" s="51"/>
    </row>
    <row r="249" customFormat="false" ht="15.75" hidden="false" customHeight="false" outlineLevel="0" collapsed="false">
      <c r="A249" s="51"/>
      <c r="B249" s="51"/>
      <c r="C249" s="6"/>
      <c r="D249" s="49"/>
      <c r="E249" s="51"/>
      <c r="F249" s="6"/>
      <c r="G249" s="6"/>
      <c r="H249" s="6"/>
      <c r="I249" s="6"/>
      <c r="J249" s="6"/>
      <c r="K249" s="51"/>
      <c r="L249" s="51"/>
      <c r="M249" s="51"/>
      <c r="N249" s="51"/>
      <c r="O249" s="51"/>
      <c r="P249" s="51"/>
      <c r="Q249" s="51"/>
      <c r="R249" s="51"/>
      <c r="S249" s="51"/>
      <c r="T249" s="51"/>
      <c r="U249" s="51"/>
      <c r="V249" s="51"/>
      <c r="W249" s="51"/>
      <c r="X249" s="51"/>
      <c r="Y249" s="51"/>
      <c r="Z249" s="51"/>
      <c r="AA249" s="51"/>
      <c r="AB249" s="51"/>
    </row>
    <row r="250" customFormat="false" ht="15.75" hidden="false" customHeight="false" outlineLevel="0" collapsed="false">
      <c r="A250" s="51"/>
      <c r="B250" s="51"/>
      <c r="C250" s="6"/>
      <c r="D250" s="49"/>
      <c r="E250" s="51"/>
      <c r="F250" s="6"/>
      <c r="G250" s="6"/>
      <c r="H250" s="6"/>
      <c r="I250" s="6"/>
      <c r="J250" s="6"/>
      <c r="K250" s="51"/>
      <c r="L250" s="51"/>
      <c r="M250" s="51"/>
      <c r="N250" s="51"/>
      <c r="O250" s="51"/>
      <c r="P250" s="51"/>
      <c r="Q250" s="51"/>
      <c r="R250" s="51"/>
      <c r="S250" s="51"/>
      <c r="T250" s="51"/>
      <c r="U250" s="51"/>
      <c r="V250" s="51"/>
      <c r="W250" s="51"/>
      <c r="X250" s="51"/>
      <c r="Y250" s="51"/>
      <c r="Z250" s="51"/>
      <c r="AA250" s="51"/>
      <c r="AB250" s="51"/>
    </row>
    <row r="251" customFormat="false" ht="15.75" hidden="false" customHeight="false" outlineLevel="0" collapsed="false">
      <c r="A251" s="51"/>
      <c r="B251" s="51"/>
      <c r="C251" s="6"/>
      <c r="D251" s="49"/>
      <c r="E251" s="51"/>
      <c r="F251" s="6"/>
      <c r="G251" s="6"/>
      <c r="H251" s="6"/>
      <c r="I251" s="6"/>
      <c r="J251" s="6"/>
      <c r="K251" s="51"/>
      <c r="L251" s="51"/>
      <c r="M251" s="51"/>
      <c r="N251" s="51"/>
      <c r="O251" s="51"/>
      <c r="P251" s="51"/>
      <c r="Q251" s="51"/>
      <c r="R251" s="51"/>
      <c r="S251" s="51"/>
      <c r="T251" s="51"/>
      <c r="U251" s="51"/>
      <c r="V251" s="51"/>
      <c r="W251" s="51"/>
      <c r="X251" s="51"/>
      <c r="Y251" s="51"/>
      <c r="Z251" s="51"/>
      <c r="AA251" s="51"/>
      <c r="AB251" s="51"/>
    </row>
    <row r="252" customFormat="false" ht="15.75" hidden="false" customHeight="false" outlineLevel="0" collapsed="false">
      <c r="A252" s="51"/>
      <c r="B252" s="51"/>
      <c r="C252" s="6"/>
      <c r="D252" s="49"/>
      <c r="E252" s="51"/>
      <c r="F252" s="6"/>
      <c r="G252" s="6"/>
      <c r="H252" s="6"/>
      <c r="I252" s="6"/>
      <c r="J252" s="6"/>
      <c r="K252" s="51"/>
      <c r="L252" s="51"/>
      <c r="M252" s="51"/>
      <c r="N252" s="51"/>
      <c r="O252" s="51"/>
      <c r="P252" s="51"/>
      <c r="Q252" s="51"/>
      <c r="R252" s="51"/>
      <c r="S252" s="51"/>
      <c r="T252" s="51"/>
      <c r="U252" s="51"/>
      <c r="V252" s="51"/>
      <c r="W252" s="51"/>
      <c r="X252" s="51"/>
      <c r="Y252" s="51"/>
      <c r="Z252" s="51"/>
      <c r="AA252" s="51"/>
      <c r="AB252" s="51"/>
    </row>
    <row r="253" customFormat="false" ht="15.75" hidden="false" customHeight="false" outlineLevel="0" collapsed="false">
      <c r="A253" s="51"/>
      <c r="B253" s="51"/>
      <c r="C253" s="6"/>
      <c r="D253" s="49"/>
      <c r="E253" s="51"/>
      <c r="F253" s="6"/>
      <c r="G253" s="6"/>
      <c r="H253" s="6"/>
      <c r="I253" s="6"/>
      <c r="J253" s="6"/>
      <c r="K253" s="51"/>
      <c r="L253" s="51"/>
      <c r="M253" s="51"/>
      <c r="N253" s="51"/>
      <c r="O253" s="51"/>
      <c r="P253" s="51"/>
      <c r="Q253" s="51"/>
      <c r="R253" s="51"/>
      <c r="S253" s="51"/>
      <c r="T253" s="51"/>
      <c r="U253" s="51"/>
      <c r="V253" s="51"/>
      <c r="W253" s="51"/>
      <c r="X253" s="51"/>
      <c r="Y253" s="51"/>
      <c r="Z253" s="51"/>
      <c r="AA253" s="51"/>
      <c r="AB253" s="51"/>
    </row>
    <row r="254" customFormat="false" ht="15.75" hidden="false" customHeight="false" outlineLevel="0" collapsed="false">
      <c r="A254" s="51"/>
      <c r="B254" s="51"/>
      <c r="C254" s="6"/>
      <c r="D254" s="49"/>
      <c r="E254" s="51"/>
      <c r="F254" s="6"/>
      <c r="G254" s="6"/>
      <c r="H254" s="6"/>
      <c r="I254" s="6"/>
      <c r="J254" s="6"/>
      <c r="K254" s="51"/>
      <c r="L254" s="51"/>
      <c r="M254" s="51"/>
      <c r="N254" s="51"/>
      <c r="O254" s="51"/>
      <c r="P254" s="51"/>
      <c r="Q254" s="51"/>
      <c r="R254" s="51"/>
      <c r="S254" s="51"/>
      <c r="T254" s="51"/>
      <c r="U254" s="51"/>
      <c r="V254" s="51"/>
      <c r="W254" s="51"/>
      <c r="X254" s="51"/>
      <c r="Y254" s="51"/>
      <c r="Z254" s="51"/>
      <c r="AA254" s="51"/>
      <c r="AB254" s="51"/>
    </row>
    <row r="255" customFormat="false" ht="15.75" hidden="false" customHeight="false" outlineLevel="0" collapsed="false">
      <c r="A255" s="51"/>
      <c r="B255" s="51"/>
      <c r="C255" s="6"/>
      <c r="D255" s="49"/>
      <c r="E255" s="51"/>
      <c r="F255" s="6"/>
      <c r="G255" s="6"/>
      <c r="H255" s="6"/>
      <c r="I255" s="6"/>
      <c r="J255" s="6"/>
      <c r="K255" s="51"/>
      <c r="L255" s="51"/>
      <c r="M255" s="51"/>
      <c r="N255" s="51"/>
      <c r="O255" s="51"/>
      <c r="P255" s="51"/>
      <c r="Q255" s="51"/>
      <c r="R255" s="51"/>
      <c r="S255" s="51"/>
      <c r="T255" s="51"/>
      <c r="U255" s="51"/>
      <c r="V255" s="51"/>
      <c r="W255" s="51"/>
      <c r="X255" s="51"/>
      <c r="Y255" s="51"/>
      <c r="Z255" s="51"/>
      <c r="AA255" s="51"/>
      <c r="AB255" s="51"/>
    </row>
    <row r="256" customFormat="false" ht="15.75" hidden="false" customHeight="false" outlineLevel="0" collapsed="false">
      <c r="A256" s="51"/>
      <c r="B256" s="51"/>
      <c r="C256" s="6"/>
      <c r="D256" s="49"/>
      <c r="E256" s="51"/>
      <c r="F256" s="6"/>
      <c r="G256" s="6"/>
      <c r="H256" s="6"/>
      <c r="I256" s="6"/>
      <c r="J256" s="6"/>
      <c r="K256" s="51"/>
      <c r="L256" s="51"/>
      <c r="M256" s="51"/>
      <c r="N256" s="51"/>
      <c r="O256" s="51"/>
      <c r="P256" s="51"/>
      <c r="Q256" s="51"/>
      <c r="R256" s="51"/>
      <c r="S256" s="51"/>
      <c r="T256" s="51"/>
      <c r="U256" s="51"/>
      <c r="V256" s="51"/>
      <c r="W256" s="51"/>
      <c r="X256" s="51"/>
      <c r="Y256" s="51"/>
      <c r="Z256" s="51"/>
      <c r="AA256" s="51"/>
      <c r="AB256" s="51"/>
    </row>
    <row r="257" customFormat="false" ht="15.75" hidden="false" customHeight="false" outlineLevel="0" collapsed="false">
      <c r="A257" s="51"/>
      <c r="B257" s="51"/>
      <c r="C257" s="6"/>
      <c r="D257" s="49"/>
      <c r="E257" s="51"/>
      <c r="F257" s="6"/>
      <c r="G257" s="6"/>
      <c r="H257" s="6"/>
      <c r="I257" s="6"/>
      <c r="J257" s="6"/>
      <c r="K257" s="51"/>
      <c r="L257" s="51"/>
      <c r="M257" s="51"/>
      <c r="N257" s="51"/>
      <c r="O257" s="51"/>
      <c r="P257" s="51"/>
      <c r="Q257" s="51"/>
      <c r="R257" s="51"/>
      <c r="S257" s="51"/>
      <c r="T257" s="51"/>
      <c r="U257" s="51"/>
      <c r="V257" s="51"/>
      <c r="W257" s="51"/>
      <c r="X257" s="51"/>
      <c r="Y257" s="51"/>
      <c r="Z257" s="51"/>
      <c r="AA257" s="51"/>
      <c r="AB257" s="51"/>
    </row>
    <row r="258" customFormat="false" ht="15.75" hidden="false" customHeight="false" outlineLevel="0" collapsed="false">
      <c r="A258" s="51"/>
      <c r="B258" s="51"/>
      <c r="C258" s="6"/>
      <c r="D258" s="49"/>
      <c r="E258" s="51"/>
      <c r="F258" s="6"/>
      <c r="G258" s="6"/>
      <c r="H258" s="6"/>
      <c r="I258" s="6"/>
      <c r="J258" s="6"/>
      <c r="K258" s="51"/>
      <c r="L258" s="51"/>
      <c r="M258" s="51"/>
      <c r="N258" s="51"/>
      <c r="O258" s="51"/>
      <c r="P258" s="51"/>
      <c r="Q258" s="51"/>
      <c r="R258" s="51"/>
      <c r="S258" s="51"/>
      <c r="T258" s="51"/>
      <c r="U258" s="51"/>
      <c r="V258" s="51"/>
      <c r="W258" s="51"/>
      <c r="X258" s="51"/>
      <c r="Y258" s="51"/>
      <c r="Z258" s="51"/>
      <c r="AA258" s="51"/>
      <c r="AB258" s="51"/>
    </row>
    <row r="259" customFormat="false" ht="15.75" hidden="false" customHeight="false" outlineLevel="0" collapsed="false">
      <c r="A259" s="51"/>
      <c r="B259" s="51"/>
      <c r="C259" s="6"/>
      <c r="D259" s="49"/>
      <c r="E259" s="51"/>
      <c r="F259" s="6"/>
      <c r="G259" s="6"/>
      <c r="H259" s="6"/>
      <c r="I259" s="6"/>
      <c r="J259" s="6"/>
      <c r="K259" s="51"/>
      <c r="L259" s="51"/>
      <c r="M259" s="51"/>
      <c r="N259" s="51"/>
      <c r="O259" s="51"/>
      <c r="P259" s="51"/>
      <c r="Q259" s="51"/>
      <c r="R259" s="51"/>
      <c r="S259" s="51"/>
      <c r="T259" s="51"/>
      <c r="U259" s="51"/>
      <c r="V259" s="51"/>
      <c r="W259" s="51"/>
      <c r="X259" s="51"/>
      <c r="Y259" s="51"/>
      <c r="Z259" s="51"/>
      <c r="AA259" s="51"/>
      <c r="AB259" s="51"/>
    </row>
    <row r="260" customFormat="false" ht="15.75" hidden="false" customHeight="false" outlineLevel="0" collapsed="false">
      <c r="A260" s="51"/>
      <c r="B260" s="51"/>
      <c r="C260" s="6"/>
      <c r="D260" s="49"/>
      <c r="E260" s="51"/>
      <c r="F260" s="6"/>
      <c r="G260" s="6"/>
      <c r="H260" s="6"/>
      <c r="I260" s="6"/>
      <c r="J260" s="6"/>
      <c r="K260" s="51"/>
      <c r="L260" s="51"/>
      <c r="M260" s="51"/>
      <c r="N260" s="51"/>
      <c r="O260" s="51"/>
      <c r="P260" s="51"/>
      <c r="Q260" s="51"/>
      <c r="R260" s="51"/>
      <c r="S260" s="51"/>
      <c r="T260" s="51"/>
      <c r="U260" s="51"/>
      <c r="V260" s="51"/>
      <c r="W260" s="51"/>
      <c r="X260" s="51"/>
      <c r="Y260" s="51"/>
      <c r="Z260" s="51"/>
      <c r="AA260" s="51"/>
      <c r="AB260" s="51"/>
    </row>
    <row r="261" customFormat="false" ht="15.75" hidden="false" customHeight="false" outlineLevel="0" collapsed="false">
      <c r="A261" s="51"/>
      <c r="B261" s="51"/>
      <c r="C261" s="6"/>
      <c r="D261" s="49"/>
      <c r="E261" s="51"/>
      <c r="F261" s="6"/>
      <c r="G261" s="6"/>
      <c r="H261" s="6"/>
      <c r="I261" s="6"/>
      <c r="J261" s="6"/>
      <c r="K261" s="51"/>
      <c r="L261" s="51"/>
      <c r="M261" s="51"/>
      <c r="N261" s="51"/>
      <c r="O261" s="51"/>
      <c r="P261" s="51"/>
      <c r="Q261" s="51"/>
      <c r="R261" s="51"/>
      <c r="S261" s="51"/>
      <c r="T261" s="51"/>
      <c r="U261" s="51"/>
      <c r="V261" s="51"/>
      <c r="W261" s="51"/>
      <c r="X261" s="51"/>
      <c r="Y261" s="51"/>
      <c r="Z261" s="51"/>
      <c r="AA261" s="51"/>
      <c r="AB261" s="51"/>
    </row>
    <row r="262" customFormat="false" ht="15.75" hidden="false" customHeight="false" outlineLevel="0" collapsed="false">
      <c r="A262" s="51"/>
      <c r="B262" s="51"/>
      <c r="C262" s="6"/>
      <c r="D262" s="49"/>
      <c r="E262" s="51"/>
      <c r="F262" s="6"/>
      <c r="G262" s="6"/>
      <c r="H262" s="6"/>
      <c r="I262" s="6"/>
      <c r="J262" s="6"/>
      <c r="K262" s="51"/>
      <c r="L262" s="51"/>
      <c r="M262" s="51"/>
      <c r="N262" s="51"/>
      <c r="O262" s="51"/>
      <c r="P262" s="51"/>
      <c r="Q262" s="51"/>
      <c r="R262" s="51"/>
      <c r="S262" s="51"/>
      <c r="T262" s="51"/>
      <c r="U262" s="51"/>
      <c r="V262" s="51"/>
      <c r="W262" s="51"/>
      <c r="X262" s="51"/>
      <c r="Y262" s="51"/>
      <c r="Z262" s="51"/>
      <c r="AA262" s="51"/>
      <c r="AB262" s="51"/>
    </row>
    <row r="263" customFormat="false" ht="15.75" hidden="false" customHeight="false" outlineLevel="0" collapsed="false">
      <c r="A263" s="51"/>
      <c r="B263" s="51"/>
      <c r="C263" s="6"/>
      <c r="D263" s="49"/>
      <c r="E263" s="51"/>
      <c r="F263" s="6"/>
      <c r="G263" s="6"/>
      <c r="H263" s="6"/>
      <c r="I263" s="6"/>
      <c r="J263" s="6"/>
      <c r="K263" s="51"/>
      <c r="L263" s="51"/>
      <c r="M263" s="51"/>
      <c r="N263" s="51"/>
      <c r="O263" s="51"/>
      <c r="P263" s="51"/>
      <c r="Q263" s="51"/>
      <c r="R263" s="51"/>
      <c r="S263" s="51"/>
      <c r="T263" s="51"/>
      <c r="U263" s="51"/>
      <c r="V263" s="51"/>
      <c r="W263" s="51"/>
      <c r="X263" s="51"/>
      <c r="Y263" s="51"/>
      <c r="Z263" s="51"/>
      <c r="AA263" s="51"/>
      <c r="AB263" s="51"/>
    </row>
    <row r="264" customFormat="false" ht="15.75" hidden="false" customHeight="false" outlineLevel="0" collapsed="false">
      <c r="A264" s="51"/>
      <c r="B264" s="51"/>
      <c r="C264" s="6"/>
      <c r="D264" s="49"/>
      <c r="E264" s="51"/>
      <c r="F264" s="6"/>
      <c r="G264" s="6"/>
      <c r="H264" s="6"/>
      <c r="I264" s="6"/>
      <c r="J264" s="6"/>
      <c r="K264" s="51"/>
      <c r="L264" s="51"/>
      <c r="M264" s="51"/>
      <c r="N264" s="51"/>
      <c r="O264" s="51"/>
      <c r="P264" s="51"/>
      <c r="Q264" s="51"/>
      <c r="R264" s="51"/>
      <c r="S264" s="51"/>
      <c r="T264" s="51"/>
      <c r="U264" s="51"/>
      <c r="V264" s="51"/>
      <c r="W264" s="51"/>
      <c r="X264" s="51"/>
      <c r="Y264" s="51"/>
      <c r="Z264" s="51"/>
      <c r="AA264" s="51"/>
      <c r="AB264" s="51"/>
    </row>
    <row r="265" customFormat="false" ht="15.75" hidden="false" customHeight="false" outlineLevel="0" collapsed="false">
      <c r="A265" s="51"/>
      <c r="B265" s="51"/>
      <c r="C265" s="6"/>
      <c r="D265" s="49"/>
      <c r="E265" s="51"/>
      <c r="F265" s="6"/>
      <c r="G265" s="6"/>
      <c r="H265" s="6"/>
      <c r="I265" s="6"/>
      <c r="J265" s="6"/>
      <c r="K265" s="51"/>
      <c r="L265" s="51"/>
      <c r="M265" s="51"/>
      <c r="N265" s="51"/>
      <c r="O265" s="51"/>
      <c r="P265" s="51"/>
      <c r="Q265" s="51"/>
      <c r="R265" s="51"/>
      <c r="S265" s="51"/>
      <c r="T265" s="51"/>
      <c r="U265" s="51"/>
      <c r="V265" s="51"/>
      <c r="W265" s="51"/>
      <c r="X265" s="51"/>
      <c r="Y265" s="51"/>
      <c r="Z265" s="51"/>
      <c r="AA265" s="51"/>
      <c r="AB265" s="51"/>
    </row>
    <row r="266" customFormat="false" ht="15.75" hidden="false" customHeight="false" outlineLevel="0" collapsed="false">
      <c r="A266" s="51"/>
      <c r="B266" s="51"/>
      <c r="C266" s="6"/>
      <c r="D266" s="49"/>
      <c r="E266" s="51"/>
      <c r="F266" s="6"/>
      <c r="G266" s="6"/>
      <c r="H266" s="6"/>
      <c r="I266" s="6"/>
      <c r="J266" s="6"/>
      <c r="K266" s="51"/>
      <c r="L266" s="51"/>
      <c r="M266" s="51"/>
      <c r="N266" s="51"/>
      <c r="O266" s="51"/>
      <c r="P266" s="51"/>
      <c r="Q266" s="51"/>
      <c r="R266" s="51"/>
      <c r="S266" s="51"/>
      <c r="T266" s="51"/>
      <c r="U266" s="51"/>
      <c r="V266" s="51"/>
      <c r="W266" s="51"/>
      <c r="X266" s="51"/>
      <c r="Y266" s="51"/>
      <c r="Z266" s="51"/>
      <c r="AA266" s="51"/>
      <c r="AB266" s="51"/>
    </row>
    <row r="267" customFormat="false" ht="15.75" hidden="false" customHeight="false" outlineLevel="0" collapsed="false">
      <c r="A267" s="51"/>
      <c r="B267" s="51"/>
      <c r="C267" s="6"/>
      <c r="D267" s="49"/>
      <c r="E267" s="51"/>
      <c r="F267" s="6"/>
      <c r="G267" s="6"/>
      <c r="H267" s="6"/>
      <c r="I267" s="6"/>
      <c r="J267" s="6"/>
      <c r="K267" s="51"/>
      <c r="L267" s="51"/>
      <c r="M267" s="51"/>
      <c r="N267" s="51"/>
      <c r="O267" s="51"/>
      <c r="P267" s="51"/>
      <c r="Q267" s="51"/>
      <c r="R267" s="51"/>
      <c r="S267" s="51"/>
      <c r="T267" s="51"/>
      <c r="U267" s="51"/>
      <c r="V267" s="51"/>
      <c r="W267" s="51"/>
      <c r="X267" s="51"/>
      <c r="Y267" s="51"/>
      <c r="Z267" s="51"/>
      <c r="AA267" s="51"/>
      <c r="AB267" s="51"/>
    </row>
    <row r="268" customFormat="false" ht="15.75" hidden="false" customHeight="false" outlineLevel="0" collapsed="false">
      <c r="A268" s="51"/>
      <c r="B268" s="51"/>
      <c r="C268" s="6"/>
      <c r="D268" s="49"/>
      <c r="E268" s="51"/>
      <c r="F268" s="6"/>
      <c r="G268" s="6"/>
      <c r="H268" s="6"/>
      <c r="I268" s="6"/>
      <c r="J268" s="6"/>
      <c r="K268" s="51"/>
      <c r="L268" s="51"/>
      <c r="M268" s="51"/>
      <c r="N268" s="51"/>
      <c r="O268" s="51"/>
      <c r="P268" s="51"/>
      <c r="Q268" s="51"/>
      <c r="R268" s="51"/>
      <c r="S268" s="51"/>
      <c r="T268" s="51"/>
      <c r="U268" s="51"/>
      <c r="V268" s="51"/>
      <c r="W268" s="51"/>
      <c r="X268" s="51"/>
      <c r="Y268" s="51"/>
      <c r="Z268" s="51"/>
      <c r="AA268" s="51"/>
      <c r="AB268" s="51"/>
    </row>
    <row r="269" customFormat="false" ht="15.75" hidden="false" customHeight="false" outlineLevel="0" collapsed="false">
      <c r="A269" s="51"/>
      <c r="B269" s="51"/>
      <c r="C269" s="6"/>
      <c r="D269" s="49"/>
      <c r="E269" s="51"/>
      <c r="F269" s="6"/>
      <c r="G269" s="6"/>
      <c r="H269" s="6"/>
      <c r="I269" s="6"/>
      <c r="J269" s="6"/>
      <c r="K269" s="51"/>
      <c r="L269" s="51"/>
      <c r="M269" s="51"/>
      <c r="N269" s="51"/>
      <c r="O269" s="51"/>
      <c r="P269" s="51"/>
      <c r="Q269" s="51"/>
      <c r="R269" s="51"/>
      <c r="S269" s="51"/>
      <c r="T269" s="51"/>
      <c r="U269" s="51"/>
      <c r="V269" s="51"/>
      <c r="W269" s="51"/>
      <c r="X269" s="51"/>
      <c r="Y269" s="51"/>
      <c r="Z269" s="51"/>
      <c r="AA269" s="51"/>
      <c r="AB269" s="51"/>
    </row>
    <row r="270" customFormat="false" ht="15.75" hidden="false" customHeight="false" outlineLevel="0" collapsed="false">
      <c r="A270" s="51"/>
      <c r="B270" s="51"/>
      <c r="C270" s="6"/>
      <c r="D270" s="49"/>
      <c r="E270" s="51"/>
      <c r="F270" s="6"/>
      <c r="G270" s="6"/>
      <c r="H270" s="6"/>
      <c r="I270" s="6"/>
      <c r="J270" s="6"/>
      <c r="K270" s="51"/>
      <c r="L270" s="51"/>
      <c r="M270" s="51"/>
      <c r="N270" s="51"/>
      <c r="O270" s="51"/>
      <c r="P270" s="51"/>
      <c r="Q270" s="51"/>
      <c r="R270" s="51"/>
      <c r="S270" s="51"/>
      <c r="T270" s="51"/>
      <c r="U270" s="51"/>
      <c r="V270" s="51"/>
      <c r="W270" s="51"/>
      <c r="X270" s="51"/>
      <c r="Y270" s="51"/>
      <c r="Z270" s="51"/>
      <c r="AA270" s="51"/>
      <c r="AB270" s="51"/>
    </row>
    <row r="271" customFormat="false" ht="15.75" hidden="false" customHeight="false" outlineLevel="0" collapsed="false">
      <c r="A271" s="51"/>
      <c r="B271" s="51"/>
      <c r="C271" s="6"/>
      <c r="D271" s="49"/>
      <c r="E271" s="51"/>
      <c r="F271" s="6"/>
      <c r="G271" s="6"/>
      <c r="H271" s="6"/>
      <c r="I271" s="6"/>
      <c r="J271" s="6"/>
      <c r="K271" s="51"/>
      <c r="L271" s="51"/>
      <c r="M271" s="51"/>
      <c r="N271" s="51"/>
      <c r="O271" s="51"/>
      <c r="P271" s="51"/>
      <c r="Q271" s="51"/>
      <c r="R271" s="51"/>
      <c r="S271" s="51"/>
      <c r="T271" s="51"/>
      <c r="U271" s="51"/>
      <c r="V271" s="51"/>
      <c r="W271" s="51"/>
      <c r="X271" s="51"/>
      <c r="Y271" s="51"/>
      <c r="Z271" s="51"/>
      <c r="AA271" s="51"/>
      <c r="AB271" s="51"/>
    </row>
    <row r="272" customFormat="false" ht="15.75" hidden="false" customHeight="false" outlineLevel="0" collapsed="false">
      <c r="A272" s="51"/>
      <c r="B272" s="51"/>
      <c r="C272" s="6"/>
      <c r="D272" s="49"/>
      <c r="E272" s="51"/>
      <c r="F272" s="6"/>
      <c r="G272" s="6"/>
      <c r="H272" s="6"/>
      <c r="I272" s="6"/>
      <c r="J272" s="6"/>
      <c r="K272" s="51"/>
      <c r="L272" s="51"/>
      <c r="M272" s="51"/>
      <c r="N272" s="51"/>
      <c r="O272" s="51"/>
      <c r="P272" s="51"/>
      <c r="Q272" s="51"/>
      <c r="R272" s="51"/>
      <c r="S272" s="51"/>
      <c r="T272" s="51"/>
      <c r="U272" s="51"/>
      <c r="V272" s="51"/>
      <c r="W272" s="51"/>
      <c r="X272" s="51"/>
      <c r="Y272" s="51"/>
      <c r="Z272" s="51"/>
      <c r="AA272" s="51"/>
      <c r="AB272" s="51"/>
    </row>
    <row r="273" customFormat="false" ht="15.75" hidden="false" customHeight="false" outlineLevel="0" collapsed="false">
      <c r="A273" s="51"/>
      <c r="B273" s="51"/>
      <c r="C273" s="6"/>
      <c r="D273" s="49"/>
      <c r="E273" s="51"/>
      <c r="F273" s="6"/>
      <c r="G273" s="6"/>
      <c r="H273" s="6"/>
      <c r="I273" s="6"/>
      <c r="J273" s="6"/>
      <c r="K273" s="51"/>
      <c r="L273" s="51"/>
      <c r="M273" s="51"/>
      <c r="N273" s="51"/>
      <c r="O273" s="51"/>
      <c r="P273" s="51"/>
      <c r="Q273" s="51"/>
      <c r="R273" s="51"/>
      <c r="S273" s="51"/>
      <c r="T273" s="51"/>
      <c r="U273" s="51"/>
      <c r="V273" s="51"/>
      <c r="W273" s="51"/>
      <c r="X273" s="51"/>
      <c r="Y273" s="51"/>
      <c r="Z273" s="51"/>
      <c r="AA273" s="51"/>
      <c r="AB273" s="51"/>
    </row>
    <row r="274" customFormat="false" ht="15.75" hidden="false" customHeight="false" outlineLevel="0" collapsed="false">
      <c r="A274" s="51"/>
      <c r="B274" s="51"/>
      <c r="C274" s="6"/>
      <c r="D274" s="49"/>
      <c r="E274" s="51"/>
      <c r="F274" s="6"/>
      <c r="G274" s="6"/>
      <c r="H274" s="6"/>
      <c r="I274" s="6"/>
      <c r="J274" s="6"/>
      <c r="K274" s="51"/>
      <c r="L274" s="51"/>
      <c r="M274" s="51"/>
      <c r="N274" s="51"/>
      <c r="O274" s="51"/>
      <c r="P274" s="51"/>
      <c r="Q274" s="51"/>
      <c r="R274" s="51"/>
      <c r="S274" s="51"/>
      <c r="T274" s="51"/>
      <c r="U274" s="51"/>
      <c r="V274" s="51"/>
      <c r="W274" s="51"/>
      <c r="X274" s="51"/>
      <c r="Y274" s="51"/>
      <c r="Z274" s="51"/>
      <c r="AA274" s="51"/>
      <c r="AB274" s="51"/>
    </row>
    <row r="275" customFormat="false" ht="15.75" hidden="false" customHeight="false" outlineLevel="0" collapsed="false">
      <c r="A275" s="51"/>
      <c r="B275" s="51"/>
      <c r="C275" s="6"/>
      <c r="D275" s="49"/>
      <c r="E275" s="51"/>
      <c r="F275" s="6"/>
      <c r="G275" s="6"/>
      <c r="H275" s="6"/>
      <c r="I275" s="6"/>
      <c r="J275" s="6"/>
      <c r="K275" s="51"/>
      <c r="L275" s="51"/>
      <c r="M275" s="51"/>
      <c r="N275" s="51"/>
      <c r="O275" s="51"/>
      <c r="P275" s="51"/>
      <c r="Q275" s="51"/>
      <c r="R275" s="51"/>
      <c r="S275" s="51"/>
      <c r="T275" s="51"/>
      <c r="U275" s="51"/>
      <c r="V275" s="51"/>
      <c r="W275" s="51"/>
      <c r="X275" s="51"/>
      <c r="Y275" s="51"/>
      <c r="Z275" s="51"/>
      <c r="AA275" s="51"/>
      <c r="AB275" s="51"/>
    </row>
    <row r="276" customFormat="false" ht="15.75" hidden="false" customHeight="false" outlineLevel="0" collapsed="false">
      <c r="A276" s="51"/>
      <c r="B276" s="51"/>
      <c r="C276" s="6"/>
      <c r="D276" s="49"/>
      <c r="E276" s="51"/>
      <c r="F276" s="6"/>
      <c r="G276" s="6"/>
      <c r="H276" s="6"/>
      <c r="I276" s="6"/>
      <c r="J276" s="6"/>
      <c r="K276" s="51"/>
      <c r="L276" s="51"/>
      <c r="M276" s="51"/>
      <c r="N276" s="51"/>
      <c r="O276" s="51"/>
      <c r="P276" s="51"/>
      <c r="Q276" s="51"/>
      <c r="R276" s="51"/>
      <c r="S276" s="51"/>
      <c r="T276" s="51"/>
      <c r="U276" s="51"/>
      <c r="V276" s="51"/>
      <c r="W276" s="51"/>
      <c r="X276" s="51"/>
      <c r="Y276" s="51"/>
      <c r="Z276" s="51"/>
      <c r="AA276" s="51"/>
      <c r="AB276" s="51"/>
    </row>
    <row r="277" customFormat="false" ht="15.75" hidden="false" customHeight="false" outlineLevel="0" collapsed="false">
      <c r="A277" s="51"/>
      <c r="B277" s="51"/>
      <c r="C277" s="6"/>
      <c r="D277" s="49"/>
      <c r="E277" s="51"/>
      <c r="F277" s="6"/>
      <c r="G277" s="6"/>
      <c r="H277" s="6"/>
      <c r="I277" s="6"/>
      <c r="J277" s="6"/>
      <c r="K277" s="51"/>
      <c r="L277" s="51"/>
      <c r="M277" s="51"/>
      <c r="N277" s="51"/>
      <c r="O277" s="51"/>
      <c r="P277" s="51"/>
      <c r="Q277" s="51"/>
      <c r="R277" s="51"/>
      <c r="S277" s="51"/>
      <c r="T277" s="51"/>
      <c r="U277" s="51"/>
      <c r="V277" s="51"/>
      <c r="W277" s="51"/>
      <c r="X277" s="51"/>
      <c r="Y277" s="51"/>
      <c r="Z277" s="51"/>
      <c r="AA277" s="51"/>
      <c r="AB277" s="51"/>
    </row>
    <row r="278" customFormat="false" ht="15.75" hidden="false" customHeight="false" outlineLevel="0" collapsed="false">
      <c r="A278" s="51"/>
      <c r="B278" s="51"/>
      <c r="C278" s="6"/>
      <c r="D278" s="49"/>
      <c r="E278" s="51"/>
      <c r="F278" s="6"/>
      <c r="G278" s="6"/>
      <c r="H278" s="6"/>
      <c r="I278" s="6"/>
      <c r="J278" s="6"/>
      <c r="K278" s="51"/>
      <c r="L278" s="51"/>
      <c r="M278" s="51"/>
      <c r="N278" s="51"/>
      <c r="O278" s="51"/>
      <c r="P278" s="51"/>
      <c r="Q278" s="51"/>
      <c r="R278" s="51"/>
      <c r="S278" s="51"/>
      <c r="T278" s="51"/>
      <c r="U278" s="51"/>
      <c r="V278" s="51"/>
      <c r="W278" s="51"/>
      <c r="X278" s="51"/>
      <c r="Y278" s="51"/>
      <c r="Z278" s="51"/>
      <c r="AA278" s="51"/>
      <c r="AB278" s="51"/>
    </row>
    <row r="279" customFormat="false" ht="15.75" hidden="false" customHeight="false" outlineLevel="0" collapsed="false">
      <c r="A279" s="51"/>
      <c r="B279" s="51"/>
      <c r="C279" s="6"/>
      <c r="D279" s="49"/>
      <c r="E279" s="51"/>
      <c r="F279" s="6"/>
      <c r="G279" s="6"/>
      <c r="H279" s="6"/>
      <c r="I279" s="6"/>
      <c r="J279" s="6"/>
      <c r="K279" s="51"/>
      <c r="L279" s="51"/>
      <c r="M279" s="51"/>
      <c r="N279" s="51"/>
      <c r="O279" s="51"/>
      <c r="P279" s="51"/>
      <c r="Q279" s="51"/>
      <c r="R279" s="51"/>
      <c r="S279" s="51"/>
      <c r="T279" s="51"/>
      <c r="U279" s="51"/>
      <c r="V279" s="51"/>
      <c r="W279" s="51"/>
      <c r="X279" s="51"/>
      <c r="Y279" s="51"/>
      <c r="Z279" s="51"/>
      <c r="AA279" s="51"/>
      <c r="AB279" s="51"/>
    </row>
    <row r="280" customFormat="false" ht="15.75" hidden="false" customHeight="false" outlineLevel="0" collapsed="false">
      <c r="A280" s="51"/>
      <c r="B280" s="51"/>
      <c r="C280" s="6"/>
      <c r="D280" s="49"/>
      <c r="E280" s="51"/>
      <c r="F280" s="6"/>
      <c r="G280" s="6"/>
      <c r="H280" s="6"/>
      <c r="I280" s="6"/>
      <c r="J280" s="6"/>
      <c r="K280" s="51"/>
      <c r="L280" s="51"/>
      <c r="M280" s="51"/>
      <c r="N280" s="51"/>
      <c r="O280" s="51"/>
      <c r="P280" s="51"/>
      <c r="Q280" s="51"/>
      <c r="R280" s="51"/>
      <c r="S280" s="51"/>
      <c r="T280" s="51"/>
      <c r="U280" s="51"/>
      <c r="V280" s="51"/>
      <c r="W280" s="51"/>
      <c r="X280" s="51"/>
      <c r="Y280" s="51"/>
      <c r="Z280" s="51"/>
      <c r="AA280" s="51"/>
      <c r="AB280" s="51"/>
    </row>
    <row r="281" customFormat="false" ht="15.75" hidden="false" customHeight="false" outlineLevel="0" collapsed="false">
      <c r="A281" s="51"/>
      <c r="B281" s="51"/>
      <c r="C281" s="6"/>
      <c r="D281" s="49"/>
      <c r="E281" s="51"/>
      <c r="F281" s="6"/>
      <c r="G281" s="6"/>
      <c r="H281" s="6"/>
      <c r="I281" s="6"/>
      <c r="J281" s="6"/>
      <c r="K281" s="51"/>
      <c r="L281" s="51"/>
      <c r="M281" s="51"/>
      <c r="N281" s="51"/>
      <c r="O281" s="51"/>
      <c r="P281" s="51"/>
      <c r="Q281" s="51"/>
      <c r="R281" s="51"/>
      <c r="S281" s="51"/>
      <c r="T281" s="51"/>
      <c r="U281" s="51"/>
      <c r="V281" s="51"/>
      <c r="W281" s="51"/>
      <c r="X281" s="51"/>
      <c r="Y281" s="51"/>
      <c r="Z281" s="51"/>
      <c r="AA281" s="51"/>
      <c r="AB281" s="51"/>
    </row>
    <row r="282" customFormat="false" ht="15.75" hidden="false" customHeight="false" outlineLevel="0" collapsed="false">
      <c r="A282" s="51"/>
      <c r="B282" s="51"/>
      <c r="C282" s="6"/>
      <c r="D282" s="49"/>
      <c r="E282" s="51"/>
      <c r="F282" s="6"/>
      <c r="G282" s="6"/>
      <c r="H282" s="6"/>
      <c r="I282" s="6"/>
      <c r="J282" s="6"/>
      <c r="K282" s="51"/>
      <c r="L282" s="51"/>
      <c r="M282" s="51"/>
      <c r="N282" s="51"/>
      <c r="O282" s="51"/>
      <c r="P282" s="51"/>
      <c r="Q282" s="51"/>
      <c r="R282" s="51"/>
      <c r="S282" s="51"/>
      <c r="T282" s="51"/>
      <c r="U282" s="51"/>
      <c r="V282" s="51"/>
      <c r="W282" s="51"/>
      <c r="X282" s="51"/>
      <c r="Y282" s="51"/>
      <c r="Z282" s="51"/>
      <c r="AA282" s="51"/>
      <c r="AB282" s="51"/>
    </row>
    <row r="283" customFormat="false" ht="15.75" hidden="false" customHeight="false" outlineLevel="0" collapsed="false">
      <c r="A283" s="51"/>
      <c r="B283" s="51"/>
      <c r="C283" s="6"/>
      <c r="D283" s="49"/>
      <c r="E283" s="51"/>
      <c r="F283" s="6"/>
      <c r="G283" s="6"/>
      <c r="H283" s="6"/>
      <c r="I283" s="6"/>
      <c r="J283" s="6"/>
      <c r="K283" s="51"/>
      <c r="L283" s="51"/>
      <c r="M283" s="51"/>
      <c r="N283" s="51"/>
      <c r="O283" s="51"/>
      <c r="P283" s="51"/>
      <c r="Q283" s="51"/>
      <c r="R283" s="51"/>
      <c r="S283" s="51"/>
      <c r="T283" s="51"/>
      <c r="U283" s="51"/>
      <c r="V283" s="51"/>
      <c r="W283" s="51"/>
      <c r="X283" s="51"/>
      <c r="Y283" s="51"/>
      <c r="Z283" s="51"/>
      <c r="AA283" s="51"/>
      <c r="AB283" s="51"/>
    </row>
    <row r="284" customFormat="false" ht="15.75" hidden="false" customHeight="false" outlineLevel="0" collapsed="false">
      <c r="A284" s="51"/>
      <c r="B284" s="51"/>
      <c r="C284" s="6"/>
      <c r="D284" s="49"/>
      <c r="E284" s="51"/>
      <c r="F284" s="6"/>
      <c r="G284" s="6"/>
      <c r="H284" s="6"/>
      <c r="I284" s="6"/>
      <c r="J284" s="6"/>
      <c r="K284" s="51"/>
      <c r="L284" s="51"/>
      <c r="M284" s="51"/>
      <c r="N284" s="51"/>
      <c r="O284" s="51"/>
      <c r="P284" s="51"/>
      <c r="Q284" s="51"/>
      <c r="R284" s="51"/>
      <c r="S284" s="51"/>
      <c r="T284" s="51"/>
      <c r="U284" s="51"/>
      <c r="V284" s="51"/>
      <c r="W284" s="51"/>
      <c r="X284" s="51"/>
      <c r="Y284" s="51"/>
      <c r="Z284" s="51"/>
      <c r="AA284" s="51"/>
      <c r="AB284" s="51"/>
    </row>
    <row r="285" customFormat="false" ht="15.75" hidden="false" customHeight="false" outlineLevel="0" collapsed="false">
      <c r="A285" s="51"/>
      <c r="B285" s="51"/>
      <c r="C285" s="6"/>
      <c r="D285" s="49"/>
      <c r="E285" s="51"/>
      <c r="F285" s="6"/>
      <c r="G285" s="6"/>
      <c r="H285" s="6"/>
      <c r="I285" s="6"/>
      <c r="J285" s="6"/>
      <c r="K285" s="51"/>
      <c r="L285" s="51"/>
      <c r="M285" s="51"/>
      <c r="N285" s="51"/>
      <c r="O285" s="51"/>
      <c r="P285" s="51"/>
      <c r="Q285" s="51"/>
      <c r="R285" s="51"/>
      <c r="S285" s="51"/>
      <c r="T285" s="51"/>
      <c r="U285" s="51"/>
      <c r="V285" s="51"/>
      <c r="W285" s="51"/>
      <c r="X285" s="51"/>
      <c r="Y285" s="51"/>
      <c r="Z285" s="51"/>
      <c r="AA285" s="51"/>
      <c r="AB285" s="51"/>
    </row>
    <row r="286" customFormat="false" ht="15.75" hidden="false" customHeight="false" outlineLevel="0" collapsed="false">
      <c r="A286" s="51"/>
      <c r="B286" s="51"/>
      <c r="C286" s="6"/>
      <c r="D286" s="49"/>
      <c r="E286" s="51"/>
      <c r="F286" s="6"/>
      <c r="G286" s="6"/>
      <c r="H286" s="6"/>
      <c r="I286" s="6"/>
      <c r="J286" s="6"/>
      <c r="K286" s="51"/>
      <c r="L286" s="51"/>
      <c r="M286" s="51"/>
      <c r="N286" s="51"/>
      <c r="O286" s="51"/>
      <c r="P286" s="51"/>
      <c r="Q286" s="51"/>
      <c r="R286" s="51"/>
      <c r="S286" s="51"/>
      <c r="T286" s="51"/>
      <c r="U286" s="51"/>
      <c r="V286" s="51"/>
      <c r="W286" s="51"/>
      <c r="X286" s="51"/>
      <c r="Y286" s="51"/>
      <c r="Z286" s="51"/>
      <c r="AA286" s="51"/>
      <c r="AB286" s="51"/>
    </row>
    <row r="287" customFormat="false" ht="15.75" hidden="false" customHeight="false" outlineLevel="0" collapsed="false">
      <c r="A287" s="51"/>
      <c r="B287" s="51"/>
      <c r="C287" s="6"/>
      <c r="D287" s="49"/>
      <c r="E287" s="51"/>
      <c r="F287" s="6"/>
      <c r="G287" s="6"/>
      <c r="H287" s="6"/>
      <c r="I287" s="6"/>
      <c r="J287" s="6"/>
      <c r="K287" s="51"/>
      <c r="L287" s="51"/>
      <c r="M287" s="51"/>
      <c r="N287" s="51"/>
      <c r="O287" s="51"/>
      <c r="P287" s="51"/>
      <c r="Q287" s="51"/>
      <c r="R287" s="51"/>
      <c r="S287" s="51"/>
      <c r="T287" s="51"/>
      <c r="U287" s="51"/>
      <c r="V287" s="51"/>
      <c r="W287" s="51"/>
      <c r="X287" s="51"/>
      <c r="Y287" s="51"/>
      <c r="Z287" s="51"/>
      <c r="AA287" s="51"/>
      <c r="AB287" s="51"/>
    </row>
    <row r="288" customFormat="false" ht="15.75" hidden="false" customHeight="false" outlineLevel="0" collapsed="false">
      <c r="A288" s="51"/>
      <c r="B288" s="51"/>
      <c r="C288" s="6"/>
      <c r="D288" s="49"/>
      <c r="E288" s="51"/>
      <c r="F288" s="6"/>
      <c r="G288" s="6"/>
      <c r="H288" s="6"/>
      <c r="I288" s="6"/>
      <c r="J288" s="6"/>
      <c r="K288" s="51"/>
      <c r="L288" s="51"/>
      <c r="M288" s="51"/>
      <c r="N288" s="51"/>
      <c r="O288" s="51"/>
      <c r="P288" s="51"/>
      <c r="Q288" s="51"/>
      <c r="R288" s="51"/>
      <c r="S288" s="51"/>
      <c r="T288" s="51"/>
      <c r="U288" s="51"/>
      <c r="V288" s="51"/>
      <c r="W288" s="51"/>
      <c r="X288" s="51"/>
      <c r="Y288" s="51"/>
      <c r="Z288" s="51"/>
      <c r="AA288" s="51"/>
      <c r="AB288" s="51"/>
    </row>
    <row r="289" customFormat="false" ht="15.75" hidden="false" customHeight="false" outlineLevel="0" collapsed="false">
      <c r="A289" s="51"/>
      <c r="B289" s="51"/>
      <c r="C289" s="6"/>
      <c r="D289" s="49"/>
      <c r="E289" s="51"/>
      <c r="F289" s="6"/>
      <c r="G289" s="6"/>
      <c r="H289" s="6"/>
      <c r="I289" s="6"/>
      <c r="J289" s="6"/>
      <c r="K289" s="51"/>
      <c r="L289" s="51"/>
      <c r="M289" s="51"/>
      <c r="N289" s="51"/>
      <c r="O289" s="51"/>
      <c r="P289" s="51"/>
      <c r="Q289" s="51"/>
      <c r="R289" s="51"/>
      <c r="S289" s="51"/>
      <c r="T289" s="51"/>
      <c r="U289" s="51"/>
      <c r="V289" s="51"/>
      <c r="W289" s="51"/>
      <c r="X289" s="51"/>
      <c r="Y289" s="51"/>
      <c r="Z289" s="51"/>
      <c r="AA289" s="51"/>
      <c r="AB289" s="51"/>
    </row>
    <row r="290" customFormat="false" ht="15.75" hidden="false" customHeight="false" outlineLevel="0" collapsed="false">
      <c r="A290" s="51"/>
      <c r="B290" s="51"/>
      <c r="C290" s="6"/>
      <c r="D290" s="49"/>
      <c r="E290" s="51"/>
      <c r="F290" s="6"/>
      <c r="G290" s="6"/>
      <c r="H290" s="6"/>
      <c r="I290" s="6"/>
      <c r="J290" s="6"/>
      <c r="K290" s="51"/>
      <c r="L290" s="51"/>
      <c r="M290" s="51"/>
      <c r="N290" s="51"/>
      <c r="O290" s="51"/>
      <c r="P290" s="51"/>
      <c r="Q290" s="51"/>
      <c r="R290" s="51"/>
      <c r="S290" s="51"/>
      <c r="T290" s="51"/>
      <c r="U290" s="51"/>
      <c r="V290" s="51"/>
      <c r="W290" s="51"/>
      <c r="X290" s="51"/>
      <c r="Y290" s="51"/>
      <c r="Z290" s="51"/>
      <c r="AA290" s="51"/>
      <c r="AB290" s="51"/>
    </row>
    <row r="291" customFormat="false" ht="15.75" hidden="false" customHeight="false" outlineLevel="0" collapsed="false">
      <c r="A291" s="51"/>
      <c r="B291" s="51"/>
      <c r="C291" s="6"/>
      <c r="D291" s="49"/>
      <c r="E291" s="51"/>
      <c r="F291" s="6"/>
      <c r="G291" s="6"/>
      <c r="H291" s="6"/>
      <c r="I291" s="6"/>
      <c r="J291" s="6"/>
      <c r="K291" s="51"/>
      <c r="L291" s="51"/>
      <c r="M291" s="51"/>
      <c r="N291" s="51"/>
      <c r="O291" s="51"/>
      <c r="P291" s="51"/>
      <c r="Q291" s="51"/>
      <c r="R291" s="51"/>
      <c r="S291" s="51"/>
      <c r="T291" s="51"/>
      <c r="U291" s="51"/>
      <c r="V291" s="51"/>
      <c r="W291" s="51"/>
      <c r="X291" s="51"/>
      <c r="Y291" s="51"/>
      <c r="Z291" s="51"/>
      <c r="AA291" s="51"/>
      <c r="AB291" s="51"/>
    </row>
    <row r="292" customFormat="false" ht="15.75" hidden="false" customHeight="false" outlineLevel="0" collapsed="false">
      <c r="A292" s="51"/>
      <c r="B292" s="51"/>
      <c r="C292" s="6"/>
      <c r="D292" s="49"/>
      <c r="E292" s="51"/>
      <c r="F292" s="6"/>
      <c r="G292" s="6"/>
      <c r="H292" s="6"/>
      <c r="I292" s="6"/>
      <c r="J292" s="6"/>
      <c r="K292" s="51"/>
      <c r="L292" s="51"/>
      <c r="M292" s="51"/>
      <c r="N292" s="51"/>
      <c r="O292" s="51"/>
      <c r="P292" s="51"/>
      <c r="Q292" s="51"/>
      <c r="R292" s="51"/>
      <c r="S292" s="51"/>
      <c r="T292" s="51"/>
      <c r="U292" s="51"/>
      <c r="V292" s="51"/>
      <c r="W292" s="51"/>
      <c r="X292" s="51"/>
      <c r="Y292" s="51"/>
      <c r="Z292" s="51"/>
      <c r="AA292" s="51"/>
      <c r="AB292" s="51"/>
    </row>
    <row r="293" customFormat="false" ht="15.75" hidden="false" customHeight="false" outlineLevel="0" collapsed="false">
      <c r="A293" s="51"/>
      <c r="B293" s="51"/>
      <c r="C293" s="6"/>
      <c r="D293" s="49"/>
      <c r="E293" s="51"/>
      <c r="F293" s="6"/>
      <c r="G293" s="6"/>
      <c r="H293" s="6"/>
      <c r="I293" s="6"/>
      <c r="J293" s="6"/>
      <c r="K293" s="51"/>
      <c r="L293" s="51"/>
      <c r="M293" s="51"/>
      <c r="N293" s="51"/>
      <c r="O293" s="51"/>
      <c r="P293" s="51"/>
      <c r="Q293" s="51"/>
      <c r="R293" s="51"/>
      <c r="S293" s="51"/>
      <c r="T293" s="51"/>
      <c r="U293" s="51"/>
      <c r="V293" s="51"/>
      <c r="W293" s="51"/>
      <c r="X293" s="51"/>
      <c r="Y293" s="51"/>
      <c r="Z293" s="51"/>
      <c r="AA293" s="51"/>
      <c r="AB293" s="51"/>
    </row>
    <row r="294" customFormat="false" ht="15.75" hidden="false" customHeight="false" outlineLevel="0" collapsed="false">
      <c r="A294" s="51"/>
      <c r="B294" s="51"/>
      <c r="C294" s="6"/>
      <c r="D294" s="49"/>
      <c r="E294" s="51"/>
      <c r="F294" s="6"/>
      <c r="G294" s="6"/>
      <c r="H294" s="6"/>
      <c r="I294" s="6"/>
      <c r="J294" s="6"/>
      <c r="K294" s="51"/>
      <c r="L294" s="51"/>
      <c r="M294" s="51"/>
      <c r="N294" s="51"/>
      <c r="O294" s="51"/>
      <c r="P294" s="51"/>
      <c r="Q294" s="51"/>
      <c r="R294" s="51"/>
      <c r="S294" s="51"/>
      <c r="T294" s="51"/>
      <c r="U294" s="51"/>
      <c r="V294" s="51"/>
      <c r="W294" s="51"/>
      <c r="X294" s="51"/>
      <c r="Y294" s="51"/>
      <c r="Z294" s="51"/>
      <c r="AA294" s="51"/>
      <c r="AB294" s="51"/>
    </row>
    <row r="295" customFormat="false" ht="15.75" hidden="false" customHeight="false" outlineLevel="0" collapsed="false">
      <c r="A295" s="51"/>
      <c r="B295" s="51"/>
      <c r="C295" s="6"/>
      <c r="D295" s="49"/>
      <c r="E295" s="51"/>
      <c r="F295" s="6"/>
      <c r="G295" s="6"/>
      <c r="H295" s="6"/>
      <c r="I295" s="6"/>
      <c r="J295" s="6"/>
      <c r="K295" s="51"/>
      <c r="L295" s="51"/>
      <c r="M295" s="51"/>
      <c r="N295" s="51"/>
      <c r="O295" s="51"/>
      <c r="P295" s="51"/>
      <c r="Q295" s="51"/>
      <c r="R295" s="51"/>
      <c r="S295" s="51"/>
      <c r="T295" s="51"/>
      <c r="U295" s="51"/>
      <c r="V295" s="51"/>
      <c r="W295" s="51"/>
      <c r="X295" s="51"/>
      <c r="Y295" s="51"/>
      <c r="Z295" s="51"/>
      <c r="AA295" s="51"/>
      <c r="AB295" s="51"/>
    </row>
    <row r="296" customFormat="false" ht="15.75" hidden="false" customHeight="false" outlineLevel="0" collapsed="false">
      <c r="A296" s="51"/>
      <c r="B296" s="51"/>
      <c r="C296" s="6"/>
      <c r="D296" s="49"/>
      <c r="E296" s="51"/>
      <c r="F296" s="6"/>
      <c r="G296" s="6"/>
      <c r="H296" s="6"/>
      <c r="I296" s="6"/>
      <c r="J296" s="6"/>
      <c r="K296" s="51"/>
      <c r="L296" s="51"/>
      <c r="M296" s="51"/>
      <c r="N296" s="51"/>
      <c r="O296" s="51"/>
      <c r="P296" s="51"/>
      <c r="Q296" s="51"/>
      <c r="R296" s="51"/>
      <c r="S296" s="51"/>
      <c r="T296" s="51"/>
      <c r="U296" s="51"/>
      <c r="V296" s="51"/>
      <c r="W296" s="51"/>
      <c r="X296" s="51"/>
      <c r="Y296" s="51"/>
      <c r="Z296" s="51"/>
      <c r="AA296" s="51"/>
      <c r="AB296" s="51"/>
    </row>
    <row r="297" customFormat="false" ht="15.75" hidden="false" customHeight="false" outlineLevel="0" collapsed="false">
      <c r="A297" s="51"/>
      <c r="B297" s="51"/>
      <c r="C297" s="6"/>
      <c r="D297" s="49"/>
      <c r="E297" s="51"/>
      <c r="F297" s="6"/>
      <c r="G297" s="6"/>
      <c r="H297" s="6"/>
      <c r="I297" s="6"/>
      <c r="J297" s="6"/>
      <c r="K297" s="51"/>
      <c r="L297" s="51"/>
      <c r="M297" s="51"/>
      <c r="N297" s="51"/>
      <c r="O297" s="51"/>
      <c r="P297" s="51"/>
      <c r="Q297" s="51"/>
      <c r="R297" s="51"/>
      <c r="S297" s="51"/>
      <c r="T297" s="51"/>
      <c r="U297" s="51"/>
      <c r="V297" s="51"/>
      <c r="W297" s="51"/>
      <c r="X297" s="51"/>
      <c r="Y297" s="51"/>
      <c r="Z297" s="51"/>
      <c r="AA297" s="51"/>
      <c r="AB297" s="51"/>
    </row>
    <row r="298" customFormat="false" ht="15.75" hidden="false" customHeight="false" outlineLevel="0" collapsed="false">
      <c r="A298" s="51"/>
      <c r="B298" s="51"/>
      <c r="C298" s="6"/>
      <c r="D298" s="49"/>
      <c r="E298" s="51"/>
      <c r="F298" s="6"/>
      <c r="G298" s="6"/>
      <c r="H298" s="6"/>
      <c r="I298" s="6"/>
      <c r="J298" s="6"/>
      <c r="K298" s="51"/>
      <c r="L298" s="51"/>
      <c r="M298" s="51"/>
      <c r="N298" s="51"/>
      <c r="O298" s="51"/>
      <c r="P298" s="51"/>
      <c r="Q298" s="51"/>
      <c r="R298" s="51"/>
      <c r="S298" s="51"/>
      <c r="T298" s="51"/>
      <c r="U298" s="51"/>
      <c r="V298" s="51"/>
      <c r="W298" s="51"/>
      <c r="X298" s="51"/>
      <c r="Y298" s="51"/>
      <c r="Z298" s="51"/>
      <c r="AA298" s="51"/>
      <c r="AB298" s="51"/>
    </row>
    <row r="299" customFormat="false" ht="15.75" hidden="false" customHeight="false" outlineLevel="0" collapsed="false">
      <c r="A299" s="51"/>
      <c r="B299" s="51"/>
      <c r="C299" s="6"/>
      <c r="D299" s="49"/>
      <c r="E299" s="51"/>
      <c r="F299" s="6"/>
      <c r="G299" s="6"/>
      <c r="H299" s="6"/>
      <c r="I299" s="6"/>
      <c r="J299" s="6"/>
      <c r="K299" s="51"/>
      <c r="L299" s="51"/>
      <c r="M299" s="51"/>
      <c r="N299" s="51"/>
      <c r="O299" s="51"/>
      <c r="P299" s="51"/>
      <c r="Q299" s="51"/>
      <c r="R299" s="51"/>
      <c r="S299" s="51"/>
      <c r="T299" s="51"/>
      <c r="U299" s="51"/>
      <c r="V299" s="51"/>
      <c r="W299" s="51"/>
      <c r="X299" s="51"/>
      <c r="Y299" s="51"/>
      <c r="Z299" s="51"/>
      <c r="AA299" s="51"/>
      <c r="AB299" s="51"/>
    </row>
    <row r="300" customFormat="false" ht="15.75" hidden="false" customHeight="false" outlineLevel="0" collapsed="false">
      <c r="A300" s="51"/>
      <c r="B300" s="51"/>
      <c r="C300" s="6"/>
      <c r="D300" s="49"/>
      <c r="E300" s="51"/>
      <c r="F300" s="6"/>
      <c r="G300" s="6"/>
      <c r="H300" s="6"/>
      <c r="I300" s="6"/>
      <c r="J300" s="6"/>
      <c r="K300" s="51"/>
      <c r="L300" s="51"/>
      <c r="M300" s="51"/>
      <c r="N300" s="51"/>
      <c r="O300" s="51"/>
      <c r="P300" s="51"/>
      <c r="Q300" s="51"/>
      <c r="R300" s="51"/>
      <c r="S300" s="51"/>
      <c r="T300" s="51"/>
      <c r="U300" s="51"/>
      <c r="V300" s="51"/>
      <c r="W300" s="51"/>
      <c r="X300" s="51"/>
      <c r="Y300" s="51"/>
      <c r="Z300" s="51"/>
      <c r="AA300" s="51"/>
      <c r="AB300" s="51"/>
    </row>
    <row r="301" customFormat="false" ht="15.75" hidden="false" customHeight="false" outlineLevel="0" collapsed="false">
      <c r="A301" s="51"/>
      <c r="B301" s="51"/>
      <c r="C301" s="6"/>
      <c r="D301" s="49"/>
      <c r="E301" s="51"/>
      <c r="F301" s="6"/>
      <c r="G301" s="6"/>
      <c r="H301" s="6"/>
      <c r="I301" s="6"/>
      <c r="J301" s="6"/>
      <c r="K301" s="51"/>
      <c r="L301" s="51"/>
      <c r="M301" s="51"/>
      <c r="N301" s="51"/>
      <c r="O301" s="51"/>
      <c r="P301" s="51"/>
      <c r="Q301" s="51"/>
      <c r="R301" s="51"/>
      <c r="S301" s="51"/>
      <c r="T301" s="51"/>
      <c r="U301" s="51"/>
      <c r="V301" s="51"/>
      <c r="W301" s="51"/>
      <c r="X301" s="51"/>
      <c r="Y301" s="51"/>
      <c r="Z301" s="51"/>
      <c r="AA301" s="51"/>
      <c r="AB301" s="51"/>
    </row>
    <row r="302" customFormat="false" ht="15.75" hidden="false" customHeight="false" outlineLevel="0" collapsed="false">
      <c r="A302" s="51"/>
      <c r="B302" s="51"/>
      <c r="C302" s="6"/>
      <c r="D302" s="49"/>
      <c r="E302" s="51"/>
      <c r="F302" s="6"/>
      <c r="G302" s="6"/>
      <c r="H302" s="6"/>
      <c r="I302" s="6"/>
      <c r="J302" s="6"/>
      <c r="K302" s="51"/>
      <c r="L302" s="51"/>
      <c r="M302" s="51"/>
      <c r="N302" s="51"/>
      <c r="O302" s="51"/>
      <c r="P302" s="51"/>
      <c r="Q302" s="51"/>
      <c r="R302" s="51"/>
      <c r="S302" s="51"/>
      <c r="T302" s="51"/>
      <c r="U302" s="51"/>
      <c r="V302" s="51"/>
      <c r="W302" s="51"/>
      <c r="X302" s="51"/>
      <c r="Y302" s="51"/>
      <c r="Z302" s="51"/>
      <c r="AA302" s="51"/>
      <c r="AB302" s="51"/>
    </row>
    <row r="303" customFormat="false" ht="15.75" hidden="false" customHeight="false" outlineLevel="0" collapsed="false">
      <c r="A303" s="51"/>
      <c r="B303" s="51"/>
      <c r="C303" s="6"/>
      <c r="D303" s="49"/>
      <c r="E303" s="51"/>
      <c r="F303" s="6"/>
      <c r="G303" s="6"/>
      <c r="H303" s="6"/>
      <c r="I303" s="6"/>
      <c r="J303" s="6"/>
      <c r="K303" s="51"/>
      <c r="L303" s="51"/>
      <c r="M303" s="51"/>
      <c r="N303" s="51"/>
      <c r="O303" s="51"/>
      <c r="P303" s="51"/>
      <c r="Q303" s="51"/>
      <c r="R303" s="51"/>
      <c r="S303" s="51"/>
      <c r="T303" s="51"/>
      <c r="U303" s="51"/>
      <c r="V303" s="51"/>
      <c r="W303" s="51"/>
      <c r="X303" s="51"/>
      <c r="Y303" s="51"/>
      <c r="Z303" s="51"/>
      <c r="AA303" s="51"/>
      <c r="AB303" s="51"/>
    </row>
    <row r="304" customFormat="false" ht="15.75" hidden="false" customHeight="false" outlineLevel="0" collapsed="false">
      <c r="A304" s="51"/>
      <c r="B304" s="51"/>
      <c r="C304" s="6"/>
      <c r="D304" s="49"/>
      <c r="E304" s="51"/>
      <c r="F304" s="6"/>
      <c r="G304" s="6"/>
      <c r="H304" s="6"/>
      <c r="I304" s="6"/>
      <c r="J304" s="6"/>
      <c r="K304" s="51"/>
      <c r="L304" s="51"/>
      <c r="M304" s="51"/>
      <c r="N304" s="51"/>
      <c r="O304" s="51"/>
      <c r="P304" s="51"/>
      <c r="Q304" s="51"/>
      <c r="R304" s="51"/>
      <c r="S304" s="51"/>
      <c r="T304" s="51"/>
      <c r="U304" s="51"/>
      <c r="V304" s="51"/>
      <c r="W304" s="51"/>
      <c r="X304" s="51"/>
      <c r="Y304" s="51"/>
      <c r="Z304" s="51"/>
      <c r="AA304" s="51"/>
      <c r="AB304" s="51"/>
    </row>
    <row r="305" customFormat="false" ht="15.75" hidden="false" customHeight="false" outlineLevel="0" collapsed="false">
      <c r="A305" s="51"/>
      <c r="B305" s="51"/>
      <c r="C305" s="6"/>
      <c r="D305" s="49"/>
      <c r="E305" s="51"/>
      <c r="F305" s="6"/>
      <c r="G305" s="6"/>
      <c r="H305" s="6"/>
      <c r="I305" s="6"/>
      <c r="J305" s="6"/>
      <c r="K305" s="51"/>
      <c r="L305" s="51"/>
      <c r="M305" s="51"/>
      <c r="N305" s="51"/>
      <c r="O305" s="51"/>
      <c r="P305" s="51"/>
      <c r="Q305" s="51"/>
      <c r="R305" s="51"/>
      <c r="S305" s="51"/>
      <c r="T305" s="51"/>
      <c r="U305" s="51"/>
      <c r="V305" s="51"/>
      <c r="W305" s="51"/>
      <c r="X305" s="51"/>
      <c r="Y305" s="51"/>
      <c r="Z305" s="51"/>
      <c r="AA305" s="51"/>
      <c r="AB305" s="51"/>
    </row>
    <row r="306" customFormat="false" ht="15.75" hidden="false" customHeight="false" outlineLevel="0" collapsed="false">
      <c r="A306" s="51"/>
      <c r="B306" s="51"/>
      <c r="C306" s="6"/>
      <c r="D306" s="49"/>
      <c r="E306" s="51"/>
      <c r="F306" s="6"/>
      <c r="G306" s="6"/>
      <c r="H306" s="6"/>
      <c r="I306" s="6"/>
      <c r="J306" s="6"/>
      <c r="K306" s="51"/>
      <c r="L306" s="51"/>
      <c r="M306" s="51"/>
      <c r="N306" s="51"/>
      <c r="O306" s="51"/>
      <c r="P306" s="51"/>
      <c r="Q306" s="51"/>
      <c r="R306" s="51"/>
      <c r="S306" s="51"/>
      <c r="T306" s="51"/>
      <c r="U306" s="51"/>
      <c r="V306" s="51"/>
      <c r="W306" s="51"/>
      <c r="X306" s="51"/>
      <c r="Y306" s="51"/>
      <c r="Z306" s="51"/>
      <c r="AA306" s="51"/>
      <c r="AB306" s="51"/>
    </row>
    <row r="307" customFormat="false" ht="15.75" hidden="false" customHeight="false" outlineLevel="0" collapsed="false">
      <c r="A307" s="51"/>
      <c r="B307" s="51"/>
      <c r="C307" s="6"/>
      <c r="D307" s="49"/>
      <c r="E307" s="51"/>
      <c r="F307" s="6"/>
      <c r="G307" s="6"/>
      <c r="H307" s="6"/>
      <c r="I307" s="6"/>
      <c r="J307" s="6"/>
      <c r="K307" s="51"/>
      <c r="L307" s="51"/>
      <c r="M307" s="51"/>
      <c r="N307" s="51"/>
      <c r="O307" s="51"/>
      <c r="P307" s="51"/>
      <c r="Q307" s="51"/>
      <c r="R307" s="51"/>
      <c r="S307" s="51"/>
      <c r="T307" s="51"/>
      <c r="U307" s="51"/>
      <c r="V307" s="51"/>
      <c r="W307" s="51"/>
      <c r="X307" s="51"/>
      <c r="Y307" s="51"/>
      <c r="Z307" s="51"/>
      <c r="AA307" s="51"/>
      <c r="AB307" s="51"/>
    </row>
    <row r="308" customFormat="false" ht="15.75" hidden="false" customHeight="false" outlineLevel="0" collapsed="false">
      <c r="A308" s="51"/>
      <c r="B308" s="51"/>
      <c r="C308" s="6"/>
      <c r="D308" s="49"/>
      <c r="E308" s="51"/>
      <c r="F308" s="6"/>
      <c r="G308" s="6"/>
      <c r="H308" s="6"/>
      <c r="I308" s="6"/>
      <c r="J308" s="6"/>
      <c r="K308" s="51"/>
      <c r="L308" s="51"/>
      <c r="M308" s="51"/>
      <c r="N308" s="51"/>
      <c r="O308" s="51"/>
      <c r="P308" s="51"/>
      <c r="Q308" s="51"/>
      <c r="R308" s="51"/>
      <c r="S308" s="51"/>
      <c r="T308" s="51"/>
      <c r="U308" s="51"/>
      <c r="V308" s="51"/>
      <c r="W308" s="51"/>
      <c r="X308" s="51"/>
      <c r="Y308" s="51"/>
      <c r="Z308" s="51"/>
      <c r="AA308" s="51"/>
      <c r="AB308" s="51"/>
    </row>
    <row r="309" customFormat="false" ht="15.75" hidden="false" customHeight="false" outlineLevel="0" collapsed="false">
      <c r="A309" s="51"/>
      <c r="B309" s="51"/>
      <c r="C309" s="6"/>
      <c r="D309" s="49"/>
      <c r="E309" s="51"/>
      <c r="F309" s="6"/>
      <c r="G309" s="6"/>
      <c r="H309" s="6"/>
      <c r="I309" s="6"/>
      <c r="J309" s="6"/>
      <c r="K309" s="51"/>
      <c r="L309" s="51"/>
      <c r="M309" s="51"/>
      <c r="N309" s="51"/>
      <c r="O309" s="51"/>
      <c r="P309" s="51"/>
      <c r="Q309" s="51"/>
      <c r="R309" s="51"/>
      <c r="S309" s="51"/>
      <c r="T309" s="51"/>
      <c r="U309" s="51"/>
      <c r="V309" s="51"/>
      <c r="W309" s="51"/>
      <c r="X309" s="51"/>
      <c r="Y309" s="51"/>
      <c r="Z309" s="51"/>
      <c r="AA309" s="51"/>
      <c r="AB309" s="51"/>
    </row>
    <row r="310" customFormat="false" ht="15.75" hidden="false" customHeight="false" outlineLevel="0" collapsed="false">
      <c r="A310" s="51"/>
      <c r="B310" s="51"/>
      <c r="C310" s="6"/>
      <c r="D310" s="49"/>
      <c r="E310" s="51"/>
      <c r="F310" s="6"/>
      <c r="G310" s="6"/>
      <c r="H310" s="6"/>
      <c r="I310" s="6"/>
      <c r="J310" s="6"/>
      <c r="K310" s="51"/>
      <c r="L310" s="51"/>
      <c r="M310" s="51"/>
      <c r="N310" s="51"/>
      <c r="O310" s="51"/>
      <c r="P310" s="51"/>
      <c r="Q310" s="51"/>
      <c r="R310" s="51"/>
      <c r="S310" s="51"/>
      <c r="T310" s="51"/>
      <c r="U310" s="51"/>
      <c r="V310" s="51"/>
      <c r="W310" s="51"/>
      <c r="X310" s="51"/>
      <c r="Y310" s="51"/>
      <c r="Z310" s="51"/>
      <c r="AA310" s="51"/>
      <c r="AB310" s="51"/>
    </row>
    <row r="311" customFormat="false" ht="15.75" hidden="false" customHeight="false" outlineLevel="0" collapsed="false">
      <c r="A311" s="51"/>
      <c r="B311" s="51"/>
      <c r="C311" s="6"/>
      <c r="D311" s="49"/>
      <c r="E311" s="51"/>
      <c r="F311" s="6"/>
      <c r="G311" s="6"/>
      <c r="H311" s="6"/>
      <c r="I311" s="6"/>
      <c r="J311" s="6"/>
      <c r="K311" s="51"/>
      <c r="L311" s="51"/>
      <c r="M311" s="51"/>
      <c r="N311" s="51"/>
      <c r="O311" s="51"/>
      <c r="P311" s="51"/>
      <c r="Q311" s="51"/>
      <c r="R311" s="51"/>
      <c r="S311" s="51"/>
      <c r="T311" s="51"/>
      <c r="U311" s="51"/>
      <c r="V311" s="51"/>
      <c r="W311" s="51"/>
      <c r="X311" s="51"/>
      <c r="Y311" s="51"/>
      <c r="Z311" s="51"/>
      <c r="AA311" s="51"/>
      <c r="AB311" s="51"/>
    </row>
    <row r="312" customFormat="false" ht="15.75" hidden="false" customHeight="false" outlineLevel="0" collapsed="false">
      <c r="A312" s="51"/>
      <c r="B312" s="51"/>
      <c r="C312" s="6"/>
      <c r="D312" s="49"/>
      <c r="E312" s="51"/>
      <c r="F312" s="6"/>
      <c r="G312" s="6"/>
      <c r="H312" s="6"/>
      <c r="I312" s="6"/>
      <c r="J312" s="6"/>
      <c r="K312" s="51"/>
      <c r="L312" s="51"/>
      <c r="M312" s="51"/>
      <c r="N312" s="51"/>
      <c r="O312" s="51"/>
      <c r="P312" s="51"/>
      <c r="Q312" s="51"/>
      <c r="R312" s="51"/>
      <c r="S312" s="51"/>
      <c r="T312" s="51"/>
      <c r="U312" s="51"/>
      <c r="V312" s="51"/>
      <c r="W312" s="51"/>
      <c r="X312" s="51"/>
      <c r="Y312" s="51"/>
      <c r="Z312" s="51"/>
      <c r="AA312" s="51"/>
      <c r="AB312" s="51"/>
    </row>
    <row r="313" customFormat="false" ht="15.75" hidden="false" customHeight="false" outlineLevel="0" collapsed="false">
      <c r="A313" s="51"/>
      <c r="B313" s="51"/>
      <c r="C313" s="6"/>
      <c r="D313" s="49"/>
      <c r="E313" s="51"/>
      <c r="F313" s="6"/>
      <c r="G313" s="6"/>
      <c r="H313" s="6"/>
      <c r="I313" s="6"/>
      <c r="J313" s="6"/>
      <c r="K313" s="51"/>
      <c r="L313" s="51"/>
      <c r="M313" s="51"/>
      <c r="N313" s="51"/>
      <c r="O313" s="51"/>
      <c r="P313" s="51"/>
      <c r="Q313" s="51"/>
      <c r="R313" s="51"/>
      <c r="S313" s="51"/>
      <c r="T313" s="51"/>
      <c r="U313" s="51"/>
      <c r="V313" s="51"/>
      <c r="W313" s="51"/>
      <c r="X313" s="51"/>
      <c r="Y313" s="51"/>
      <c r="Z313" s="51"/>
      <c r="AA313" s="51"/>
      <c r="AB313" s="51"/>
    </row>
    <row r="314" customFormat="false" ht="15.75" hidden="false" customHeight="false" outlineLevel="0" collapsed="false">
      <c r="A314" s="51"/>
      <c r="B314" s="51"/>
      <c r="C314" s="6"/>
      <c r="D314" s="49"/>
      <c r="E314" s="51"/>
      <c r="F314" s="6"/>
      <c r="G314" s="6"/>
      <c r="H314" s="6"/>
      <c r="I314" s="6"/>
      <c r="J314" s="6"/>
      <c r="K314" s="51"/>
      <c r="L314" s="51"/>
      <c r="M314" s="51"/>
      <c r="N314" s="51"/>
      <c r="O314" s="51"/>
      <c r="P314" s="51"/>
      <c r="Q314" s="51"/>
      <c r="R314" s="51"/>
      <c r="S314" s="51"/>
      <c r="T314" s="51"/>
      <c r="U314" s="51"/>
      <c r="V314" s="51"/>
      <c r="W314" s="51"/>
      <c r="X314" s="51"/>
      <c r="Y314" s="51"/>
      <c r="Z314" s="51"/>
      <c r="AA314" s="51"/>
      <c r="AB314" s="51"/>
    </row>
    <row r="315" customFormat="false" ht="15.75" hidden="false" customHeight="false" outlineLevel="0" collapsed="false">
      <c r="A315" s="51"/>
      <c r="B315" s="51"/>
      <c r="C315" s="6"/>
      <c r="D315" s="49"/>
      <c r="E315" s="51"/>
      <c r="F315" s="6"/>
      <c r="G315" s="6"/>
      <c r="H315" s="6"/>
      <c r="I315" s="6"/>
      <c r="J315" s="6"/>
      <c r="K315" s="51"/>
      <c r="L315" s="51"/>
      <c r="M315" s="51"/>
      <c r="N315" s="51"/>
      <c r="O315" s="51"/>
      <c r="P315" s="51"/>
      <c r="Q315" s="51"/>
      <c r="R315" s="51"/>
      <c r="S315" s="51"/>
      <c r="T315" s="51"/>
      <c r="U315" s="51"/>
      <c r="V315" s="51"/>
      <c r="W315" s="51"/>
      <c r="X315" s="51"/>
      <c r="Y315" s="51"/>
      <c r="Z315" s="51"/>
      <c r="AA315" s="51"/>
      <c r="AB315" s="51"/>
    </row>
    <row r="316" customFormat="false" ht="15.75" hidden="false" customHeight="false" outlineLevel="0" collapsed="false">
      <c r="A316" s="51"/>
      <c r="B316" s="51"/>
      <c r="C316" s="6"/>
      <c r="D316" s="49"/>
      <c r="E316" s="51"/>
      <c r="F316" s="6"/>
      <c r="G316" s="6"/>
      <c r="H316" s="6"/>
      <c r="I316" s="6"/>
      <c r="J316" s="6"/>
      <c r="K316" s="51"/>
      <c r="L316" s="51"/>
      <c r="M316" s="51"/>
      <c r="N316" s="51"/>
      <c r="O316" s="51"/>
      <c r="P316" s="51"/>
      <c r="Q316" s="51"/>
      <c r="R316" s="51"/>
      <c r="S316" s="51"/>
      <c r="T316" s="51"/>
      <c r="U316" s="51"/>
      <c r="V316" s="51"/>
      <c r="W316" s="51"/>
      <c r="X316" s="51"/>
      <c r="Y316" s="51"/>
      <c r="Z316" s="51"/>
      <c r="AA316" s="51"/>
      <c r="AB316" s="51"/>
    </row>
    <row r="317" customFormat="false" ht="15.75" hidden="false" customHeight="false" outlineLevel="0" collapsed="false">
      <c r="A317" s="51"/>
      <c r="B317" s="51"/>
      <c r="C317" s="6"/>
      <c r="D317" s="49"/>
      <c r="E317" s="51"/>
      <c r="F317" s="6"/>
      <c r="G317" s="6"/>
      <c r="H317" s="6"/>
      <c r="I317" s="6"/>
      <c r="J317" s="6"/>
      <c r="K317" s="51"/>
      <c r="L317" s="51"/>
      <c r="M317" s="51"/>
      <c r="N317" s="51"/>
      <c r="O317" s="51"/>
      <c r="P317" s="51"/>
      <c r="Q317" s="51"/>
      <c r="R317" s="51"/>
      <c r="S317" s="51"/>
      <c r="T317" s="51"/>
      <c r="U317" s="51"/>
      <c r="V317" s="51"/>
      <c r="W317" s="51"/>
      <c r="X317" s="51"/>
      <c r="Y317" s="51"/>
      <c r="Z317" s="51"/>
      <c r="AA317" s="51"/>
      <c r="AB317" s="51"/>
    </row>
    <row r="318" customFormat="false" ht="15.75" hidden="false" customHeight="false" outlineLevel="0" collapsed="false">
      <c r="A318" s="51"/>
      <c r="B318" s="51"/>
      <c r="C318" s="6"/>
      <c r="D318" s="49"/>
      <c r="E318" s="51"/>
      <c r="F318" s="6"/>
      <c r="G318" s="6"/>
      <c r="H318" s="6"/>
      <c r="I318" s="6"/>
      <c r="J318" s="6"/>
      <c r="K318" s="51"/>
      <c r="L318" s="51"/>
      <c r="M318" s="51"/>
      <c r="N318" s="51"/>
      <c r="O318" s="51"/>
      <c r="P318" s="51"/>
      <c r="Q318" s="51"/>
      <c r="R318" s="51"/>
      <c r="S318" s="51"/>
      <c r="T318" s="51"/>
      <c r="U318" s="51"/>
      <c r="V318" s="51"/>
      <c r="W318" s="51"/>
      <c r="X318" s="51"/>
      <c r="Y318" s="51"/>
      <c r="Z318" s="51"/>
      <c r="AA318" s="51"/>
      <c r="AB318" s="51"/>
    </row>
    <row r="319" customFormat="false" ht="15.75" hidden="false" customHeight="false" outlineLevel="0" collapsed="false">
      <c r="A319" s="51"/>
      <c r="B319" s="51"/>
      <c r="C319" s="6"/>
      <c r="D319" s="49"/>
      <c r="E319" s="51"/>
      <c r="F319" s="6"/>
      <c r="G319" s="6"/>
      <c r="H319" s="6"/>
      <c r="I319" s="6"/>
      <c r="J319" s="6"/>
      <c r="K319" s="51"/>
      <c r="L319" s="51"/>
      <c r="M319" s="51"/>
      <c r="N319" s="51"/>
      <c r="O319" s="51"/>
      <c r="P319" s="51"/>
      <c r="Q319" s="51"/>
      <c r="R319" s="51"/>
      <c r="S319" s="51"/>
      <c r="T319" s="51"/>
      <c r="U319" s="51"/>
      <c r="V319" s="51"/>
      <c r="W319" s="51"/>
      <c r="X319" s="51"/>
      <c r="Y319" s="51"/>
      <c r="Z319" s="51"/>
      <c r="AA319" s="51"/>
      <c r="AB319" s="51"/>
    </row>
    <row r="320" customFormat="false" ht="15.75" hidden="false" customHeight="false" outlineLevel="0" collapsed="false">
      <c r="A320" s="51"/>
      <c r="B320" s="51"/>
      <c r="C320" s="6"/>
      <c r="D320" s="49"/>
      <c r="E320" s="51"/>
      <c r="F320" s="6"/>
      <c r="G320" s="6"/>
      <c r="H320" s="6"/>
      <c r="I320" s="6"/>
      <c r="J320" s="6"/>
      <c r="K320" s="51"/>
      <c r="L320" s="51"/>
      <c r="M320" s="51"/>
      <c r="N320" s="51"/>
      <c r="O320" s="51"/>
      <c r="P320" s="51"/>
      <c r="Q320" s="51"/>
      <c r="R320" s="51"/>
      <c r="S320" s="51"/>
      <c r="T320" s="51"/>
      <c r="U320" s="51"/>
      <c r="V320" s="51"/>
      <c r="W320" s="51"/>
      <c r="X320" s="51"/>
      <c r="Y320" s="51"/>
      <c r="Z320" s="51"/>
      <c r="AA320" s="51"/>
      <c r="AB320" s="51"/>
    </row>
    <row r="321" customFormat="false" ht="15.75" hidden="false" customHeight="false" outlineLevel="0" collapsed="false">
      <c r="A321" s="51"/>
      <c r="B321" s="51"/>
      <c r="C321" s="6"/>
      <c r="D321" s="49"/>
      <c r="E321" s="51"/>
      <c r="F321" s="6"/>
      <c r="G321" s="6"/>
      <c r="H321" s="6"/>
      <c r="I321" s="6"/>
      <c r="J321" s="6"/>
      <c r="K321" s="51"/>
      <c r="L321" s="51"/>
      <c r="M321" s="51"/>
      <c r="N321" s="51"/>
      <c r="O321" s="51"/>
      <c r="P321" s="51"/>
      <c r="Q321" s="51"/>
      <c r="R321" s="51"/>
      <c r="S321" s="51"/>
      <c r="T321" s="51"/>
      <c r="U321" s="51"/>
      <c r="V321" s="51"/>
      <c r="W321" s="51"/>
      <c r="X321" s="51"/>
      <c r="Y321" s="51"/>
      <c r="Z321" s="51"/>
      <c r="AA321" s="51"/>
      <c r="AB321" s="51"/>
    </row>
    <row r="322" customFormat="false" ht="15.75" hidden="false" customHeight="false" outlineLevel="0" collapsed="false">
      <c r="A322" s="51"/>
      <c r="B322" s="51"/>
      <c r="C322" s="6"/>
      <c r="D322" s="49"/>
      <c r="E322" s="51"/>
      <c r="F322" s="6"/>
      <c r="G322" s="6"/>
      <c r="H322" s="6"/>
      <c r="I322" s="6"/>
      <c r="J322" s="6"/>
      <c r="K322" s="51"/>
      <c r="L322" s="51"/>
      <c r="M322" s="51"/>
      <c r="N322" s="51"/>
      <c r="O322" s="51"/>
      <c r="P322" s="51"/>
      <c r="Q322" s="51"/>
      <c r="R322" s="51"/>
      <c r="S322" s="51"/>
      <c r="T322" s="51"/>
      <c r="U322" s="51"/>
      <c r="V322" s="51"/>
      <c r="W322" s="51"/>
      <c r="X322" s="51"/>
      <c r="Y322" s="51"/>
      <c r="Z322" s="51"/>
      <c r="AA322" s="51"/>
      <c r="AB322" s="51"/>
    </row>
    <row r="323" customFormat="false" ht="15.75" hidden="false" customHeight="false" outlineLevel="0" collapsed="false">
      <c r="A323" s="51"/>
      <c r="B323" s="51"/>
      <c r="C323" s="6"/>
      <c r="D323" s="49"/>
      <c r="E323" s="51"/>
      <c r="F323" s="6"/>
      <c r="G323" s="6"/>
      <c r="H323" s="6"/>
      <c r="I323" s="6"/>
      <c r="J323" s="6"/>
      <c r="K323" s="51"/>
      <c r="L323" s="51"/>
      <c r="M323" s="51"/>
      <c r="N323" s="51"/>
      <c r="O323" s="51"/>
      <c r="P323" s="51"/>
      <c r="Q323" s="51"/>
      <c r="R323" s="51"/>
      <c r="S323" s="51"/>
      <c r="T323" s="51"/>
      <c r="U323" s="51"/>
      <c r="V323" s="51"/>
      <c r="W323" s="51"/>
      <c r="X323" s="51"/>
      <c r="Y323" s="51"/>
      <c r="Z323" s="51"/>
      <c r="AA323" s="51"/>
      <c r="AB323" s="51"/>
    </row>
    <row r="324" customFormat="false" ht="15.75" hidden="false" customHeight="false" outlineLevel="0" collapsed="false">
      <c r="A324" s="51"/>
      <c r="B324" s="51"/>
      <c r="C324" s="6"/>
      <c r="D324" s="49"/>
      <c r="E324" s="51"/>
      <c r="F324" s="6"/>
      <c r="G324" s="6"/>
      <c r="H324" s="6"/>
      <c r="I324" s="6"/>
      <c r="J324" s="6"/>
      <c r="K324" s="51"/>
      <c r="L324" s="51"/>
      <c r="M324" s="51"/>
      <c r="N324" s="51"/>
      <c r="O324" s="51"/>
      <c r="P324" s="51"/>
      <c r="Q324" s="51"/>
      <c r="R324" s="51"/>
      <c r="S324" s="51"/>
      <c r="T324" s="51"/>
      <c r="U324" s="51"/>
      <c r="V324" s="51"/>
      <c r="W324" s="51"/>
      <c r="X324" s="51"/>
      <c r="Y324" s="51"/>
      <c r="Z324" s="51"/>
      <c r="AA324" s="51"/>
      <c r="AB324" s="51"/>
    </row>
    <row r="325" customFormat="false" ht="15.75" hidden="false" customHeight="false" outlineLevel="0" collapsed="false">
      <c r="A325" s="51"/>
      <c r="B325" s="51"/>
      <c r="C325" s="6"/>
      <c r="D325" s="49"/>
      <c r="E325" s="51"/>
      <c r="F325" s="6"/>
      <c r="G325" s="6"/>
      <c r="H325" s="6"/>
      <c r="I325" s="6"/>
      <c r="J325" s="6"/>
      <c r="K325" s="51"/>
      <c r="L325" s="51"/>
      <c r="M325" s="51"/>
      <c r="N325" s="51"/>
      <c r="O325" s="51"/>
      <c r="P325" s="51"/>
      <c r="Q325" s="51"/>
      <c r="R325" s="51"/>
      <c r="S325" s="51"/>
      <c r="T325" s="51"/>
      <c r="U325" s="51"/>
      <c r="V325" s="51"/>
      <c r="W325" s="51"/>
      <c r="X325" s="51"/>
      <c r="Y325" s="51"/>
      <c r="Z325" s="51"/>
      <c r="AA325" s="51"/>
      <c r="AB325" s="51"/>
    </row>
    <row r="326" customFormat="false" ht="15.75" hidden="false" customHeight="false" outlineLevel="0" collapsed="false">
      <c r="A326" s="51"/>
      <c r="B326" s="51"/>
      <c r="C326" s="6"/>
      <c r="D326" s="49"/>
      <c r="E326" s="51"/>
      <c r="F326" s="6"/>
      <c r="G326" s="6"/>
      <c r="H326" s="6"/>
      <c r="I326" s="6"/>
      <c r="J326" s="6"/>
      <c r="K326" s="51"/>
      <c r="L326" s="51"/>
      <c r="M326" s="51"/>
      <c r="N326" s="51"/>
      <c r="O326" s="51"/>
      <c r="P326" s="51"/>
      <c r="Q326" s="51"/>
      <c r="R326" s="51"/>
      <c r="S326" s="51"/>
      <c r="T326" s="51"/>
      <c r="U326" s="51"/>
      <c r="V326" s="51"/>
      <c r="W326" s="51"/>
      <c r="X326" s="51"/>
      <c r="Y326" s="51"/>
      <c r="Z326" s="51"/>
      <c r="AA326" s="51"/>
      <c r="AB326" s="51"/>
    </row>
    <row r="327" customFormat="false" ht="15.75" hidden="false" customHeight="false" outlineLevel="0" collapsed="false">
      <c r="A327" s="51"/>
      <c r="B327" s="51"/>
      <c r="C327" s="6"/>
      <c r="D327" s="49"/>
      <c r="E327" s="51"/>
      <c r="F327" s="6"/>
      <c r="G327" s="6"/>
      <c r="H327" s="6"/>
      <c r="I327" s="6"/>
      <c r="J327" s="6"/>
      <c r="K327" s="51"/>
      <c r="L327" s="51"/>
      <c r="M327" s="51"/>
      <c r="N327" s="51"/>
      <c r="O327" s="51"/>
      <c r="P327" s="51"/>
      <c r="Q327" s="51"/>
      <c r="R327" s="51"/>
      <c r="S327" s="51"/>
      <c r="T327" s="51"/>
      <c r="U327" s="51"/>
      <c r="V327" s="51"/>
      <c r="W327" s="51"/>
      <c r="X327" s="51"/>
      <c r="Y327" s="51"/>
      <c r="Z327" s="51"/>
      <c r="AA327" s="51"/>
      <c r="AB327" s="51"/>
    </row>
    <row r="328" customFormat="false" ht="15.75" hidden="false" customHeight="false" outlineLevel="0" collapsed="false">
      <c r="A328" s="51"/>
      <c r="B328" s="51"/>
      <c r="C328" s="6"/>
      <c r="D328" s="49"/>
      <c r="E328" s="51"/>
      <c r="F328" s="6"/>
      <c r="G328" s="6"/>
      <c r="H328" s="6"/>
      <c r="I328" s="6"/>
      <c r="J328" s="6"/>
      <c r="K328" s="51"/>
      <c r="L328" s="51"/>
      <c r="M328" s="51"/>
      <c r="N328" s="51"/>
      <c r="O328" s="51"/>
      <c r="P328" s="51"/>
      <c r="Q328" s="51"/>
      <c r="R328" s="51"/>
      <c r="S328" s="51"/>
      <c r="T328" s="51"/>
      <c r="U328" s="51"/>
      <c r="V328" s="51"/>
      <c r="W328" s="51"/>
      <c r="X328" s="51"/>
      <c r="Y328" s="51"/>
      <c r="Z328" s="51"/>
      <c r="AA328" s="51"/>
      <c r="AB328" s="51"/>
    </row>
    <row r="329" customFormat="false" ht="15.75" hidden="false" customHeight="false" outlineLevel="0" collapsed="false">
      <c r="A329" s="51"/>
      <c r="B329" s="51"/>
      <c r="C329" s="6"/>
      <c r="D329" s="49"/>
      <c r="E329" s="51"/>
      <c r="F329" s="6"/>
      <c r="G329" s="6"/>
      <c r="H329" s="6"/>
      <c r="I329" s="6"/>
      <c r="J329" s="6"/>
      <c r="K329" s="51"/>
      <c r="L329" s="51"/>
      <c r="M329" s="51"/>
      <c r="N329" s="51"/>
      <c r="O329" s="51"/>
      <c r="P329" s="51"/>
      <c r="Q329" s="51"/>
      <c r="R329" s="51"/>
      <c r="S329" s="51"/>
      <c r="T329" s="51"/>
      <c r="U329" s="51"/>
      <c r="V329" s="51"/>
      <c r="W329" s="51"/>
      <c r="X329" s="51"/>
      <c r="Y329" s="51"/>
      <c r="Z329" s="51"/>
      <c r="AA329" s="51"/>
      <c r="AB329" s="51"/>
    </row>
    <row r="330" customFormat="false" ht="15.75" hidden="false" customHeight="false" outlineLevel="0" collapsed="false">
      <c r="A330" s="51"/>
      <c r="B330" s="51"/>
      <c r="C330" s="6"/>
      <c r="D330" s="49"/>
      <c r="E330" s="51"/>
      <c r="F330" s="6"/>
      <c r="G330" s="6"/>
      <c r="H330" s="6"/>
      <c r="I330" s="6"/>
      <c r="J330" s="6"/>
      <c r="K330" s="51"/>
      <c r="L330" s="51"/>
      <c r="M330" s="51"/>
      <c r="N330" s="51"/>
      <c r="O330" s="51"/>
      <c r="P330" s="51"/>
      <c r="Q330" s="51"/>
      <c r="R330" s="51"/>
      <c r="S330" s="51"/>
      <c r="T330" s="51"/>
      <c r="U330" s="51"/>
      <c r="V330" s="51"/>
      <c r="W330" s="51"/>
      <c r="X330" s="51"/>
      <c r="Y330" s="51"/>
      <c r="Z330" s="51"/>
      <c r="AA330" s="51"/>
      <c r="AB330" s="51"/>
    </row>
    <row r="331" customFormat="false" ht="15.75" hidden="false" customHeight="false" outlineLevel="0" collapsed="false">
      <c r="A331" s="51"/>
      <c r="B331" s="51"/>
      <c r="C331" s="6"/>
      <c r="D331" s="49"/>
      <c r="E331" s="51"/>
      <c r="F331" s="6"/>
      <c r="G331" s="6"/>
      <c r="H331" s="6"/>
      <c r="I331" s="6"/>
      <c r="J331" s="6"/>
      <c r="K331" s="51"/>
      <c r="L331" s="51"/>
      <c r="M331" s="51"/>
      <c r="N331" s="51"/>
      <c r="O331" s="51"/>
      <c r="P331" s="51"/>
      <c r="Q331" s="51"/>
      <c r="R331" s="51"/>
      <c r="S331" s="51"/>
      <c r="T331" s="51"/>
      <c r="U331" s="51"/>
      <c r="V331" s="51"/>
      <c r="W331" s="51"/>
      <c r="X331" s="51"/>
      <c r="Y331" s="51"/>
      <c r="Z331" s="51"/>
      <c r="AA331" s="51"/>
      <c r="AB331" s="51"/>
    </row>
    <row r="332" customFormat="false" ht="15.75" hidden="false" customHeight="false" outlineLevel="0" collapsed="false">
      <c r="A332" s="51"/>
      <c r="B332" s="51"/>
      <c r="C332" s="6"/>
      <c r="D332" s="49"/>
      <c r="E332" s="51"/>
      <c r="F332" s="6"/>
      <c r="G332" s="6"/>
      <c r="H332" s="6"/>
      <c r="I332" s="6"/>
      <c r="J332" s="6"/>
      <c r="K332" s="51"/>
      <c r="L332" s="51"/>
      <c r="M332" s="51"/>
      <c r="N332" s="51"/>
      <c r="O332" s="51"/>
      <c r="P332" s="51"/>
      <c r="Q332" s="51"/>
      <c r="R332" s="51"/>
      <c r="S332" s="51"/>
      <c r="T332" s="51"/>
      <c r="U332" s="51"/>
      <c r="V332" s="51"/>
      <c r="W332" s="51"/>
      <c r="X332" s="51"/>
      <c r="Y332" s="51"/>
      <c r="Z332" s="51"/>
      <c r="AA332" s="51"/>
      <c r="AB332" s="51"/>
    </row>
    <row r="333" customFormat="false" ht="15.75" hidden="false" customHeight="false" outlineLevel="0" collapsed="false">
      <c r="A333" s="51"/>
      <c r="B333" s="51"/>
      <c r="C333" s="6"/>
      <c r="D333" s="49"/>
      <c r="E333" s="51"/>
      <c r="F333" s="6"/>
      <c r="G333" s="6"/>
      <c r="H333" s="6"/>
      <c r="I333" s="6"/>
      <c r="J333" s="6"/>
      <c r="K333" s="51"/>
      <c r="L333" s="51"/>
      <c r="M333" s="51"/>
      <c r="N333" s="51"/>
      <c r="O333" s="51"/>
      <c r="P333" s="51"/>
      <c r="Q333" s="51"/>
      <c r="R333" s="51"/>
      <c r="S333" s="51"/>
      <c r="T333" s="51"/>
      <c r="U333" s="51"/>
      <c r="V333" s="51"/>
      <c r="W333" s="51"/>
      <c r="X333" s="51"/>
      <c r="Y333" s="51"/>
      <c r="Z333" s="51"/>
      <c r="AA333" s="51"/>
      <c r="AB333" s="51"/>
    </row>
    <row r="334" customFormat="false" ht="15.75" hidden="false" customHeight="false" outlineLevel="0" collapsed="false">
      <c r="A334" s="51"/>
      <c r="B334" s="51"/>
      <c r="C334" s="6"/>
      <c r="D334" s="49"/>
      <c r="E334" s="51"/>
      <c r="F334" s="6"/>
      <c r="G334" s="6"/>
      <c r="H334" s="6"/>
      <c r="I334" s="6"/>
      <c r="J334" s="6"/>
      <c r="K334" s="51"/>
      <c r="L334" s="51"/>
      <c r="M334" s="51"/>
      <c r="N334" s="51"/>
      <c r="O334" s="51"/>
      <c r="P334" s="51"/>
      <c r="Q334" s="51"/>
      <c r="R334" s="51"/>
      <c r="S334" s="51"/>
      <c r="T334" s="51"/>
      <c r="U334" s="51"/>
      <c r="V334" s="51"/>
      <c r="W334" s="51"/>
      <c r="X334" s="51"/>
      <c r="Y334" s="51"/>
      <c r="Z334" s="51"/>
      <c r="AA334" s="51"/>
      <c r="AB334" s="51"/>
    </row>
    <row r="335" customFormat="false" ht="15.75" hidden="false" customHeight="false" outlineLevel="0" collapsed="false">
      <c r="A335" s="51"/>
      <c r="B335" s="51"/>
      <c r="C335" s="6"/>
      <c r="D335" s="49"/>
      <c r="E335" s="51"/>
      <c r="F335" s="6"/>
      <c r="G335" s="6"/>
      <c r="H335" s="6"/>
      <c r="I335" s="6"/>
      <c r="J335" s="6"/>
      <c r="K335" s="51"/>
      <c r="L335" s="51"/>
      <c r="M335" s="51"/>
      <c r="N335" s="51"/>
      <c r="O335" s="51"/>
      <c r="P335" s="51"/>
      <c r="Q335" s="51"/>
      <c r="R335" s="51"/>
      <c r="S335" s="51"/>
      <c r="T335" s="51"/>
      <c r="U335" s="51"/>
      <c r="V335" s="51"/>
      <c r="W335" s="51"/>
      <c r="X335" s="51"/>
      <c r="Y335" s="51"/>
      <c r="Z335" s="51"/>
      <c r="AA335" s="51"/>
      <c r="AB335" s="51"/>
    </row>
    <row r="336" customFormat="false" ht="15.75" hidden="false" customHeight="false" outlineLevel="0" collapsed="false">
      <c r="A336" s="51"/>
      <c r="B336" s="51"/>
      <c r="C336" s="6"/>
      <c r="D336" s="49"/>
      <c r="E336" s="51"/>
      <c r="F336" s="6"/>
      <c r="G336" s="6"/>
      <c r="H336" s="6"/>
      <c r="I336" s="6"/>
      <c r="J336" s="6"/>
      <c r="K336" s="51"/>
      <c r="L336" s="51"/>
      <c r="M336" s="51"/>
      <c r="N336" s="51"/>
      <c r="O336" s="51"/>
      <c r="P336" s="51"/>
      <c r="Q336" s="51"/>
      <c r="R336" s="51"/>
      <c r="S336" s="51"/>
      <c r="T336" s="51"/>
      <c r="U336" s="51"/>
      <c r="V336" s="51"/>
      <c r="W336" s="51"/>
      <c r="X336" s="51"/>
      <c r="Y336" s="51"/>
      <c r="Z336" s="51"/>
      <c r="AA336" s="51"/>
      <c r="AB336" s="51"/>
    </row>
    <row r="337" customFormat="false" ht="15.75" hidden="false" customHeight="false" outlineLevel="0" collapsed="false">
      <c r="A337" s="51"/>
      <c r="B337" s="51"/>
      <c r="C337" s="6"/>
      <c r="D337" s="49"/>
      <c r="E337" s="51"/>
      <c r="F337" s="6"/>
      <c r="G337" s="6"/>
      <c r="H337" s="6"/>
      <c r="I337" s="6"/>
      <c r="J337" s="6"/>
      <c r="K337" s="51"/>
      <c r="L337" s="51"/>
      <c r="M337" s="51"/>
      <c r="N337" s="51"/>
      <c r="O337" s="51"/>
      <c r="P337" s="51"/>
      <c r="Q337" s="51"/>
      <c r="R337" s="51"/>
      <c r="S337" s="51"/>
      <c r="T337" s="51"/>
      <c r="U337" s="51"/>
      <c r="V337" s="51"/>
      <c r="W337" s="51"/>
      <c r="X337" s="51"/>
      <c r="Y337" s="51"/>
      <c r="Z337" s="51"/>
      <c r="AA337" s="51"/>
      <c r="AB337" s="51"/>
    </row>
    <row r="338" customFormat="false" ht="15.75" hidden="false" customHeight="false" outlineLevel="0" collapsed="false">
      <c r="A338" s="51"/>
      <c r="B338" s="51"/>
      <c r="C338" s="6"/>
      <c r="D338" s="49"/>
      <c r="E338" s="51"/>
      <c r="F338" s="6"/>
      <c r="G338" s="6"/>
      <c r="H338" s="6"/>
      <c r="I338" s="6"/>
      <c r="J338" s="6"/>
      <c r="K338" s="51"/>
      <c r="L338" s="51"/>
      <c r="M338" s="51"/>
      <c r="N338" s="51"/>
      <c r="O338" s="51"/>
      <c r="P338" s="51"/>
      <c r="Q338" s="51"/>
      <c r="R338" s="51"/>
      <c r="S338" s="51"/>
      <c r="T338" s="51"/>
      <c r="U338" s="51"/>
      <c r="V338" s="51"/>
      <c r="W338" s="51"/>
      <c r="X338" s="51"/>
      <c r="Y338" s="51"/>
      <c r="Z338" s="51"/>
      <c r="AA338" s="51"/>
      <c r="AB338" s="51"/>
    </row>
    <row r="339" customFormat="false" ht="15.75" hidden="false" customHeight="false" outlineLevel="0" collapsed="false">
      <c r="A339" s="51"/>
      <c r="B339" s="51"/>
      <c r="C339" s="6"/>
      <c r="D339" s="49"/>
      <c r="E339" s="51"/>
      <c r="F339" s="6"/>
      <c r="G339" s="6"/>
      <c r="H339" s="6"/>
      <c r="I339" s="6"/>
      <c r="J339" s="6"/>
      <c r="K339" s="51"/>
      <c r="L339" s="51"/>
      <c r="M339" s="51"/>
      <c r="N339" s="51"/>
      <c r="O339" s="51"/>
      <c r="P339" s="51"/>
      <c r="Q339" s="51"/>
      <c r="R339" s="51"/>
      <c r="S339" s="51"/>
      <c r="T339" s="51"/>
      <c r="U339" s="51"/>
      <c r="V339" s="51"/>
      <c r="W339" s="51"/>
      <c r="X339" s="51"/>
      <c r="Y339" s="51"/>
      <c r="Z339" s="51"/>
      <c r="AA339" s="51"/>
      <c r="AB339" s="51"/>
    </row>
    <row r="340" customFormat="false" ht="15.75" hidden="false" customHeight="false" outlineLevel="0" collapsed="false">
      <c r="A340" s="51"/>
      <c r="B340" s="51"/>
      <c r="C340" s="6"/>
      <c r="D340" s="49"/>
      <c r="E340" s="51"/>
      <c r="F340" s="6"/>
      <c r="G340" s="6"/>
      <c r="H340" s="6"/>
      <c r="I340" s="6"/>
      <c r="J340" s="6"/>
      <c r="K340" s="51"/>
      <c r="L340" s="51"/>
      <c r="M340" s="51"/>
      <c r="N340" s="51"/>
      <c r="O340" s="51"/>
      <c r="P340" s="51"/>
      <c r="Q340" s="51"/>
      <c r="R340" s="51"/>
      <c r="S340" s="51"/>
      <c r="T340" s="51"/>
      <c r="U340" s="51"/>
      <c r="V340" s="51"/>
      <c r="W340" s="51"/>
      <c r="X340" s="51"/>
      <c r="Y340" s="51"/>
      <c r="Z340" s="51"/>
      <c r="AA340" s="51"/>
      <c r="AB340" s="51"/>
    </row>
    <row r="341" customFormat="false" ht="15.75" hidden="false" customHeight="false" outlineLevel="0" collapsed="false">
      <c r="A341" s="51"/>
      <c r="B341" s="51"/>
      <c r="C341" s="6"/>
      <c r="D341" s="49"/>
      <c r="E341" s="51"/>
      <c r="F341" s="6"/>
      <c r="G341" s="6"/>
      <c r="H341" s="6"/>
      <c r="I341" s="6"/>
      <c r="J341" s="6"/>
      <c r="K341" s="51"/>
      <c r="L341" s="51"/>
      <c r="M341" s="51"/>
      <c r="N341" s="51"/>
      <c r="O341" s="51"/>
      <c r="P341" s="51"/>
      <c r="Q341" s="51"/>
      <c r="R341" s="51"/>
      <c r="S341" s="51"/>
      <c r="T341" s="51"/>
      <c r="U341" s="51"/>
      <c r="V341" s="51"/>
      <c r="W341" s="51"/>
      <c r="X341" s="51"/>
      <c r="Y341" s="51"/>
      <c r="Z341" s="51"/>
      <c r="AA341" s="51"/>
      <c r="AB341" s="51"/>
    </row>
    <row r="342" customFormat="false" ht="15.75" hidden="false" customHeight="false" outlineLevel="0" collapsed="false">
      <c r="A342" s="51"/>
      <c r="B342" s="51"/>
      <c r="C342" s="6"/>
      <c r="D342" s="49"/>
      <c r="E342" s="51"/>
      <c r="F342" s="6"/>
      <c r="G342" s="6"/>
      <c r="H342" s="6"/>
      <c r="I342" s="6"/>
      <c r="J342" s="6"/>
      <c r="K342" s="51"/>
      <c r="L342" s="51"/>
      <c r="M342" s="51"/>
      <c r="N342" s="51"/>
      <c r="O342" s="51"/>
      <c r="P342" s="51"/>
      <c r="Q342" s="51"/>
      <c r="R342" s="51"/>
      <c r="S342" s="51"/>
      <c r="T342" s="51"/>
      <c r="U342" s="51"/>
      <c r="V342" s="51"/>
      <c r="W342" s="51"/>
      <c r="X342" s="51"/>
      <c r="Y342" s="51"/>
      <c r="Z342" s="51"/>
      <c r="AA342" s="51"/>
      <c r="AB342" s="51"/>
    </row>
    <row r="343" customFormat="false" ht="15.75" hidden="false" customHeight="false" outlineLevel="0" collapsed="false">
      <c r="A343" s="51"/>
      <c r="B343" s="51"/>
      <c r="C343" s="6"/>
      <c r="D343" s="49"/>
      <c r="E343" s="51"/>
      <c r="F343" s="6"/>
      <c r="G343" s="6"/>
      <c r="H343" s="6"/>
      <c r="I343" s="6"/>
      <c r="J343" s="6"/>
      <c r="K343" s="51"/>
      <c r="L343" s="51"/>
      <c r="M343" s="51"/>
      <c r="N343" s="51"/>
      <c r="O343" s="51"/>
      <c r="P343" s="51"/>
      <c r="Q343" s="51"/>
      <c r="R343" s="51"/>
      <c r="S343" s="51"/>
      <c r="T343" s="51"/>
      <c r="U343" s="51"/>
      <c r="V343" s="51"/>
      <c r="W343" s="51"/>
      <c r="X343" s="51"/>
      <c r="Y343" s="51"/>
      <c r="Z343" s="51"/>
      <c r="AA343" s="51"/>
      <c r="AB343" s="51"/>
    </row>
    <row r="344" customFormat="false" ht="15.75" hidden="false" customHeight="false" outlineLevel="0" collapsed="false">
      <c r="A344" s="51"/>
      <c r="B344" s="51"/>
      <c r="C344" s="6"/>
      <c r="D344" s="49"/>
      <c r="E344" s="51"/>
      <c r="F344" s="6"/>
      <c r="G344" s="6"/>
      <c r="H344" s="6"/>
      <c r="I344" s="6"/>
      <c r="J344" s="6"/>
      <c r="K344" s="51"/>
      <c r="L344" s="51"/>
      <c r="M344" s="51"/>
      <c r="N344" s="51"/>
      <c r="O344" s="51"/>
      <c r="P344" s="51"/>
      <c r="Q344" s="51"/>
      <c r="R344" s="51"/>
      <c r="S344" s="51"/>
      <c r="T344" s="51"/>
      <c r="U344" s="51"/>
      <c r="V344" s="51"/>
      <c r="W344" s="51"/>
      <c r="X344" s="51"/>
      <c r="Y344" s="51"/>
      <c r="Z344" s="51"/>
      <c r="AA344" s="51"/>
      <c r="AB344" s="51"/>
    </row>
    <row r="345" customFormat="false" ht="15.75" hidden="false" customHeight="false" outlineLevel="0" collapsed="false">
      <c r="A345" s="51"/>
      <c r="B345" s="51"/>
      <c r="C345" s="6"/>
      <c r="D345" s="49"/>
      <c r="E345" s="51"/>
      <c r="F345" s="6"/>
      <c r="G345" s="6"/>
      <c r="H345" s="6"/>
      <c r="I345" s="6"/>
      <c r="J345" s="6"/>
      <c r="K345" s="51"/>
      <c r="L345" s="51"/>
      <c r="M345" s="51"/>
      <c r="N345" s="51"/>
      <c r="O345" s="51"/>
      <c r="P345" s="51"/>
      <c r="Q345" s="51"/>
      <c r="R345" s="51"/>
      <c r="S345" s="51"/>
      <c r="T345" s="51"/>
      <c r="U345" s="51"/>
      <c r="V345" s="51"/>
      <c r="W345" s="51"/>
      <c r="X345" s="51"/>
      <c r="Y345" s="51"/>
      <c r="Z345" s="51"/>
      <c r="AA345" s="51"/>
      <c r="AB345" s="51"/>
    </row>
    <row r="346" customFormat="false" ht="15.75" hidden="false" customHeight="false" outlineLevel="0" collapsed="false">
      <c r="A346" s="51"/>
      <c r="B346" s="51"/>
      <c r="C346" s="6"/>
      <c r="D346" s="49"/>
      <c r="E346" s="51"/>
      <c r="F346" s="6"/>
      <c r="G346" s="6"/>
      <c r="H346" s="6"/>
      <c r="I346" s="6"/>
      <c r="J346" s="6"/>
      <c r="K346" s="51"/>
      <c r="L346" s="51"/>
      <c r="M346" s="51"/>
      <c r="N346" s="51"/>
      <c r="O346" s="51"/>
      <c r="P346" s="51"/>
      <c r="Q346" s="51"/>
      <c r="R346" s="51"/>
      <c r="S346" s="51"/>
      <c r="T346" s="51"/>
      <c r="U346" s="51"/>
      <c r="V346" s="51"/>
      <c r="W346" s="51"/>
      <c r="X346" s="51"/>
      <c r="Y346" s="51"/>
      <c r="Z346" s="51"/>
      <c r="AA346" s="51"/>
      <c r="AB346" s="51"/>
    </row>
    <row r="347" customFormat="false" ht="15.75" hidden="false" customHeight="false" outlineLevel="0" collapsed="false">
      <c r="A347" s="51"/>
      <c r="B347" s="51"/>
      <c r="C347" s="6"/>
      <c r="D347" s="49"/>
      <c r="E347" s="51"/>
      <c r="F347" s="6"/>
      <c r="G347" s="6"/>
      <c r="H347" s="6"/>
      <c r="I347" s="6"/>
      <c r="J347" s="6"/>
      <c r="K347" s="51"/>
      <c r="L347" s="51"/>
      <c r="M347" s="51"/>
      <c r="N347" s="51"/>
      <c r="O347" s="51"/>
      <c r="P347" s="51"/>
      <c r="Q347" s="51"/>
      <c r="R347" s="51"/>
      <c r="S347" s="51"/>
      <c r="T347" s="51"/>
      <c r="U347" s="51"/>
      <c r="V347" s="51"/>
      <c r="W347" s="51"/>
      <c r="X347" s="51"/>
      <c r="Y347" s="51"/>
      <c r="Z347" s="51"/>
      <c r="AA347" s="51"/>
      <c r="AB347" s="51"/>
    </row>
    <row r="348" customFormat="false" ht="15.75" hidden="false" customHeight="false" outlineLevel="0" collapsed="false">
      <c r="A348" s="51"/>
      <c r="B348" s="51"/>
      <c r="C348" s="6"/>
      <c r="D348" s="49"/>
      <c r="E348" s="51"/>
      <c r="F348" s="6"/>
      <c r="G348" s="6"/>
      <c r="H348" s="6"/>
      <c r="I348" s="6"/>
      <c r="J348" s="6"/>
      <c r="K348" s="51"/>
      <c r="L348" s="51"/>
      <c r="M348" s="51"/>
      <c r="N348" s="51"/>
      <c r="O348" s="51"/>
      <c r="P348" s="51"/>
      <c r="Q348" s="51"/>
      <c r="R348" s="51"/>
      <c r="S348" s="51"/>
      <c r="T348" s="51"/>
      <c r="U348" s="51"/>
      <c r="V348" s="51"/>
      <c r="W348" s="51"/>
      <c r="X348" s="51"/>
      <c r="Y348" s="51"/>
      <c r="Z348" s="51"/>
      <c r="AA348" s="51"/>
      <c r="AB348" s="51"/>
    </row>
    <row r="349" customFormat="false" ht="15.75" hidden="false" customHeight="false" outlineLevel="0" collapsed="false">
      <c r="A349" s="51"/>
      <c r="B349" s="51"/>
      <c r="C349" s="6"/>
      <c r="D349" s="49"/>
      <c r="E349" s="51"/>
      <c r="F349" s="6"/>
      <c r="G349" s="6"/>
      <c r="H349" s="6"/>
      <c r="I349" s="6"/>
      <c r="J349" s="6"/>
      <c r="K349" s="51"/>
      <c r="L349" s="51"/>
      <c r="M349" s="51"/>
      <c r="N349" s="51"/>
      <c r="O349" s="51"/>
      <c r="P349" s="51"/>
      <c r="Q349" s="51"/>
      <c r="R349" s="51"/>
      <c r="S349" s="51"/>
      <c r="T349" s="51"/>
      <c r="U349" s="51"/>
      <c r="V349" s="51"/>
      <c r="W349" s="51"/>
      <c r="X349" s="51"/>
      <c r="Y349" s="51"/>
      <c r="Z349" s="51"/>
      <c r="AA349" s="51"/>
      <c r="AB349" s="51"/>
    </row>
    <row r="350" customFormat="false" ht="15.75" hidden="false" customHeight="false" outlineLevel="0" collapsed="false">
      <c r="A350" s="51"/>
      <c r="B350" s="51"/>
      <c r="C350" s="6"/>
      <c r="D350" s="49"/>
      <c r="E350" s="51"/>
      <c r="F350" s="6"/>
      <c r="G350" s="6"/>
      <c r="H350" s="6"/>
      <c r="I350" s="6"/>
      <c r="J350" s="6"/>
      <c r="K350" s="51"/>
      <c r="L350" s="51"/>
      <c r="M350" s="51"/>
      <c r="N350" s="51"/>
      <c r="O350" s="51"/>
      <c r="P350" s="51"/>
      <c r="Q350" s="51"/>
      <c r="R350" s="51"/>
      <c r="S350" s="51"/>
      <c r="T350" s="51"/>
      <c r="U350" s="51"/>
      <c r="V350" s="51"/>
      <c r="W350" s="51"/>
      <c r="X350" s="51"/>
      <c r="Y350" s="51"/>
      <c r="Z350" s="51"/>
      <c r="AA350" s="51"/>
      <c r="AB350" s="51"/>
    </row>
    <row r="351" customFormat="false" ht="15.75" hidden="false" customHeight="false" outlineLevel="0" collapsed="false">
      <c r="A351" s="51"/>
      <c r="B351" s="51"/>
      <c r="C351" s="6"/>
      <c r="D351" s="49"/>
      <c r="E351" s="51"/>
      <c r="F351" s="6"/>
      <c r="G351" s="6"/>
      <c r="H351" s="6"/>
      <c r="I351" s="6"/>
      <c r="J351" s="6"/>
      <c r="K351" s="51"/>
      <c r="L351" s="51"/>
      <c r="M351" s="51"/>
      <c r="N351" s="51"/>
      <c r="O351" s="51"/>
      <c r="P351" s="51"/>
      <c r="Q351" s="51"/>
      <c r="R351" s="51"/>
      <c r="S351" s="51"/>
      <c r="T351" s="51"/>
      <c r="U351" s="51"/>
      <c r="V351" s="51"/>
      <c r="W351" s="51"/>
      <c r="X351" s="51"/>
      <c r="Y351" s="51"/>
      <c r="Z351" s="51"/>
      <c r="AA351" s="51"/>
      <c r="AB351" s="51"/>
    </row>
    <row r="352" customFormat="false" ht="15.75" hidden="false" customHeight="false" outlineLevel="0" collapsed="false">
      <c r="A352" s="51"/>
      <c r="B352" s="51"/>
      <c r="C352" s="6"/>
      <c r="D352" s="49"/>
      <c r="E352" s="51"/>
      <c r="F352" s="6"/>
      <c r="G352" s="6"/>
      <c r="H352" s="6"/>
      <c r="I352" s="6"/>
      <c r="J352" s="6"/>
      <c r="K352" s="51"/>
      <c r="L352" s="51"/>
      <c r="M352" s="51"/>
      <c r="N352" s="51"/>
      <c r="O352" s="51"/>
      <c r="P352" s="51"/>
      <c r="Q352" s="51"/>
      <c r="R352" s="51"/>
      <c r="S352" s="51"/>
      <c r="T352" s="51"/>
      <c r="U352" s="51"/>
      <c r="V352" s="51"/>
      <c r="W352" s="51"/>
      <c r="X352" s="51"/>
      <c r="Y352" s="51"/>
      <c r="Z352" s="51"/>
      <c r="AA352" s="51"/>
      <c r="AB352" s="51"/>
    </row>
    <row r="353" customFormat="false" ht="15.75" hidden="false" customHeight="false" outlineLevel="0" collapsed="false">
      <c r="A353" s="51"/>
      <c r="B353" s="51"/>
      <c r="C353" s="6"/>
      <c r="D353" s="49"/>
      <c r="E353" s="51"/>
      <c r="F353" s="6"/>
      <c r="G353" s="6"/>
      <c r="H353" s="6"/>
      <c r="I353" s="6"/>
      <c r="J353" s="6"/>
      <c r="K353" s="51"/>
      <c r="L353" s="51"/>
      <c r="M353" s="51"/>
      <c r="N353" s="51"/>
      <c r="O353" s="51"/>
      <c r="P353" s="51"/>
      <c r="Q353" s="51"/>
      <c r="R353" s="51"/>
      <c r="S353" s="51"/>
      <c r="T353" s="51"/>
      <c r="U353" s="51"/>
      <c r="V353" s="51"/>
      <c r="W353" s="51"/>
      <c r="X353" s="51"/>
      <c r="Y353" s="51"/>
      <c r="Z353" s="51"/>
      <c r="AA353" s="51"/>
      <c r="AB353" s="51"/>
    </row>
    <row r="354" customFormat="false" ht="15.75" hidden="false" customHeight="false" outlineLevel="0" collapsed="false">
      <c r="A354" s="51"/>
      <c r="B354" s="51"/>
      <c r="C354" s="6"/>
      <c r="D354" s="49"/>
      <c r="E354" s="51"/>
      <c r="F354" s="6"/>
      <c r="G354" s="6"/>
      <c r="H354" s="6"/>
      <c r="I354" s="6"/>
      <c r="J354" s="6"/>
      <c r="K354" s="51"/>
      <c r="L354" s="51"/>
      <c r="M354" s="51"/>
      <c r="N354" s="51"/>
      <c r="O354" s="51"/>
      <c r="P354" s="51"/>
      <c r="Q354" s="51"/>
      <c r="R354" s="51"/>
      <c r="S354" s="51"/>
      <c r="T354" s="51"/>
      <c r="U354" s="51"/>
      <c r="V354" s="51"/>
      <c r="W354" s="51"/>
      <c r="X354" s="51"/>
      <c r="Y354" s="51"/>
      <c r="Z354" s="51"/>
      <c r="AA354" s="51"/>
      <c r="AB354" s="51"/>
    </row>
    <row r="355" customFormat="false" ht="15.75" hidden="false" customHeight="false" outlineLevel="0" collapsed="false">
      <c r="A355" s="51"/>
      <c r="B355" s="51"/>
      <c r="C355" s="6"/>
      <c r="D355" s="49"/>
      <c r="E355" s="51"/>
      <c r="F355" s="6"/>
      <c r="G355" s="6"/>
      <c r="H355" s="6"/>
      <c r="I355" s="6"/>
      <c r="J355" s="6"/>
      <c r="K355" s="51"/>
      <c r="L355" s="51"/>
      <c r="M355" s="51"/>
      <c r="N355" s="51"/>
      <c r="O355" s="51"/>
      <c r="P355" s="51"/>
      <c r="Q355" s="51"/>
      <c r="R355" s="51"/>
      <c r="S355" s="51"/>
      <c r="T355" s="51"/>
      <c r="U355" s="51"/>
      <c r="V355" s="51"/>
      <c r="W355" s="51"/>
      <c r="X355" s="51"/>
      <c r="Y355" s="51"/>
      <c r="Z355" s="51"/>
      <c r="AA355" s="51"/>
      <c r="AB355" s="51"/>
    </row>
    <row r="356" customFormat="false" ht="15.75" hidden="false" customHeight="false" outlineLevel="0" collapsed="false">
      <c r="A356" s="51"/>
      <c r="B356" s="51"/>
      <c r="C356" s="6"/>
      <c r="D356" s="49"/>
      <c r="E356" s="51"/>
      <c r="F356" s="6"/>
      <c r="G356" s="6"/>
      <c r="H356" s="6"/>
      <c r="I356" s="6"/>
      <c r="J356" s="6"/>
      <c r="K356" s="51"/>
      <c r="L356" s="51"/>
      <c r="M356" s="51"/>
      <c r="N356" s="51"/>
      <c r="O356" s="51"/>
      <c r="P356" s="51"/>
      <c r="Q356" s="51"/>
      <c r="R356" s="51"/>
      <c r="S356" s="51"/>
      <c r="T356" s="51"/>
      <c r="U356" s="51"/>
      <c r="V356" s="51"/>
      <c r="W356" s="51"/>
      <c r="X356" s="51"/>
      <c r="Y356" s="51"/>
      <c r="Z356" s="51"/>
      <c r="AA356" s="51"/>
      <c r="AB356" s="51"/>
    </row>
    <row r="357" customFormat="false" ht="15.75" hidden="false" customHeight="false" outlineLevel="0" collapsed="false">
      <c r="A357" s="51"/>
      <c r="B357" s="51"/>
      <c r="C357" s="6"/>
      <c r="D357" s="49"/>
      <c r="E357" s="51"/>
      <c r="F357" s="6"/>
      <c r="G357" s="6"/>
      <c r="H357" s="6"/>
      <c r="I357" s="6"/>
      <c r="J357" s="6"/>
      <c r="K357" s="51"/>
      <c r="L357" s="51"/>
      <c r="M357" s="51"/>
      <c r="N357" s="51"/>
      <c r="O357" s="51"/>
      <c r="P357" s="51"/>
      <c r="Q357" s="51"/>
      <c r="R357" s="51"/>
      <c r="S357" s="51"/>
      <c r="T357" s="51"/>
      <c r="U357" s="51"/>
      <c r="V357" s="51"/>
      <c r="W357" s="51"/>
      <c r="X357" s="51"/>
      <c r="Y357" s="51"/>
      <c r="Z357" s="51"/>
      <c r="AA357" s="51"/>
      <c r="AB357" s="51"/>
    </row>
    <row r="358" customFormat="false" ht="15.75" hidden="false" customHeight="false" outlineLevel="0" collapsed="false">
      <c r="A358" s="51"/>
      <c r="B358" s="51"/>
      <c r="C358" s="6"/>
      <c r="D358" s="49"/>
      <c r="E358" s="51"/>
      <c r="F358" s="6"/>
      <c r="G358" s="6"/>
      <c r="H358" s="6"/>
      <c r="I358" s="6"/>
      <c r="J358" s="6"/>
      <c r="K358" s="51"/>
      <c r="L358" s="51"/>
      <c r="M358" s="51"/>
      <c r="N358" s="51"/>
      <c r="O358" s="51"/>
      <c r="P358" s="51"/>
      <c r="Q358" s="51"/>
      <c r="R358" s="51"/>
      <c r="S358" s="51"/>
      <c r="T358" s="51"/>
      <c r="U358" s="51"/>
      <c r="V358" s="51"/>
      <c r="W358" s="51"/>
      <c r="X358" s="51"/>
      <c r="Y358" s="51"/>
      <c r="Z358" s="51"/>
      <c r="AA358" s="51"/>
      <c r="AB358" s="51"/>
    </row>
    <row r="359" customFormat="false" ht="15.75" hidden="false" customHeight="false" outlineLevel="0" collapsed="false">
      <c r="A359" s="51"/>
      <c r="B359" s="51"/>
      <c r="C359" s="6"/>
      <c r="D359" s="49"/>
      <c r="E359" s="51"/>
      <c r="F359" s="6"/>
      <c r="G359" s="6"/>
      <c r="H359" s="6"/>
      <c r="I359" s="6"/>
      <c r="J359" s="6"/>
      <c r="K359" s="51"/>
      <c r="L359" s="51"/>
      <c r="M359" s="51"/>
      <c r="N359" s="51"/>
      <c r="O359" s="51"/>
      <c r="P359" s="51"/>
      <c r="Q359" s="51"/>
      <c r="R359" s="51"/>
      <c r="S359" s="51"/>
      <c r="T359" s="51"/>
      <c r="U359" s="51"/>
      <c r="V359" s="51"/>
      <c r="W359" s="51"/>
      <c r="X359" s="51"/>
      <c r="Y359" s="51"/>
      <c r="Z359" s="51"/>
      <c r="AA359" s="51"/>
      <c r="AB359" s="51"/>
    </row>
    <row r="360" customFormat="false" ht="15.75" hidden="false" customHeight="false" outlineLevel="0" collapsed="false">
      <c r="A360" s="51"/>
      <c r="B360" s="51"/>
      <c r="C360" s="6"/>
      <c r="D360" s="49"/>
      <c r="E360" s="51"/>
      <c r="F360" s="6"/>
      <c r="G360" s="6"/>
      <c r="H360" s="6"/>
      <c r="I360" s="6"/>
      <c r="J360" s="6"/>
      <c r="K360" s="51"/>
      <c r="L360" s="51"/>
      <c r="M360" s="51"/>
      <c r="N360" s="51"/>
      <c r="O360" s="51"/>
      <c r="P360" s="51"/>
      <c r="Q360" s="51"/>
      <c r="R360" s="51"/>
      <c r="S360" s="51"/>
      <c r="T360" s="51"/>
      <c r="U360" s="51"/>
      <c r="V360" s="51"/>
      <c r="W360" s="51"/>
      <c r="X360" s="51"/>
      <c r="Y360" s="51"/>
      <c r="Z360" s="51"/>
      <c r="AA360" s="51"/>
      <c r="AB360" s="51"/>
    </row>
    <row r="361" customFormat="false" ht="15.75" hidden="false" customHeight="false" outlineLevel="0" collapsed="false">
      <c r="A361" s="51"/>
      <c r="B361" s="51"/>
      <c r="C361" s="6"/>
      <c r="D361" s="49"/>
      <c r="E361" s="51"/>
      <c r="F361" s="6"/>
      <c r="G361" s="6"/>
      <c r="H361" s="6"/>
      <c r="I361" s="6"/>
      <c r="J361" s="6"/>
      <c r="K361" s="51"/>
      <c r="L361" s="51"/>
      <c r="M361" s="51"/>
      <c r="N361" s="51"/>
      <c r="O361" s="51"/>
      <c r="P361" s="51"/>
      <c r="Q361" s="51"/>
      <c r="R361" s="51"/>
      <c r="S361" s="51"/>
      <c r="T361" s="51"/>
      <c r="U361" s="51"/>
      <c r="V361" s="51"/>
      <c r="W361" s="51"/>
      <c r="X361" s="51"/>
      <c r="Y361" s="51"/>
      <c r="Z361" s="51"/>
      <c r="AA361" s="51"/>
      <c r="AB361" s="51"/>
    </row>
    <row r="362" customFormat="false" ht="15.75" hidden="false" customHeight="false" outlineLevel="0" collapsed="false">
      <c r="A362" s="51"/>
      <c r="B362" s="51"/>
      <c r="C362" s="6"/>
      <c r="D362" s="49"/>
      <c r="E362" s="51"/>
      <c r="F362" s="6"/>
      <c r="G362" s="6"/>
      <c r="H362" s="6"/>
      <c r="I362" s="6"/>
      <c r="J362" s="6"/>
      <c r="K362" s="51"/>
      <c r="L362" s="51"/>
      <c r="M362" s="51"/>
      <c r="N362" s="51"/>
      <c r="O362" s="51"/>
      <c r="P362" s="51"/>
      <c r="Q362" s="51"/>
      <c r="R362" s="51"/>
      <c r="S362" s="51"/>
      <c r="T362" s="51"/>
      <c r="U362" s="51"/>
      <c r="V362" s="51"/>
      <c r="W362" s="51"/>
      <c r="X362" s="51"/>
      <c r="Y362" s="51"/>
      <c r="Z362" s="51"/>
      <c r="AA362" s="51"/>
      <c r="AB362" s="51"/>
    </row>
    <row r="363" customFormat="false" ht="15.75" hidden="false" customHeight="false" outlineLevel="0" collapsed="false">
      <c r="A363" s="51"/>
      <c r="B363" s="51"/>
      <c r="C363" s="6"/>
      <c r="D363" s="49"/>
      <c r="E363" s="51"/>
      <c r="F363" s="6"/>
      <c r="G363" s="6"/>
      <c r="H363" s="6"/>
      <c r="I363" s="6"/>
      <c r="J363" s="6"/>
      <c r="K363" s="51"/>
      <c r="L363" s="51"/>
      <c r="M363" s="51"/>
      <c r="N363" s="51"/>
      <c r="O363" s="51"/>
      <c r="P363" s="51"/>
      <c r="Q363" s="51"/>
      <c r="R363" s="51"/>
      <c r="S363" s="51"/>
      <c r="T363" s="51"/>
      <c r="U363" s="51"/>
      <c r="V363" s="51"/>
      <c r="W363" s="51"/>
      <c r="X363" s="51"/>
      <c r="Y363" s="51"/>
      <c r="Z363" s="51"/>
      <c r="AA363" s="51"/>
      <c r="AB363" s="51"/>
    </row>
    <row r="364" customFormat="false" ht="15.75" hidden="false" customHeight="false" outlineLevel="0" collapsed="false">
      <c r="A364" s="51"/>
      <c r="B364" s="51"/>
      <c r="C364" s="6"/>
      <c r="D364" s="49"/>
      <c r="E364" s="51"/>
      <c r="F364" s="6"/>
      <c r="G364" s="6"/>
      <c r="H364" s="6"/>
      <c r="I364" s="6"/>
      <c r="J364" s="6"/>
      <c r="K364" s="51"/>
      <c r="L364" s="51"/>
      <c r="M364" s="51"/>
      <c r="N364" s="51"/>
      <c r="O364" s="51"/>
      <c r="P364" s="51"/>
      <c r="Q364" s="51"/>
      <c r="R364" s="51"/>
      <c r="S364" s="51"/>
      <c r="T364" s="51"/>
      <c r="U364" s="51"/>
      <c r="V364" s="51"/>
      <c r="W364" s="51"/>
      <c r="X364" s="51"/>
      <c r="Y364" s="51"/>
      <c r="Z364" s="51"/>
      <c r="AA364" s="51"/>
      <c r="AB364" s="51"/>
    </row>
    <row r="365" customFormat="false" ht="15.75" hidden="false" customHeight="false" outlineLevel="0" collapsed="false">
      <c r="A365" s="51"/>
      <c r="B365" s="51"/>
      <c r="C365" s="6"/>
      <c r="D365" s="49"/>
      <c r="E365" s="51"/>
      <c r="F365" s="6"/>
      <c r="G365" s="6"/>
      <c r="H365" s="6"/>
      <c r="I365" s="6"/>
      <c r="J365" s="6"/>
      <c r="K365" s="51"/>
      <c r="L365" s="51"/>
      <c r="M365" s="51"/>
      <c r="N365" s="51"/>
      <c r="O365" s="51"/>
      <c r="P365" s="51"/>
      <c r="Q365" s="51"/>
      <c r="R365" s="51"/>
      <c r="S365" s="51"/>
      <c r="T365" s="51"/>
      <c r="U365" s="51"/>
      <c r="V365" s="51"/>
      <c r="W365" s="51"/>
      <c r="X365" s="51"/>
      <c r="Y365" s="51"/>
      <c r="Z365" s="51"/>
      <c r="AA365" s="51"/>
      <c r="AB365" s="51"/>
    </row>
    <row r="366" customFormat="false" ht="15.75" hidden="false" customHeight="false" outlineLevel="0" collapsed="false">
      <c r="A366" s="51"/>
      <c r="B366" s="51"/>
      <c r="C366" s="6"/>
      <c r="D366" s="49"/>
      <c r="E366" s="51"/>
      <c r="F366" s="6"/>
      <c r="G366" s="6"/>
      <c r="H366" s="6"/>
      <c r="I366" s="6"/>
      <c r="J366" s="6"/>
      <c r="K366" s="51"/>
      <c r="L366" s="51"/>
      <c r="M366" s="51"/>
      <c r="N366" s="51"/>
      <c r="O366" s="51"/>
      <c r="P366" s="51"/>
      <c r="Q366" s="51"/>
      <c r="R366" s="51"/>
      <c r="S366" s="51"/>
      <c r="T366" s="51"/>
      <c r="U366" s="51"/>
      <c r="V366" s="51"/>
      <c r="W366" s="51"/>
      <c r="X366" s="51"/>
      <c r="Y366" s="51"/>
      <c r="Z366" s="51"/>
      <c r="AA366" s="51"/>
      <c r="AB366" s="51"/>
    </row>
    <row r="367" customFormat="false" ht="15.75" hidden="false" customHeight="false" outlineLevel="0" collapsed="false">
      <c r="A367" s="51"/>
      <c r="B367" s="51"/>
      <c r="C367" s="6"/>
      <c r="D367" s="49"/>
      <c r="E367" s="51"/>
      <c r="F367" s="6"/>
      <c r="G367" s="6"/>
      <c r="H367" s="6"/>
      <c r="I367" s="6"/>
      <c r="J367" s="6"/>
      <c r="K367" s="51"/>
      <c r="L367" s="51"/>
      <c r="M367" s="51"/>
      <c r="N367" s="51"/>
      <c r="O367" s="51"/>
      <c r="P367" s="51"/>
      <c r="Q367" s="51"/>
      <c r="R367" s="51"/>
      <c r="S367" s="51"/>
      <c r="T367" s="51"/>
      <c r="U367" s="51"/>
      <c r="V367" s="51"/>
      <c r="W367" s="51"/>
      <c r="X367" s="51"/>
      <c r="Y367" s="51"/>
      <c r="Z367" s="51"/>
      <c r="AA367" s="51"/>
      <c r="AB367" s="51"/>
    </row>
    <row r="368" customFormat="false" ht="15.75" hidden="false" customHeight="false" outlineLevel="0" collapsed="false">
      <c r="A368" s="51"/>
      <c r="B368" s="51"/>
      <c r="C368" s="6"/>
      <c r="D368" s="49"/>
      <c r="E368" s="51"/>
      <c r="F368" s="6"/>
      <c r="G368" s="6"/>
      <c r="H368" s="6"/>
      <c r="I368" s="6"/>
      <c r="J368" s="6"/>
      <c r="K368" s="51"/>
      <c r="L368" s="51"/>
      <c r="M368" s="51"/>
      <c r="N368" s="51"/>
      <c r="O368" s="51"/>
      <c r="P368" s="51"/>
      <c r="Q368" s="51"/>
      <c r="R368" s="51"/>
      <c r="S368" s="51"/>
      <c r="T368" s="51"/>
      <c r="U368" s="51"/>
      <c r="V368" s="51"/>
      <c r="W368" s="51"/>
      <c r="X368" s="51"/>
      <c r="Y368" s="51"/>
      <c r="Z368" s="51"/>
      <c r="AA368" s="51"/>
      <c r="AB368" s="51"/>
    </row>
    <row r="369" customFormat="false" ht="15.75" hidden="false" customHeight="false" outlineLevel="0" collapsed="false">
      <c r="A369" s="51"/>
      <c r="B369" s="51"/>
      <c r="C369" s="6"/>
      <c r="D369" s="49"/>
      <c r="E369" s="51"/>
      <c r="F369" s="6"/>
      <c r="G369" s="6"/>
      <c r="H369" s="6"/>
      <c r="I369" s="6"/>
      <c r="J369" s="6"/>
      <c r="K369" s="51"/>
      <c r="L369" s="51"/>
      <c r="M369" s="51"/>
      <c r="N369" s="51"/>
      <c r="O369" s="51"/>
      <c r="P369" s="51"/>
      <c r="Q369" s="51"/>
      <c r="R369" s="51"/>
      <c r="S369" s="51"/>
      <c r="T369" s="51"/>
      <c r="U369" s="51"/>
      <c r="V369" s="51"/>
      <c r="W369" s="51"/>
      <c r="X369" s="51"/>
      <c r="Y369" s="51"/>
      <c r="Z369" s="51"/>
      <c r="AA369" s="51"/>
      <c r="AB369" s="51"/>
    </row>
    <row r="370" customFormat="false" ht="15.75" hidden="false" customHeight="false" outlineLevel="0" collapsed="false">
      <c r="A370" s="51"/>
      <c r="B370" s="51"/>
      <c r="C370" s="6"/>
      <c r="D370" s="49"/>
      <c r="E370" s="51"/>
      <c r="F370" s="6"/>
      <c r="G370" s="6"/>
      <c r="H370" s="6"/>
      <c r="I370" s="6"/>
      <c r="J370" s="6"/>
      <c r="K370" s="51"/>
      <c r="L370" s="51"/>
      <c r="M370" s="51"/>
      <c r="N370" s="51"/>
      <c r="O370" s="51"/>
      <c r="P370" s="51"/>
      <c r="Q370" s="51"/>
      <c r="R370" s="51"/>
      <c r="S370" s="51"/>
      <c r="T370" s="51"/>
      <c r="U370" s="51"/>
      <c r="V370" s="51"/>
      <c r="W370" s="51"/>
      <c r="X370" s="51"/>
      <c r="Y370" s="51"/>
      <c r="Z370" s="51"/>
      <c r="AA370" s="51"/>
      <c r="AB370" s="51"/>
    </row>
    <row r="371" customFormat="false" ht="15.75" hidden="false" customHeight="false" outlineLevel="0" collapsed="false">
      <c r="A371" s="51"/>
      <c r="B371" s="51"/>
      <c r="C371" s="6"/>
      <c r="D371" s="49"/>
      <c r="E371" s="51"/>
      <c r="F371" s="6"/>
      <c r="G371" s="6"/>
      <c r="H371" s="6"/>
      <c r="I371" s="6"/>
      <c r="J371" s="6"/>
      <c r="K371" s="51"/>
      <c r="L371" s="51"/>
      <c r="M371" s="51"/>
      <c r="N371" s="51"/>
      <c r="O371" s="51"/>
      <c r="P371" s="51"/>
      <c r="Q371" s="51"/>
      <c r="R371" s="51"/>
      <c r="S371" s="51"/>
      <c r="T371" s="51"/>
      <c r="U371" s="51"/>
      <c r="V371" s="51"/>
      <c r="W371" s="51"/>
      <c r="X371" s="51"/>
      <c r="Y371" s="51"/>
      <c r="Z371" s="51"/>
      <c r="AA371" s="51"/>
      <c r="AB371" s="51"/>
    </row>
    <row r="372" customFormat="false" ht="15.75" hidden="false" customHeight="false" outlineLevel="0" collapsed="false">
      <c r="A372" s="51"/>
      <c r="B372" s="51"/>
      <c r="C372" s="6"/>
      <c r="D372" s="49"/>
      <c r="E372" s="51"/>
      <c r="F372" s="6"/>
      <c r="G372" s="6"/>
      <c r="H372" s="6"/>
      <c r="I372" s="6"/>
      <c r="J372" s="6"/>
      <c r="K372" s="51"/>
      <c r="L372" s="51"/>
      <c r="M372" s="51"/>
      <c r="N372" s="51"/>
      <c r="O372" s="51"/>
      <c r="P372" s="51"/>
      <c r="Q372" s="51"/>
      <c r="R372" s="51"/>
      <c r="S372" s="51"/>
      <c r="T372" s="51"/>
      <c r="U372" s="51"/>
      <c r="V372" s="51"/>
      <c r="W372" s="51"/>
      <c r="X372" s="51"/>
      <c r="Y372" s="51"/>
      <c r="Z372" s="51"/>
      <c r="AA372" s="51"/>
      <c r="AB372" s="51"/>
    </row>
    <row r="373" customFormat="false" ht="15.75" hidden="false" customHeight="false" outlineLevel="0" collapsed="false">
      <c r="A373" s="51"/>
      <c r="B373" s="51"/>
      <c r="C373" s="6"/>
      <c r="D373" s="49"/>
      <c r="E373" s="51"/>
      <c r="F373" s="6"/>
      <c r="G373" s="6"/>
      <c r="H373" s="6"/>
      <c r="I373" s="6"/>
      <c r="J373" s="6"/>
      <c r="K373" s="51"/>
      <c r="L373" s="51"/>
      <c r="M373" s="51"/>
      <c r="N373" s="51"/>
      <c r="O373" s="51"/>
      <c r="P373" s="51"/>
      <c r="Q373" s="51"/>
      <c r="R373" s="51"/>
      <c r="S373" s="51"/>
      <c r="T373" s="51"/>
      <c r="U373" s="51"/>
      <c r="V373" s="51"/>
      <c r="W373" s="51"/>
      <c r="X373" s="51"/>
      <c r="Y373" s="51"/>
      <c r="Z373" s="51"/>
      <c r="AA373" s="51"/>
      <c r="AB373" s="51"/>
    </row>
    <row r="374" customFormat="false" ht="15.75" hidden="false" customHeight="false" outlineLevel="0" collapsed="false">
      <c r="A374" s="51"/>
      <c r="B374" s="51"/>
      <c r="C374" s="6"/>
      <c r="D374" s="49"/>
      <c r="E374" s="51"/>
      <c r="F374" s="6"/>
      <c r="G374" s="6"/>
      <c r="H374" s="6"/>
      <c r="I374" s="6"/>
      <c r="J374" s="6"/>
      <c r="K374" s="51"/>
      <c r="L374" s="51"/>
      <c r="M374" s="51"/>
      <c r="N374" s="51"/>
      <c r="O374" s="51"/>
      <c r="P374" s="51"/>
      <c r="Q374" s="51"/>
      <c r="R374" s="51"/>
      <c r="S374" s="51"/>
      <c r="T374" s="51"/>
      <c r="U374" s="51"/>
      <c r="V374" s="51"/>
      <c r="W374" s="51"/>
      <c r="X374" s="51"/>
      <c r="Y374" s="51"/>
      <c r="Z374" s="51"/>
      <c r="AA374" s="51"/>
      <c r="AB374" s="51"/>
    </row>
    <row r="375" customFormat="false" ht="15.75" hidden="false" customHeight="false" outlineLevel="0" collapsed="false">
      <c r="A375" s="51"/>
      <c r="B375" s="51"/>
      <c r="C375" s="6"/>
      <c r="D375" s="49"/>
      <c r="E375" s="51"/>
      <c r="F375" s="6"/>
      <c r="G375" s="6"/>
      <c r="H375" s="6"/>
      <c r="I375" s="6"/>
      <c r="J375" s="6"/>
      <c r="K375" s="51"/>
      <c r="L375" s="51"/>
      <c r="M375" s="51"/>
      <c r="N375" s="51"/>
      <c r="O375" s="51"/>
      <c r="P375" s="51"/>
      <c r="Q375" s="51"/>
      <c r="R375" s="51"/>
      <c r="S375" s="51"/>
      <c r="T375" s="51"/>
      <c r="U375" s="51"/>
      <c r="V375" s="51"/>
      <c r="W375" s="51"/>
      <c r="X375" s="51"/>
      <c r="Y375" s="51"/>
      <c r="Z375" s="51"/>
      <c r="AA375" s="51"/>
      <c r="AB375" s="51"/>
    </row>
    <row r="376" customFormat="false" ht="15.75" hidden="false" customHeight="false" outlineLevel="0" collapsed="false">
      <c r="A376" s="51"/>
      <c r="B376" s="51"/>
      <c r="C376" s="6"/>
      <c r="D376" s="49"/>
      <c r="E376" s="51"/>
      <c r="F376" s="6"/>
      <c r="G376" s="6"/>
      <c r="H376" s="6"/>
      <c r="I376" s="6"/>
      <c r="J376" s="6"/>
      <c r="K376" s="51"/>
      <c r="L376" s="51"/>
      <c r="M376" s="51"/>
      <c r="N376" s="51"/>
      <c r="O376" s="51"/>
      <c r="P376" s="51"/>
      <c r="Q376" s="51"/>
      <c r="R376" s="51"/>
      <c r="S376" s="51"/>
      <c r="T376" s="51"/>
      <c r="U376" s="51"/>
      <c r="V376" s="51"/>
      <c r="W376" s="51"/>
      <c r="X376" s="51"/>
      <c r="Y376" s="51"/>
      <c r="Z376" s="51"/>
      <c r="AA376" s="51"/>
      <c r="AB376" s="51"/>
    </row>
    <row r="377" customFormat="false" ht="15.75" hidden="false" customHeight="false" outlineLevel="0" collapsed="false">
      <c r="A377" s="51"/>
      <c r="B377" s="51"/>
      <c r="C377" s="6"/>
      <c r="D377" s="49"/>
      <c r="E377" s="51"/>
      <c r="F377" s="6"/>
      <c r="G377" s="6"/>
      <c r="H377" s="6"/>
      <c r="I377" s="6"/>
      <c r="J377" s="6"/>
      <c r="K377" s="51"/>
      <c r="L377" s="51"/>
      <c r="M377" s="51"/>
      <c r="N377" s="51"/>
      <c r="O377" s="51"/>
      <c r="P377" s="51"/>
      <c r="Q377" s="51"/>
      <c r="R377" s="51"/>
      <c r="S377" s="51"/>
      <c r="T377" s="51"/>
      <c r="U377" s="51"/>
      <c r="V377" s="51"/>
      <c r="W377" s="51"/>
      <c r="X377" s="51"/>
      <c r="Y377" s="51"/>
      <c r="Z377" s="51"/>
      <c r="AA377" s="51"/>
      <c r="AB377" s="51"/>
    </row>
    <row r="378" customFormat="false" ht="15.75" hidden="false" customHeight="false" outlineLevel="0" collapsed="false">
      <c r="A378" s="51"/>
      <c r="B378" s="51"/>
      <c r="C378" s="6"/>
      <c r="D378" s="49"/>
      <c r="E378" s="51"/>
      <c r="F378" s="6"/>
      <c r="G378" s="6"/>
      <c r="H378" s="6"/>
      <c r="I378" s="6"/>
      <c r="J378" s="6"/>
      <c r="K378" s="51"/>
      <c r="L378" s="51"/>
      <c r="M378" s="51"/>
      <c r="N378" s="51"/>
      <c r="O378" s="51"/>
      <c r="P378" s="51"/>
      <c r="Q378" s="51"/>
      <c r="R378" s="51"/>
      <c r="S378" s="51"/>
      <c r="T378" s="51"/>
      <c r="U378" s="51"/>
      <c r="V378" s="51"/>
      <c r="W378" s="51"/>
      <c r="X378" s="51"/>
      <c r="Y378" s="51"/>
      <c r="Z378" s="51"/>
      <c r="AA378" s="51"/>
      <c r="AB378" s="51"/>
    </row>
    <row r="379" customFormat="false" ht="15.75" hidden="false" customHeight="false" outlineLevel="0" collapsed="false">
      <c r="A379" s="51"/>
      <c r="B379" s="51"/>
      <c r="C379" s="6"/>
      <c r="D379" s="49"/>
      <c r="E379" s="51"/>
      <c r="F379" s="6"/>
      <c r="G379" s="6"/>
      <c r="H379" s="6"/>
      <c r="I379" s="6"/>
      <c r="J379" s="6"/>
      <c r="K379" s="51"/>
      <c r="L379" s="51"/>
      <c r="M379" s="51"/>
      <c r="N379" s="51"/>
      <c r="O379" s="51"/>
      <c r="P379" s="51"/>
      <c r="Q379" s="51"/>
      <c r="R379" s="51"/>
      <c r="S379" s="51"/>
      <c r="T379" s="51"/>
      <c r="U379" s="51"/>
      <c r="V379" s="51"/>
      <c r="W379" s="51"/>
      <c r="X379" s="51"/>
      <c r="Y379" s="51"/>
      <c r="Z379" s="51"/>
      <c r="AA379" s="51"/>
      <c r="AB379" s="51"/>
    </row>
    <row r="380" customFormat="false" ht="15.75" hidden="false" customHeight="false" outlineLevel="0" collapsed="false">
      <c r="A380" s="51"/>
      <c r="B380" s="51"/>
      <c r="C380" s="6"/>
      <c r="D380" s="49"/>
      <c r="E380" s="51"/>
      <c r="F380" s="6"/>
      <c r="G380" s="6"/>
      <c r="H380" s="6"/>
      <c r="I380" s="6"/>
      <c r="J380" s="6"/>
      <c r="K380" s="51"/>
      <c r="L380" s="51"/>
      <c r="M380" s="51"/>
      <c r="N380" s="51"/>
      <c r="O380" s="51"/>
      <c r="P380" s="51"/>
      <c r="Q380" s="51"/>
      <c r="R380" s="51"/>
      <c r="S380" s="51"/>
      <c r="T380" s="51"/>
      <c r="U380" s="51"/>
      <c r="V380" s="51"/>
      <c r="W380" s="51"/>
      <c r="X380" s="51"/>
      <c r="Y380" s="51"/>
      <c r="Z380" s="51"/>
      <c r="AA380" s="51"/>
      <c r="AB380" s="51"/>
    </row>
    <row r="381" customFormat="false" ht="15.75" hidden="false" customHeight="false" outlineLevel="0" collapsed="false">
      <c r="A381" s="51"/>
      <c r="B381" s="51"/>
      <c r="C381" s="6"/>
      <c r="D381" s="49"/>
      <c r="E381" s="51"/>
      <c r="F381" s="6"/>
      <c r="G381" s="6"/>
      <c r="H381" s="6"/>
      <c r="I381" s="6"/>
      <c r="J381" s="6"/>
      <c r="K381" s="51"/>
      <c r="L381" s="51"/>
      <c r="M381" s="51"/>
      <c r="N381" s="51"/>
      <c r="O381" s="51"/>
      <c r="P381" s="51"/>
      <c r="Q381" s="51"/>
      <c r="R381" s="51"/>
      <c r="S381" s="51"/>
      <c r="T381" s="51"/>
      <c r="U381" s="51"/>
      <c r="V381" s="51"/>
      <c r="W381" s="51"/>
      <c r="X381" s="51"/>
      <c r="Y381" s="51"/>
      <c r="Z381" s="51"/>
      <c r="AA381" s="51"/>
      <c r="AB381" s="51"/>
    </row>
    <row r="382" customFormat="false" ht="15.75" hidden="false" customHeight="false" outlineLevel="0" collapsed="false">
      <c r="A382" s="51"/>
      <c r="B382" s="51"/>
      <c r="C382" s="6"/>
      <c r="D382" s="49"/>
      <c r="E382" s="51"/>
      <c r="F382" s="6"/>
      <c r="G382" s="6"/>
      <c r="H382" s="6"/>
      <c r="I382" s="6"/>
      <c r="J382" s="6"/>
      <c r="K382" s="51"/>
      <c r="L382" s="51"/>
      <c r="M382" s="51"/>
      <c r="N382" s="51"/>
      <c r="O382" s="51"/>
      <c r="P382" s="51"/>
      <c r="Q382" s="51"/>
      <c r="R382" s="51"/>
      <c r="S382" s="51"/>
      <c r="T382" s="51"/>
      <c r="U382" s="51"/>
      <c r="V382" s="51"/>
      <c r="W382" s="51"/>
      <c r="X382" s="51"/>
      <c r="Y382" s="51"/>
      <c r="Z382" s="51"/>
      <c r="AA382" s="51"/>
      <c r="AB382" s="51"/>
    </row>
    <row r="383" customFormat="false" ht="15.75" hidden="false" customHeight="false" outlineLevel="0" collapsed="false">
      <c r="A383" s="51"/>
      <c r="B383" s="51"/>
      <c r="C383" s="6"/>
      <c r="D383" s="49"/>
      <c r="E383" s="51"/>
      <c r="F383" s="6"/>
      <c r="G383" s="6"/>
      <c r="H383" s="6"/>
      <c r="I383" s="6"/>
      <c r="J383" s="6"/>
      <c r="K383" s="51"/>
      <c r="L383" s="51"/>
      <c r="M383" s="51"/>
      <c r="N383" s="51"/>
      <c r="O383" s="51"/>
      <c r="P383" s="51"/>
      <c r="Q383" s="51"/>
      <c r="R383" s="51"/>
      <c r="S383" s="51"/>
      <c r="T383" s="51"/>
      <c r="U383" s="51"/>
      <c r="V383" s="51"/>
      <c r="W383" s="51"/>
      <c r="X383" s="51"/>
      <c r="Y383" s="51"/>
      <c r="Z383" s="51"/>
      <c r="AA383" s="51"/>
      <c r="AB383" s="51"/>
    </row>
    <row r="384" customFormat="false" ht="15.75" hidden="false" customHeight="false" outlineLevel="0" collapsed="false">
      <c r="A384" s="51"/>
      <c r="B384" s="51"/>
      <c r="C384" s="6"/>
      <c r="D384" s="49"/>
      <c r="E384" s="51"/>
      <c r="F384" s="6"/>
      <c r="G384" s="6"/>
      <c r="H384" s="6"/>
      <c r="I384" s="6"/>
      <c r="J384" s="6"/>
      <c r="K384" s="51"/>
      <c r="L384" s="51"/>
      <c r="M384" s="51"/>
      <c r="N384" s="51"/>
      <c r="O384" s="51"/>
      <c r="P384" s="51"/>
      <c r="Q384" s="51"/>
      <c r="R384" s="51"/>
      <c r="S384" s="51"/>
      <c r="T384" s="51"/>
      <c r="U384" s="51"/>
      <c r="V384" s="51"/>
      <c r="W384" s="51"/>
      <c r="X384" s="51"/>
      <c r="Y384" s="51"/>
      <c r="Z384" s="51"/>
      <c r="AA384" s="51"/>
      <c r="AB384" s="51"/>
    </row>
    <row r="385" customFormat="false" ht="15.75" hidden="false" customHeight="false" outlineLevel="0" collapsed="false">
      <c r="A385" s="51"/>
      <c r="B385" s="51"/>
      <c r="C385" s="6"/>
      <c r="D385" s="49"/>
      <c r="E385" s="51"/>
      <c r="F385" s="6"/>
      <c r="G385" s="6"/>
      <c r="H385" s="6"/>
      <c r="I385" s="6"/>
      <c r="J385" s="6"/>
      <c r="K385" s="51"/>
      <c r="L385" s="51"/>
      <c r="M385" s="51"/>
      <c r="N385" s="51"/>
      <c r="O385" s="51"/>
      <c r="P385" s="51"/>
      <c r="Q385" s="51"/>
      <c r="R385" s="51"/>
      <c r="S385" s="51"/>
      <c r="T385" s="51"/>
      <c r="U385" s="51"/>
      <c r="V385" s="51"/>
      <c r="W385" s="51"/>
      <c r="X385" s="51"/>
      <c r="Y385" s="51"/>
      <c r="Z385" s="51"/>
      <c r="AA385" s="51"/>
      <c r="AB385" s="51"/>
    </row>
    <row r="386" customFormat="false" ht="15.75" hidden="false" customHeight="false" outlineLevel="0" collapsed="false">
      <c r="A386" s="51"/>
      <c r="B386" s="51"/>
      <c r="C386" s="6"/>
      <c r="D386" s="49"/>
      <c r="E386" s="51"/>
      <c r="F386" s="6"/>
      <c r="G386" s="6"/>
      <c r="H386" s="6"/>
      <c r="I386" s="6"/>
      <c r="J386" s="6"/>
      <c r="K386" s="51"/>
      <c r="L386" s="51"/>
      <c r="M386" s="51"/>
      <c r="N386" s="51"/>
      <c r="O386" s="51"/>
      <c r="P386" s="51"/>
      <c r="Q386" s="51"/>
      <c r="R386" s="51"/>
      <c r="S386" s="51"/>
      <c r="T386" s="51"/>
      <c r="U386" s="51"/>
      <c r="V386" s="51"/>
      <c r="W386" s="51"/>
      <c r="X386" s="51"/>
      <c r="Y386" s="51"/>
      <c r="Z386" s="51"/>
      <c r="AA386" s="51"/>
      <c r="AB386" s="51"/>
    </row>
    <row r="387" customFormat="false" ht="15.75" hidden="false" customHeight="false" outlineLevel="0" collapsed="false">
      <c r="A387" s="51"/>
      <c r="B387" s="51"/>
      <c r="C387" s="6"/>
      <c r="D387" s="49"/>
      <c r="E387" s="51"/>
      <c r="F387" s="6"/>
      <c r="G387" s="6"/>
      <c r="H387" s="6"/>
      <c r="I387" s="6"/>
      <c r="J387" s="6"/>
      <c r="K387" s="51"/>
      <c r="L387" s="51"/>
      <c r="M387" s="51"/>
      <c r="N387" s="51"/>
      <c r="O387" s="51"/>
      <c r="P387" s="51"/>
      <c r="Q387" s="51"/>
      <c r="R387" s="51"/>
      <c r="S387" s="51"/>
      <c r="T387" s="51"/>
      <c r="U387" s="51"/>
      <c r="V387" s="51"/>
      <c r="W387" s="51"/>
      <c r="X387" s="51"/>
      <c r="Y387" s="51"/>
      <c r="Z387" s="51"/>
      <c r="AA387" s="51"/>
      <c r="AB387" s="51"/>
    </row>
    <row r="388" customFormat="false" ht="15.75" hidden="false" customHeight="false" outlineLevel="0" collapsed="false">
      <c r="A388" s="51"/>
      <c r="B388" s="51"/>
      <c r="C388" s="6"/>
      <c r="D388" s="49"/>
      <c r="E388" s="51"/>
      <c r="F388" s="6"/>
      <c r="G388" s="6"/>
      <c r="H388" s="6"/>
      <c r="I388" s="6"/>
      <c r="J388" s="6"/>
      <c r="K388" s="51"/>
      <c r="L388" s="51"/>
      <c r="M388" s="51"/>
      <c r="N388" s="51"/>
      <c r="O388" s="51"/>
      <c r="P388" s="51"/>
      <c r="Q388" s="51"/>
      <c r="R388" s="51"/>
      <c r="S388" s="51"/>
      <c r="T388" s="51"/>
      <c r="U388" s="51"/>
      <c r="V388" s="51"/>
      <c r="W388" s="51"/>
      <c r="X388" s="51"/>
      <c r="Y388" s="51"/>
      <c r="Z388" s="51"/>
      <c r="AA388" s="51"/>
      <c r="AB388" s="51"/>
    </row>
    <row r="389" customFormat="false" ht="15.75" hidden="false" customHeight="false" outlineLevel="0" collapsed="false">
      <c r="A389" s="51"/>
      <c r="B389" s="51"/>
      <c r="C389" s="6"/>
      <c r="D389" s="49"/>
      <c r="E389" s="51"/>
      <c r="F389" s="6"/>
      <c r="G389" s="6"/>
      <c r="H389" s="6"/>
      <c r="I389" s="6"/>
      <c r="J389" s="6"/>
      <c r="K389" s="51"/>
      <c r="L389" s="51"/>
      <c r="M389" s="51"/>
      <c r="N389" s="51"/>
      <c r="O389" s="51"/>
      <c r="P389" s="51"/>
      <c r="Q389" s="51"/>
      <c r="R389" s="51"/>
      <c r="S389" s="51"/>
      <c r="T389" s="51"/>
      <c r="U389" s="51"/>
      <c r="V389" s="51"/>
      <c r="W389" s="51"/>
      <c r="X389" s="51"/>
      <c r="Y389" s="51"/>
      <c r="Z389" s="51"/>
      <c r="AA389" s="51"/>
      <c r="AB389" s="51"/>
    </row>
    <row r="390" customFormat="false" ht="15.75" hidden="false" customHeight="false" outlineLevel="0" collapsed="false">
      <c r="A390" s="51"/>
      <c r="B390" s="51"/>
      <c r="C390" s="6"/>
      <c r="D390" s="49"/>
      <c r="E390" s="51"/>
      <c r="F390" s="6"/>
      <c r="G390" s="6"/>
      <c r="H390" s="6"/>
      <c r="I390" s="6"/>
      <c r="J390" s="6"/>
      <c r="K390" s="51"/>
      <c r="L390" s="51"/>
      <c r="M390" s="51"/>
      <c r="N390" s="51"/>
      <c r="O390" s="51"/>
      <c r="P390" s="51"/>
      <c r="Q390" s="51"/>
      <c r="R390" s="51"/>
      <c r="S390" s="51"/>
      <c r="T390" s="51"/>
      <c r="U390" s="51"/>
      <c r="V390" s="51"/>
      <c r="W390" s="51"/>
      <c r="X390" s="51"/>
      <c r="Y390" s="51"/>
      <c r="Z390" s="51"/>
      <c r="AA390" s="51"/>
      <c r="AB390" s="51"/>
    </row>
    <row r="391" customFormat="false" ht="15.75" hidden="false" customHeight="false" outlineLevel="0" collapsed="false">
      <c r="A391" s="51"/>
      <c r="B391" s="51"/>
      <c r="C391" s="6"/>
      <c r="D391" s="49"/>
      <c r="E391" s="51"/>
      <c r="F391" s="6"/>
      <c r="G391" s="6"/>
      <c r="H391" s="6"/>
      <c r="I391" s="6"/>
      <c r="J391" s="6"/>
      <c r="K391" s="51"/>
      <c r="L391" s="51"/>
      <c r="M391" s="51"/>
      <c r="N391" s="51"/>
      <c r="O391" s="51"/>
      <c r="P391" s="51"/>
      <c r="Q391" s="51"/>
      <c r="R391" s="51"/>
      <c r="S391" s="51"/>
      <c r="T391" s="51"/>
      <c r="U391" s="51"/>
      <c r="V391" s="51"/>
      <c r="W391" s="51"/>
      <c r="X391" s="51"/>
      <c r="Y391" s="51"/>
      <c r="Z391" s="51"/>
      <c r="AA391" s="51"/>
      <c r="AB391" s="51"/>
    </row>
    <row r="392" customFormat="false" ht="15.75" hidden="false" customHeight="false" outlineLevel="0" collapsed="false">
      <c r="A392" s="51"/>
      <c r="B392" s="51"/>
      <c r="C392" s="6"/>
      <c r="D392" s="49"/>
      <c r="E392" s="51"/>
      <c r="F392" s="6"/>
      <c r="G392" s="6"/>
      <c r="H392" s="6"/>
      <c r="I392" s="6"/>
      <c r="J392" s="6"/>
      <c r="K392" s="51"/>
      <c r="L392" s="51"/>
      <c r="M392" s="51"/>
      <c r="N392" s="51"/>
      <c r="O392" s="51"/>
      <c r="P392" s="51"/>
      <c r="Q392" s="51"/>
      <c r="R392" s="51"/>
      <c r="S392" s="51"/>
      <c r="T392" s="51"/>
      <c r="U392" s="51"/>
      <c r="V392" s="51"/>
      <c r="W392" s="51"/>
      <c r="X392" s="51"/>
      <c r="Y392" s="51"/>
      <c r="Z392" s="51"/>
      <c r="AA392" s="51"/>
      <c r="AB392" s="51"/>
    </row>
    <row r="393" customFormat="false" ht="15.75" hidden="false" customHeight="false" outlineLevel="0" collapsed="false">
      <c r="A393" s="51"/>
      <c r="B393" s="51"/>
      <c r="C393" s="6"/>
      <c r="D393" s="49"/>
      <c r="E393" s="51"/>
      <c r="F393" s="6"/>
      <c r="G393" s="6"/>
      <c r="H393" s="6"/>
      <c r="I393" s="6"/>
      <c r="J393" s="6"/>
      <c r="K393" s="51"/>
      <c r="L393" s="51"/>
      <c r="M393" s="51"/>
      <c r="N393" s="51"/>
      <c r="O393" s="51"/>
      <c r="P393" s="51"/>
      <c r="Q393" s="51"/>
      <c r="R393" s="51"/>
      <c r="S393" s="51"/>
      <c r="T393" s="51"/>
      <c r="U393" s="51"/>
      <c r="V393" s="51"/>
      <c r="W393" s="51"/>
      <c r="X393" s="51"/>
      <c r="Y393" s="51"/>
      <c r="Z393" s="51"/>
      <c r="AA393" s="51"/>
      <c r="AB393" s="51"/>
    </row>
    <row r="394" customFormat="false" ht="15.75" hidden="false" customHeight="false" outlineLevel="0" collapsed="false">
      <c r="A394" s="51"/>
      <c r="B394" s="51"/>
      <c r="C394" s="6"/>
      <c r="D394" s="49"/>
      <c r="E394" s="51"/>
      <c r="F394" s="6"/>
      <c r="G394" s="6"/>
      <c r="H394" s="6"/>
      <c r="I394" s="6"/>
      <c r="J394" s="6"/>
      <c r="K394" s="51"/>
      <c r="L394" s="51"/>
      <c r="M394" s="51"/>
      <c r="N394" s="51"/>
      <c r="O394" s="51"/>
      <c r="P394" s="51"/>
      <c r="Q394" s="51"/>
      <c r="R394" s="51"/>
      <c r="S394" s="51"/>
      <c r="T394" s="51"/>
      <c r="U394" s="51"/>
      <c r="V394" s="51"/>
      <c r="W394" s="51"/>
      <c r="X394" s="51"/>
      <c r="Y394" s="51"/>
      <c r="Z394" s="51"/>
      <c r="AA394" s="51"/>
      <c r="AB394" s="51"/>
    </row>
    <row r="395" customFormat="false" ht="15.75" hidden="false" customHeight="false" outlineLevel="0" collapsed="false">
      <c r="A395" s="51"/>
      <c r="B395" s="51"/>
      <c r="C395" s="6"/>
      <c r="D395" s="49"/>
      <c r="E395" s="51"/>
      <c r="F395" s="6"/>
      <c r="G395" s="6"/>
      <c r="H395" s="6"/>
      <c r="I395" s="6"/>
      <c r="J395" s="6"/>
      <c r="K395" s="51"/>
      <c r="L395" s="51"/>
      <c r="M395" s="51"/>
      <c r="N395" s="51"/>
      <c r="O395" s="51"/>
      <c r="P395" s="51"/>
      <c r="Q395" s="51"/>
      <c r="R395" s="51"/>
      <c r="S395" s="51"/>
      <c r="T395" s="51"/>
      <c r="U395" s="51"/>
      <c r="V395" s="51"/>
      <c r="W395" s="51"/>
      <c r="X395" s="51"/>
      <c r="Y395" s="51"/>
      <c r="Z395" s="51"/>
      <c r="AA395" s="51"/>
      <c r="AB395" s="51"/>
    </row>
    <row r="396" customFormat="false" ht="15.75" hidden="false" customHeight="false" outlineLevel="0" collapsed="false">
      <c r="A396" s="51"/>
      <c r="B396" s="51"/>
      <c r="C396" s="6"/>
      <c r="D396" s="49"/>
      <c r="E396" s="51"/>
      <c r="F396" s="6"/>
      <c r="G396" s="6"/>
      <c r="H396" s="6"/>
      <c r="I396" s="6"/>
      <c r="J396" s="6"/>
      <c r="K396" s="51"/>
      <c r="L396" s="51"/>
      <c r="M396" s="51"/>
      <c r="N396" s="51"/>
      <c r="O396" s="51"/>
      <c r="P396" s="51"/>
      <c r="Q396" s="51"/>
      <c r="R396" s="51"/>
      <c r="S396" s="51"/>
      <c r="T396" s="51"/>
      <c r="U396" s="51"/>
      <c r="V396" s="51"/>
      <c r="W396" s="51"/>
      <c r="X396" s="51"/>
      <c r="Y396" s="51"/>
      <c r="Z396" s="51"/>
      <c r="AA396" s="51"/>
      <c r="AB396" s="51"/>
    </row>
    <row r="397" customFormat="false" ht="15.75" hidden="false" customHeight="false" outlineLevel="0" collapsed="false">
      <c r="A397" s="51"/>
      <c r="B397" s="51"/>
      <c r="C397" s="6"/>
      <c r="D397" s="49"/>
      <c r="E397" s="51"/>
      <c r="F397" s="6"/>
      <c r="G397" s="6"/>
      <c r="H397" s="6"/>
      <c r="I397" s="6"/>
      <c r="J397" s="6"/>
      <c r="K397" s="51"/>
      <c r="L397" s="51"/>
      <c r="M397" s="51"/>
      <c r="N397" s="51"/>
      <c r="O397" s="51"/>
      <c r="P397" s="51"/>
      <c r="Q397" s="51"/>
      <c r="R397" s="51"/>
      <c r="S397" s="51"/>
      <c r="T397" s="51"/>
      <c r="U397" s="51"/>
      <c r="V397" s="51"/>
      <c r="W397" s="51"/>
      <c r="X397" s="51"/>
      <c r="Y397" s="51"/>
      <c r="Z397" s="51"/>
      <c r="AA397" s="51"/>
      <c r="AB397" s="51"/>
    </row>
    <row r="398" customFormat="false" ht="15.75" hidden="false" customHeight="false" outlineLevel="0" collapsed="false">
      <c r="A398" s="51"/>
      <c r="B398" s="51"/>
      <c r="C398" s="6"/>
      <c r="D398" s="49"/>
      <c r="E398" s="51"/>
      <c r="F398" s="6"/>
      <c r="G398" s="6"/>
      <c r="H398" s="6"/>
      <c r="I398" s="6"/>
      <c r="J398" s="6"/>
      <c r="K398" s="51"/>
      <c r="L398" s="51"/>
      <c r="M398" s="51"/>
      <c r="N398" s="51"/>
      <c r="O398" s="51"/>
      <c r="P398" s="51"/>
      <c r="Q398" s="51"/>
      <c r="R398" s="51"/>
      <c r="S398" s="51"/>
      <c r="T398" s="51"/>
      <c r="U398" s="51"/>
      <c r="V398" s="51"/>
      <c r="W398" s="51"/>
      <c r="X398" s="51"/>
      <c r="Y398" s="51"/>
      <c r="Z398" s="51"/>
      <c r="AA398" s="51"/>
      <c r="AB398" s="51"/>
    </row>
    <row r="399" customFormat="false" ht="15.75" hidden="false" customHeight="false" outlineLevel="0" collapsed="false">
      <c r="A399" s="51"/>
      <c r="B399" s="51"/>
      <c r="C399" s="6"/>
      <c r="D399" s="49"/>
      <c r="E399" s="51"/>
      <c r="F399" s="6"/>
      <c r="G399" s="6"/>
      <c r="H399" s="6"/>
      <c r="I399" s="6"/>
      <c r="J399" s="6"/>
      <c r="K399" s="51"/>
      <c r="L399" s="51"/>
      <c r="M399" s="51"/>
      <c r="N399" s="51"/>
      <c r="O399" s="51"/>
      <c r="P399" s="51"/>
      <c r="Q399" s="51"/>
      <c r="R399" s="51"/>
      <c r="S399" s="51"/>
      <c r="T399" s="51"/>
      <c r="U399" s="51"/>
      <c r="V399" s="51"/>
      <c r="W399" s="51"/>
      <c r="X399" s="51"/>
      <c r="Y399" s="51"/>
      <c r="Z399" s="51"/>
      <c r="AA399" s="51"/>
      <c r="AB399" s="51"/>
    </row>
    <row r="400" customFormat="false" ht="15.75" hidden="false" customHeight="false" outlineLevel="0" collapsed="false">
      <c r="A400" s="51"/>
      <c r="B400" s="51"/>
      <c r="C400" s="6"/>
      <c r="D400" s="49"/>
      <c r="E400" s="51"/>
      <c r="F400" s="6"/>
      <c r="G400" s="6"/>
      <c r="H400" s="6"/>
      <c r="I400" s="6"/>
      <c r="J400" s="6"/>
      <c r="K400" s="51"/>
      <c r="L400" s="51"/>
      <c r="M400" s="51"/>
      <c r="N400" s="51"/>
      <c r="O400" s="51"/>
      <c r="P400" s="51"/>
      <c r="Q400" s="51"/>
      <c r="R400" s="51"/>
      <c r="S400" s="51"/>
      <c r="T400" s="51"/>
      <c r="U400" s="51"/>
      <c r="V400" s="51"/>
      <c r="W400" s="51"/>
      <c r="X400" s="51"/>
      <c r="Y400" s="51"/>
      <c r="Z400" s="51"/>
      <c r="AA400" s="51"/>
      <c r="AB400" s="51"/>
    </row>
    <row r="401" customFormat="false" ht="15.75" hidden="false" customHeight="false" outlineLevel="0" collapsed="false">
      <c r="A401" s="51"/>
      <c r="B401" s="51"/>
      <c r="C401" s="6"/>
      <c r="D401" s="49"/>
      <c r="E401" s="51"/>
      <c r="F401" s="6"/>
      <c r="G401" s="6"/>
      <c r="H401" s="6"/>
      <c r="I401" s="6"/>
      <c r="J401" s="6"/>
      <c r="K401" s="51"/>
      <c r="L401" s="51"/>
      <c r="M401" s="51"/>
      <c r="N401" s="51"/>
      <c r="O401" s="51"/>
      <c r="P401" s="51"/>
      <c r="Q401" s="51"/>
      <c r="R401" s="51"/>
      <c r="S401" s="51"/>
      <c r="T401" s="51"/>
      <c r="U401" s="51"/>
      <c r="V401" s="51"/>
      <c r="W401" s="51"/>
      <c r="X401" s="51"/>
      <c r="Y401" s="51"/>
      <c r="Z401" s="51"/>
      <c r="AA401" s="51"/>
      <c r="AB401" s="51"/>
    </row>
    <row r="402" customFormat="false" ht="15.75" hidden="false" customHeight="false" outlineLevel="0" collapsed="false">
      <c r="A402" s="51"/>
      <c r="B402" s="51"/>
      <c r="C402" s="6"/>
      <c r="D402" s="49"/>
      <c r="E402" s="51"/>
      <c r="F402" s="6"/>
      <c r="G402" s="6"/>
      <c r="H402" s="6"/>
      <c r="I402" s="6"/>
      <c r="J402" s="6"/>
      <c r="K402" s="51"/>
      <c r="L402" s="51"/>
      <c r="M402" s="51"/>
      <c r="N402" s="51"/>
      <c r="O402" s="51"/>
      <c r="P402" s="51"/>
      <c r="Q402" s="51"/>
      <c r="R402" s="51"/>
      <c r="S402" s="51"/>
      <c r="T402" s="51"/>
      <c r="U402" s="51"/>
      <c r="V402" s="51"/>
      <c r="W402" s="51"/>
      <c r="X402" s="51"/>
      <c r="Y402" s="51"/>
      <c r="Z402" s="51"/>
      <c r="AA402" s="51"/>
      <c r="AB402" s="51"/>
    </row>
    <row r="403" customFormat="false" ht="15.75" hidden="false" customHeight="false" outlineLevel="0" collapsed="false">
      <c r="A403" s="51"/>
      <c r="B403" s="51"/>
      <c r="C403" s="6"/>
      <c r="D403" s="49"/>
      <c r="E403" s="51"/>
      <c r="F403" s="6"/>
      <c r="G403" s="6"/>
      <c r="H403" s="6"/>
      <c r="I403" s="6"/>
      <c r="J403" s="6"/>
      <c r="K403" s="51"/>
      <c r="L403" s="51"/>
      <c r="M403" s="51"/>
      <c r="N403" s="51"/>
      <c r="O403" s="51"/>
      <c r="P403" s="51"/>
      <c r="Q403" s="51"/>
      <c r="R403" s="51"/>
      <c r="S403" s="51"/>
      <c r="T403" s="51"/>
      <c r="U403" s="51"/>
      <c r="V403" s="51"/>
      <c r="W403" s="51"/>
      <c r="X403" s="51"/>
      <c r="Y403" s="51"/>
      <c r="Z403" s="51"/>
      <c r="AA403" s="51"/>
      <c r="AB403" s="51"/>
    </row>
    <row r="404" customFormat="false" ht="15.75" hidden="false" customHeight="false" outlineLevel="0" collapsed="false">
      <c r="A404" s="51"/>
      <c r="B404" s="51"/>
      <c r="C404" s="6"/>
      <c r="D404" s="49"/>
      <c r="E404" s="51"/>
      <c r="F404" s="6"/>
      <c r="G404" s="6"/>
      <c r="H404" s="6"/>
      <c r="I404" s="6"/>
      <c r="J404" s="6"/>
      <c r="K404" s="51"/>
      <c r="L404" s="51"/>
      <c r="M404" s="51"/>
      <c r="N404" s="51"/>
      <c r="O404" s="51"/>
      <c r="P404" s="51"/>
      <c r="Q404" s="51"/>
      <c r="R404" s="51"/>
      <c r="S404" s="51"/>
      <c r="T404" s="51"/>
      <c r="U404" s="51"/>
      <c r="V404" s="51"/>
      <c r="W404" s="51"/>
      <c r="X404" s="51"/>
      <c r="Y404" s="51"/>
      <c r="Z404" s="51"/>
      <c r="AA404" s="51"/>
      <c r="AB404" s="51"/>
    </row>
    <row r="405" customFormat="false" ht="15.75" hidden="false" customHeight="false" outlineLevel="0" collapsed="false">
      <c r="A405" s="51"/>
      <c r="B405" s="51"/>
      <c r="C405" s="6"/>
      <c r="D405" s="49"/>
      <c r="E405" s="51"/>
      <c r="F405" s="6"/>
      <c r="G405" s="6"/>
      <c r="H405" s="6"/>
      <c r="I405" s="6"/>
      <c r="J405" s="6"/>
      <c r="K405" s="51"/>
      <c r="L405" s="51"/>
      <c r="M405" s="51"/>
      <c r="N405" s="51"/>
      <c r="O405" s="51"/>
      <c r="P405" s="51"/>
      <c r="Q405" s="51"/>
      <c r="R405" s="51"/>
      <c r="S405" s="51"/>
      <c r="T405" s="51"/>
      <c r="U405" s="51"/>
      <c r="V405" s="51"/>
      <c r="W405" s="51"/>
      <c r="X405" s="51"/>
      <c r="Y405" s="51"/>
      <c r="Z405" s="51"/>
      <c r="AA405" s="51"/>
      <c r="AB405" s="51"/>
    </row>
    <row r="406" customFormat="false" ht="15.75" hidden="false" customHeight="false" outlineLevel="0" collapsed="false">
      <c r="A406" s="51"/>
      <c r="B406" s="51"/>
      <c r="C406" s="6"/>
      <c r="D406" s="49"/>
      <c r="E406" s="51"/>
      <c r="F406" s="6"/>
      <c r="G406" s="6"/>
      <c r="H406" s="6"/>
      <c r="I406" s="6"/>
      <c r="J406" s="6"/>
      <c r="K406" s="51"/>
      <c r="L406" s="51"/>
      <c r="M406" s="51"/>
      <c r="N406" s="51"/>
      <c r="O406" s="51"/>
      <c r="P406" s="51"/>
      <c r="Q406" s="51"/>
      <c r="R406" s="51"/>
      <c r="S406" s="51"/>
      <c r="T406" s="51"/>
      <c r="U406" s="51"/>
      <c r="V406" s="51"/>
      <c r="W406" s="51"/>
      <c r="X406" s="51"/>
      <c r="Y406" s="51"/>
      <c r="Z406" s="51"/>
      <c r="AA406" s="51"/>
      <c r="AB406" s="51"/>
    </row>
    <row r="407" customFormat="false" ht="15.75" hidden="false" customHeight="false" outlineLevel="0" collapsed="false">
      <c r="A407" s="51"/>
      <c r="B407" s="51"/>
      <c r="C407" s="6"/>
      <c r="D407" s="49"/>
      <c r="E407" s="51"/>
      <c r="F407" s="6"/>
      <c r="G407" s="6"/>
      <c r="H407" s="6"/>
      <c r="I407" s="6"/>
      <c r="J407" s="6"/>
      <c r="K407" s="51"/>
      <c r="L407" s="51"/>
      <c r="M407" s="51"/>
      <c r="N407" s="51"/>
      <c r="O407" s="51"/>
      <c r="P407" s="51"/>
      <c r="Q407" s="51"/>
      <c r="R407" s="51"/>
      <c r="S407" s="51"/>
      <c r="T407" s="51"/>
      <c r="U407" s="51"/>
      <c r="V407" s="51"/>
      <c r="W407" s="51"/>
      <c r="X407" s="51"/>
      <c r="Y407" s="51"/>
      <c r="Z407" s="51"/>
      <c r="AA407" s="51"/>
      <c r="AB407" s="51"/>
    </row>
    <row r="408" customFormat="false" ht="15.75" hidden="false" customHeight="false" outlineLevel="0" collapsed="false">
      <c r="A408" s="51"/>
      <c r="B408" s="51"/>
      <c r="C408" s="6"/>
      <c r="D408" s="49"/>
      <c r="E408" s="51"/>
      <c r="F408" s="6"/>
      <c r="G408" s="6"/>
      <c r="H408" s="6"/>
      <c r="I408" s="6"/>
      <c r="J408" s="6"/>
      <c r="K408" s="51"/>
      <c r="L408" s="51"/>
      <c r="M408" s="51"/>
      <c r="N408" s="51"/>
      <c r="O408" s="51"/>
      <c r="P408" s="51"/>
      <c r="Q408" s="51"/>
      <c r="R408" s="51"/>
      <c r="S408" s="51"/>
      <c r="T408" s="51"/>
      <c r="U408" s="51"/>
      <c r="V408" s="51"/>
      <c r="W408" s="51"/>
      <c r="X408" s="51"/>
      <c r="Y408" s="51"/>
      <c r="Z408" s="51"/>
      <c r="AA408" s="51"/>
      <c r="AB408" s="51"/>
    </row>
    <row r="409" customFormat="false" ht="15.75" hidden="false" customHeight="false" outlineLevel="0" collapsed="false">
      <c r="A409" s="51"/>
      <c r="B409" s="51"/>
      <c r="C409" s="6"/>
      <c r="D409" s="49"/>
      <c r="E409" s="51"/>
      <c r="F409" s="6"/>
      <c r="G409" s="6"/>
      <c r="H409" s="6"/>
      <c r="I409" s="6"/>
      <c r="J409" s="6"/>
      <c r="K409" s="51"/>
      <c r="L409" s="51"/>
      <c r="M409" s="51"/>
      <c r="N409" s="51"/>
      <c r="O409" s="51"/>
      <c r="P409" s="51"/>
      <c r="Q409" s="51"/>
      <c r="R409" s="51"/>
      <c r="S409" s="51"/>
      <c r="T409" s="51"/>
      <c r="U409" s="51"/>
      <c r="V409" s="51"/>
      <c r="W409" s="51"/>
      <c r="X409" s="51"/>
      <c r="Y409" s="51"/>
      <c r="Z409" s="51"/>
      <c r="AA409" s="51"/>
      <c r="AB409" s="51"/>
    </row>
    <row r="410" customFormat="false" ht="15.75" hidden="false" customHeight="false" outlineLevel="0" collapsed="false">
      <c r="A410" s="51"/>
      <c r="B410" s="51"/>
      <c r="C410" s="6"/>
      <c r="D410" s="49"/>
      <c r="E410" s="51"/>
      <c r="F410" s="6"/>
      <c r="G410" s="6"/>
      <c r="H410" s="6"/>
      <c r="I410" s="6"/>
      <c r="J410" s="6"/>
      <c r="K410" s="51"/>
      <c r="L410" s="51"/>
      <c r="M410" s="51"/>
      <c r="N410" s="51"/>
      <c r="O410" s="51"/>
      <c r="P410" s="51"/>
      <c r="Q410" s="51"/>
      <c r="R410" s="51"/>
      <c r="S410" s="51"/>
      <c r="T410" s="51"/>
      <c r="U410" s="51"/>
      <c r="V410" s="51"/>
      <c r="W410" s="51"/>
      <c r="X410" s="51"/>
      <c r="Y410" s="51"/>
      <c r="Z410" s="51"/>
      <c r="AA410" s="51"/>
      <c r="AB410" s="51"/>
    </row>
    <row r="411" customFormat="false" ht="15.75" hidden="false" customHeight="false" outlineLevel="0" collapsed="false">
      <c r="A411" s="51"/>
      <c r="B411" s="51"/>
      <c r="C411" s="6"/>
      <c r="D411" s="49"/>
      <c r="E411" s="51"/>
      <c r="F411" s="6"/>
      <c r="G411" s="6"/>
      <c r="H411" s="6"/>
      <c r="I411" s="6"/>
      <c r="J411" s="6"/>
      <c r="K411" s="51"/>
      <c r="L411" s="51"/>
      <c r="M411" s="51"/>
      <c r="N411" s="51"/>
      <c r="O411" s="51"/>
      <c r="P411" s="51"/>
      <c r="Q411" s="51"/>
      <c r="R411" s="51"/>
      <c r="S411" s="51"/>
      <c r="T411" s="51"/>
      <c r="U411" s="51"/>
      <c r="V411" s="51"/>
      <c r="W411" s="51"/>
      <c r="X411" s="51"/>
      <c r="Y411" s="51"/>
      <c r="Z411" s="51"/>
      <c r="AA411" s="51"/>
      <c r="AB411" s="51"/>
    </row>
    <row r="412" customFormat="false" ht="15.75" hidden="false" customHeight="false" outlineLevel="0" collapsed="false">
      <c r="A412" s="51"/>
      <c r="B412" s="51"/>
      <c r="C412" s="6"/>
      <c r="D412" s="49"/>
      <c r="E412" s="51"/>
      <c r="F412" s="6"/>
      <c r="G412" s="6"/>
      <c r="H412" s="6"/>
      <c r="I412" s="6"/>
      <c r="J412" s="6"/>
      <c r="K412" s="51"/>
      <c r="L412" s="51"/>
      <c r="M412" s="51"/>
      <c r="N412" s="51"/>
      <c r="O412" s="51"/>
      <c r="P412" s="51"/>
      <c r="Q412" s="51"/>
      <c r="R412" s="51"/>
      <c r="S412" s="51"/>
      <c r="T412" s="51"/>
      <c r="U412" s="51"/>
      <c r="V412" s="51"/>
      <c r="W412" s="51"/>
      <c r="X412" s="51"/>
      <c r="Y412" s="51"/>
      <c r="Z412" s="51"/>
      <c r="AA412" s="51"/>
      <c r="AB412" s="51"/>
    </row>
    <row r="413" customFormat="false" ht="15.75" hidden="false" customHeight="false" outlineLevel="0" collapsed="false">
      <c r="A413" s="51"/>
      <c r="B413" s="51"/>
      <c r="C413" s="6"/>
      <c r="D413" s="49"/>
      <c r="E413" s="51"/>
      <c r="F413" s="6"/>
      <c r="G413" s="6"/>
      <c r="H413" s="6"/>
      <c r="I413" s="6"/>
      <c r="J413" s="6"/>
      <c r="K413" s="51"/>
      <c r="L413" s="51"/>
      <c r="M413" s="51"/>
      <c r="N413" s="51"/>
      <c r="O413" s="51"/>
      <c r="P413" s="51"/>
      <c r="Q413" s="51"/>
      <c r="R413" s="51"/>
      <c r="S413" s="51"/>
      <c r="T413" s="51"/>
      <c r="U413" s="51"/>
      <c r="V413" s="51"/>
      <c r="W413" s="51"/>
      <c r="X413" s="51"/>
      <c r="Y413" s="51"/>
      <c r="Z413" s="51"/>
      <c r="AA413" s="51"/>
      <c r="AB413" s="51"/>
    </row>
    <row r="414" customFormat="false" ht="15.75" hidden="false" customHeight="false" outlineLevel="0" collapsed="false">
      <c r="A414" s="51"/>
      <c r="B414" s="51"/>
      <c r="C414" s="6"/>
      <c r="D414" s="49"/>
      <c r="E414" s="51"/>
      <c r="F414" s="6"/>
      <c r="G414" s="6"/>
      <c r="H414" s="6"/>
      <c r="I414" s="6"/>
      <c r="J414" s="6"/>
      <c r="K414" s="51"/>
      <c r="L414" s="51"/>
      <c r="M414" s="51"/>
      <c r="N414" s="51"/>
      <c r="O414" s="51"/>
      <c r="P414" s="51"/>
      <c r="Q414" s="51"/>
      <c r="R414" s="51"/>
      <c r="S414" s="51"/>
      <c r="T414" s="51"/>
      <c r="U414" s="51"/>
      <c r="V414" s="51"/>
      <c r="W414" s="51"/>
      <c r="X414" s="51"/>
      <c r="Y414" s="51"/>
      <c r="Z414" s="51"/>
      <c r="AA414" s="51"/>
      <c r="AB414" s="51"/>
    </row>
    <row r="415" customFormat="false" ht="15.75" hidden="false" customHeight="false" outlineLevel="0" collapsed="false">
      <c r="A415" s="51"/>
      <c r="B415" s="51"/>
      <c r="C415" s="6"/>
      <c r="D415" s="49"/>
      <c r="E415" s="51"/>
      <c r="F415" s="6"/>
      <c r="G415" s="6"/>
      <c r="H415" s="6"/>
      <c r="I415" s="6"/>
      <c r="J415" s="6"/>
      <c r="K415" s="51"/>
      <c r="L415" s="51"/>
      <c r="M415" s="51"/>
      <c r="N415" s="51"/>
      <c r="O415" s="51"/>
      <c r="P415" s="51"/>
      <c r="Q415" s="51"/>
      <c r="R415" s="51"/>
      <c r="S415" s="51"/>
      <c r="T415" s="51"/>
      <c r="U415" s="51"/>
      <c r="V415" s="51"/>
      <c r="W415" s="51"/>
      <c r="X415" s="51"/>
      <c r="Y415" s="51"/>
      <c r="Z415" s="51"/>
      <c r="AA415" s="51"/>
      <c r="AB415" s="51"/>
    </row>
    <row r="416" customFormat="false" ht="15.75" hidden="false" customHeight="false" outlineLevel="0" collapsed="false">
      <c r="A416" s="51"/>
      <c r="B416" s="51"/>
      <c r="C416" s="6"/>
      <c r="D416" s="49"/>
      <c r="E416" s="51"/>
      <c r="F416" s="6"/>
      <c r="G416" s="6"/>
      <c r="H416" s="6"/>
      <c r="I416" s="6"/>
      <c r="J416" s="6"/>
      <c r="K416" s="51"/>
      <c r="L416" s="51"/>
      <c r="M416" s="51"/>
      <c r="N416" s="51"/>
      <c r="O416" s="51"/>
      <c r="P416" s="51"/>
      <c r="Q416" s="51"/>
      <c r="R416" s="51"/>
      <c r="S416" s="51"/>
      <c r="T416" s="51"/>
      <c r="U416" s="51"/>
      <c r="V416" s="51"/>
      <c r="W416" s="51"/>
      <c r="X416" s="51"/>
      <c r="Y416" s="51"/>
      <c r="Z416" s="51"/>
      <c r="AA416" s="51"/>
      <c r="AB416" s="51"/>
    </row>
    <row r="417" customFormat="false" ht="15.75" hidden="false" customHeight="false" outlineLevel="0" collapsed="false">
      <c r="A417" s="51"/>
      <c r="B417" s="51"/>
      <c r="C417" s="6"/>
      <c r="D417" s="49"/>
      <c r="E417" s="51"/>
      <c r="F417" s="6"/>
      <c r="G417" s="6"/>
      <c r="H417" s="6"/>
      <c r="I417" s="6"/>
      <c r="J417" s="6"/>
      <c r="K417" s="51"/>
      <c r="L417" s="51"/>
      <c r="M417" s="51"/>
      <c r="N417" s="51"/>
      <c r="O417" s="51"/>
      <c r="P417" s="51"/>
      <c r="Q417" s="51"/>
      <c r="R417" s="51"/>
      <c r="S417" s="51"/>
      <c r="T417" s="51"/>
      <c r="U417" s="51"/>
      <c r="V417" s="51"/>
      <c r="W417" s="51"/>
      <c r="X417" s="51"/>
      <c r="Y417" s="51"/>
      <c r="Z417" s="51"/>
      <c r="AA417" s="51"/>
      <c r="AB417" s="51"/>
    </row>
    <row r="418" customFormat="false" ht="15.75" hidden="false" customHeight="false" outlineLevel="0" collapsed="false">
      <c r="A418" s="51"/>
      <c r="B418" s="51"/>
      <c r="C418" s="6"/>
      <c r="D418" s="49"/>
      <c r="E418" s="51"/>
      <c r="F418" s="6"/>
      <c r="G418" s="6"/>
      <c r="H418" s="6"/>
      <c r="I418" s="6"/>
      <c r="J418" s="6"/>
      <c r="K418" s="51"/>
      <c r="L418" s="51"/>
      <c r="M418" s="51"/>
      <c r="N418" s="51"/>
      <c r="O418" s="51"/>
      <c r="P418" s="51"/>
      <c r="Q418" s="51"/>
      <c r="R418" s="51"/>
      <c r="S418" s="51"/>
      <c r="T418" s="51"/>
      <c r="U418" s="51"/>
      <c r="V418" s="51"/>
      <c r="W418" s="51"/>
      <c r="X418" s="51"/>
      <c r="Y418" s="51"/>
      <c r="Z418" s="51"/>
      <c r="AA418" s="51"/>
      <c r="AB418" s="51"/>
    </row>
    <row r="419" customFormat="false" ht="15.75" hidden="false" customHeight="false" outlineLevel="0" collapsed="false">
      <c r="A419" s="51"/>
      <c r="B419" s="51"/>
      <c r="C419" s="6"/>
      <c r="D419" s="49"/>
      <c r="E419" s="51"/>
      <c r="F419" s="6"/>
      <c r="G419" s="6"/>
      <c r="H419" s="6"/>
      <c r="I419" s="6"/>
      <c r="J419" s="6"/>
      <c r="K419" s="51"/>
      <c r="L419" s="51"/>
      <c r="M419" s="51"/>
      <c r="N419" s="51"/>
      <c r="O419" s="51"/>
      <c r="P419" s="51"/>
      <c r="Q419" s="51"/>
      <c r="R419" s="51"/>
      <c r="S419" s="51"/>
      <c r="T419" s="51"/>
      <c r="U419" s="51"/>
      <c r="V419" s="51"/>
      <c r="W419" s="51"/>
      <c r="X419" s="51"/>
      <c r="Y419" s="51"/>
      <c r="Z419" s="51"/>
      <c r="AA419" s="51"/>
      <c r="AB419" s="51"/>
    </row>
    <row r="420" customFormat="false" ht="15.75" hidden="false" customHeight="false" outlineLevel="0" collapsed="false">
      <c r="A420" s="51"/>
      <c r="B420" s="51"/>
      <c r="C420" s="6"/>
      <c r="D420" s="49"/>
      <c r="E420" s="51"/>
      <c r="F420" s="6"/>
      <c r="G420" s="6"/>
      <c r="H420" s="6"/>
      <c r="I420" s="6"/>
      <c r="J420" s="6"/>
      <c r="K420" s="51"/>
      <c r="L420" s="51"/>
      <c r="M420" s="51"/>
      <c r="N420" s="51"/>
      <c r="O420" s="51"/>
      <c r="P420" s="51"/>
      <c r="Q420" s="51"/>
      <c r="R420" s="51"/>
      <c r="S420" s="51"/>
      <c r="T420" s="51"/>
      <c r="U420" s="51"/>
      <c r="V420" s="51"/>
      <c r="W420" s="51"/>
      <c r="X420" s="51"/>
      <c r="Y420" s="51"/>
      <c r="Z420" s="51"/>
      <c r="AA420" s="51"/>
      <c r="AB420" s="51"/>
    </row>
    <row r="421" customFormat="false" ht="15.75" hidden="false" customHeight="false" outlineLevel="0" collapsed="false">
      <c r="A421" s="51"/>
      <c r="B421" s="51"/>
      <c r="C421" s="6"/>
      <c r="D421" s="49"/>
      <c r="E421" s="51"/>
      <c r="F421" s="6"/>
      <c r="G421" s="6"/>
      <c r="H421" s="6"/>
      <c r="I421" s="6"/>
      <c r="J421" s="6"/>
      <c r="K421" s="51"/>
      <c r="L421" s="51"/>
      <c r="M421" s="51"/>
      <c r="N421" s="51"/>
      <c r="O421" s="51"/>
      <c r="P421" s="51"/>
      <c r="Q421" s="51"/>
      <c r="R421" s="51"/>
      <c r="S421" s="51"/>
      <c r="T421" s="51"/>
      <c r="U421" s="51"/>
      <c r="V421" s="51"/>
      <c r="W421" s="51"/>
      <c r="X421" s="51"/>
      <c r="Y421" s="51"/>
      <c r="Z421" s="51"/>
      <c r="AA421" s="51"/>
      <c r="AB421" s="51"/>
    </row>
    <row r="422" customFormat="false" ht="15.75" hidden="false" customHeight="false" outlineLevel="0" collapsed="false">
      <c r="A422" s="51"/>
      <c r="B422" s="51"/>
      <c r="C422" s="6"/>
      <c r="D422" s="49"/>
      <c r="E422" s="51"/>
      <c r="F422" s="6"/>
      <c r="G422" s="6"/>
      <c r="H422" s="6"/>
      <c r="I422" s="6"/>
      <c r="J422" s="6"/>
      <c r="K422" s="51"/>
      <c r="L422" s="51"/>
      <c r="M422" s="51"/>
      <c r="N422" s="51"/>
      <c r="O422" s="51"/>
      <c r="P422" s="51"/>
      <c r="Q422" s="51"/>
      <c r="R422" s="51"/>
      <c r="S422" s="51"/>
      <c r="T422" s="51"/>
      <c r="U422" s="51"/>
      <c r="V422" s="51"/>
      <c r="W422" s="51"/>
      <c r="X422" s="51"/>
      <c r="Y422" s="51"/>
      <c r="Z422" s="51"/>
      <c r="AA422" s="51"/>
      <c r="AB422" s="51"/>
    </row>
    <row r="423" customFormat="false" ht="15.75" hidden="false" customHeight="false" outlineLevel="0" collapsed="false">
      <c r="A423" s="51"/>
      <c r="B423" s="51"/>
      <c r="C423" s="6"/>
      <c r="D423" s="49"/>
      <c r="E423" s="51"/>
      <c r="F423" s="6"/>
      <c r="G423" s="6"/>
      <c r="H423" s="6"/>
      <c r="I423" s="6"/>
      <c r="J423" s="6"/>
      <c r="K423" s="51"/>
      <c r="L423" s="51"/>
      <c r="M423" s="51"/>
      <c r="N423" s="51"/>
      <c r="O423" s="51"/>
      <c r="P423" s="51"/>
      <c r="Q423" s="51"/>
      <c r="R423" s="51"/>
      <c r="S423" s="51"/>
      <c r="T423" s="51"/>
      <c r="U423" s="51"/>
      <c r="V423" s="51"/>
      <c r="W423" s="51"/>
      <c r="X423" s="51"/>
      <c r="Y423" s="51"/>
      <c r="Z423" s="51"/>
      <c r="AA423" s="51"/>
      <c r="AB423" s="51"/>
    </row>
    <row r="424" customFormat="false" ht="15.75" hidden="false" customHeight="false" outlineLevel="0" collapsed="false">
      <c r="A424" s="51"/>
      <c r="B424" s="51"/>
      <c r="C424" s="6"/>
      <c r="D424" s="49"/>
      <c r="E424" s="51"/>
      <c r="F424" s="6"/>
      <c r="G424" s="6"/>
      <c r="H424" s="6"/>
      <c r="I424" s="6"/>
      <c r="J424" s="6"/>
      <c r="K424" s="51"/>
      <c r="L424" s="51"/>
      <c r="M424" s="51"/>
      <c r="N424" s="51"/>
      <c r="O424" s="51"/>
      <c r="P424" s="51"/>
      <c r="Q424" s="51"/>
      <c r="R424" s="51"/>
      <c r="S424" s="51"/>
      <c r="T424" s="51"/>
      <c r="U424" s="51"/>
      <c r="V424" s="51"/>
      <c r="W424" s="51"/>
      <c r="X424" s="51"/>
      <c r="Y424" s="51"/>
      <c r="Z424" s="51"/>
      <c r="AA424" s="51"/>
      <c r="AB424" s="51"/>
    </row>
    <row r="425" customFormat="false" ht="15.75" hidden="false" customHeight="false" outlineLevel="0" collapsed="false">
      <c r="A425" s="51"/>
      <c r="B425" s="51"/>
      <c r="C425" s="6"/>
      <c r="D425" s="49"/>
      <c r="E425" s="51"/>
      <c r="F425" s="6"/>
      <c r="G425" s="6"/>
      <c r="H425" s="6"/>
      <c r="I425" s="6"/>
      <c r="J425" s="6"/>
      <c r="K425" s="51"/>
      <c r="L425" s="51"/>
      <c r="M425" s="51"/>
      <c r="N425" s="51"/>
      <c r="O425" s="51"/>
      <c r="P425" s="51"/>
      <c r="Q425" s="51"/>
      <c r="R425" s="51"/>
      <c r="S425" s="51"/>
      <c r="T425" s="51"/>
      <c r="U425" s="51"/>
      <c r="V425" s="51"/>
      <c r="W425" s="51"/>
      <c r="X425" s="51"/>
      <c r="Y425" s="51"/>
      <c r="Z425" s="51"/>
      <c r="AA425" s="51"/>
      <c r="AB425" s="51"/>
    </row>
    <row r="426" customFormat="false" ht="15.75" hidden="false" customHeight="false" outlineLevel="0" collapsed="false">
      <c r="A426" s="51"/>
      <c r="B426" s="51"/>
      <c r="C426" s="6"/>
      <c r="D426" s="49"/>
      <c r="E426" s="51"/>
      <c r="F426" s="6"/>
      <c r="G426" s="6"/>
      <c r="H426" s="6"/>
      <c r="I426" s="6"/>
      <c r="J426" s="6"/>
      <c r="K426" s="51"/>
      <c r="L426" s="51"/>
      <c r="M426" s="51"/>
      <c r="N426" s="51"/>
      <c r="O426" s="51"/>
      <c r="P426" s="51"/>
      <c r="Q426" s="51"/>
      <c r="R426" s="51"/>
      <c r="S426" s="51"/>
      <c r="T426" s="51"/>
      <c r="U426" s="51"/>
      <c r="V426" s="51"/>
      <c r="W426" s="51"/>
      <c r="X426" s="51"/>
      <c r="Y426" s="51"/>
      <c r="Z426" s="51"/>
      <c r="AA426" s="51"/>
      <c r="AB426" s="51"/>
    </row>
    <row r="427" customFormat="false" ht="15.75" hidden="false" customHeight="false" outlineLevel="0" collapsed="false">
      <c r="A427" s="51"/>
      <c r="B427" s="51"/>
      <c r="C427" s="6"/>
      <c r="D427" s="49"/>
      <c r="E427" s="51"/>
      <c r="F427" s="6"/>
      <c r="G427" s="6"/>
      <c r="H427" s="6"/>
      <c r="I427" s="6"/>
      <c r="J427" s="6"/>
      <c r="K427" s="51"/>
      <c r="L427" s="51"/>
      <c r="M427" s="51"/>
      <c r="N427" s="51"/>
      <c r="O427" s="51"/>
      <c r="P427" s="51"/>
      <c r="Q427" s="51"/>
      <c r="R427" s="51"/>
      <c r="S427" s="51"/>
      <c r="T427" s="51"/>
      <c r="U427" s="51"/>
      <c r="V427" s="51"/>
      <c r="W427" s="51"/>
      <c r="X427" s="51"/>
      <c r="Y427" s="51"/>
      <c r="Z427" s="51"/>
      <c r="AA427" s="51"/>
      <c r="AB427" s="51"/>
    </row>
    <row r="428" customFormat="false" ht="15.75" hidden="false" customHeight="false" outlineLevel="0" collapsed="false">
      <c r="A428" s="51"/>
      <c r="B428" s="51"/>
      <c r="C428" s="6"/>
      <c r="D428" s="49"/>
      <c r="E428" s="51"/>
      <c r="F428" s="6"/>
      <c r="G428" s="6"/>
      <c r="H428" s="6"/>
      <c r="I428" s="6"/>
      <c r="J428" s="6"/>
      <c r="K428" s="51"/>
      <c r="L428" s="51"/>
      <c r="M428" s="51"/>
      <c r="N428" s="51"/>
      <c r="O428" s="51"/>
      <c r="P428" s="51"/>
      <c r="Q428" s="51"/>
      <c r="R428" s="51"/>
      <c r="S428" s="51"/>
      <c r="T428" s="51"/>
      <c r="U428" s="51"/>
      <c r="V428" s="51"/>
      <c r="W428" s="51"/>
      <c r="X428" s="51"/>
      <c r="Y428" s="51"/>
      <c r="Z428" s="51"/>
      <c r="AA428" s="51"/>
      <c r="AB428" s="51"/>
    </row>
    <row r="429" customFormat="false" ht="15.75" hidden="false" customHeight="false" outlineLevel="0" collapsed="false">
      <c r="A429" s="51"/>
      <c r="B429" s="51"/>
      <c r="C429" s="6"/>
      <c r="D429" s="49"/>
      <c r="E429" s="51"/>
      <c r="F429" s="6"/>
      <c r="G429" s="6"/>
      <c r="H429" s="6"/>
      <c r="I429" s="6"/>
      <c r="J429" s="6"/>
      <c r="K429" s="51"/>
      <c r="L429" s="51"/>
      <c r="M429" s="51"/>
      <c r="N429" s="51"/>
      <c r="O429" s="51"/>
      <c r="P429" s="51"/>
      <c r="Q429" s="51"/>
      <c r="R429" s="51"/>
      <c r="S429" s="51"/>
      <c r="T429" s="51"/>
      <c r="U429" s="51"/>
      <c r="V429" s="51"/>
      <c r="W429" s="51"/>
      <c r="X429" s="51"/>
      <c r="Y429" s="51"/>
      <c r="Z429" s="51"/>
      <c r="AA429" s="51"/>
      <c r="AB429" s="51"/>
    </row>
    <row r="430" customFormat="false" ht="15.75" hidden="false" customHeight="false" outlineLevel="0" collapsed="false">
      <c r="A430" s="51"/>
      <c r="B430" s="51"/>
      <c r="C430" s="6"/>
      <c r="D430" s="49"/>
      <c r="E430" s="51"/>
      <c r="F430" s="6"/>
      <c r="G430" s="6"/>
      <c r="H430" s="6"/>
      <c r="I430" s="6"/>
      <c r="J430" s="6"/>
      <c r="K430" s="51"/>
      <c r="L430" s="51"/>
      <c r="M430" s="51"/>
      <c r="N430" s="51"/>
      <c r="O430" s="51"/>
      <c r="P430" s="51"/>
      <c r="Q430" s="51"/>
      <c r="R430" s="51"/>
      <c r="S430" s="51"/>
      <c r="T430" s="51"/>
      <c r="U430" s="51"/>
      <c r="V430" s="51"/>
      <c r="W430" s="51"/>
      <c r="X430" s="51"/>
      <c r="Y430" s="51"/>
      <c r="Z430" s="51"/>
      <c r="AA430" s="51"/>
      <c r="AB430" s="51"/>
    </row>
    <row r="431" customFormat="false" ht="15.75" hidden="false" customHeight="false" outlineLevel="0" collapsed="false">
      <c r="A431" s="51"/>
      <c r="B431" s="51"/>
      <c r="C431" s="6"/>
      <c r="D431" s="49"/>
      <c r="E431" s="51"/>
      <c r="F431" s="6"/>
      <c r="G431" s="6"/>
      <c r="H431" s="6"/>
      <c r="I431" s="6"/>
      <c r="J431" s="6"/>
      <c r="K431" s="51"/>
      <c r="L431" s="51"/>
      <c r="M431" s="51"/>
      <c r="N431" s="51"/>
      <c r="O431" s="51"/>
      <c r="P431" s="51"/>
      <c r="Q431" s="51"/>
      <c r="R431" s="51"/>
      <c r="S431" s="51"/>
      <c r="T431" s="51"/>
      <c r="U431" s="51"/>
      <c r="V431" s="51"/>
      <c r="W431" s="51"/>
      <c r="X431" s="51"/>
      <c r="Y431" s="51"/>
      <c r="Z431" s="51"/>
      <c r="AA431" s="51"/>
      <c r="AB431" s="51"/>
    </row>
    <row r="432" customFormat="false" ht="15.75" hidden="false" customHeight="false" outlineLevel="0" collapsed="false">
      <c r="A432" s="51"/>
      <c r="B432" s="51"/>
      <c r="C432" s="6"/>
      <c r="D432" s="49"/>
      <c r="E432" s="51"/>
      <c r="F432" s="6"/>
      <c r="G432" s="6"/>
      <c r="H432" s="6"/>
      <c r="I432" s="6"/>
      <c r="J432" s="6"/>
      <c r="K432" s="51"/>
      <c r="L432" s="51"/>
      <c r="M432" s="51"/>
      <c r="N432" s="51"/>
      <c r="O432" s="51"/>
      <c r="P432" s="51"/>
      <c r="Q432" s="51"/>
      <c r="R432" s="51"/>
      <c r="S432" s="51"/>
      <c r="T432" s="51"/>
      <c r="U432" s="51"/>
      <c r="V432" s="51"/>
      <c r="W432" s="51"/>
      <c r="X432" s="51"/>
      <c r="Y432" s="51"/>
      <c r="Z432" s="51"/>
      <c r="AA432" s="51"/>
      <c r="AB432" s="51"/>
    </row>
    <row r="433" customFormat="false" ht="15.75" hidden="false" customHeight="false" outlineLevel="0" collapsed="false">
      <c r="A433" s="51"/>
      <c r="B433" s="51"/>
      <c r="C433" s="6"/>
      <c r="D433" s="49"/>
      <c r="E433" s="51"/>
      <c r="F433" s="6"/>
      <c r="G433" s="6"/>
      <c r="H433" s="6"/>
      <c r="I433" s="6"/>
      <c r="J433" s="6"/>
      <c r="K433" s="51"/>
      <c r="L433" s="51"/>
      <c r="M433" s="51"/>
      <c r="N433" s="51"/>
      <c r="O433" s="51"/>
      <c r="P433" s="51"/>
      <c r="Q433" s="51"/>
      <c r="R433" s="51"/>
      <c r="S433" s="51"/>
      <c r="T433" s="51"/>
      <c r="U433" s="51"/>
      <c r="V433" s="51"/>
      <c r="W433" s="51"/>
      <c r="X433" s="51"/>
      <c r="Y433" s="51"/>
      <c r="Z433" s="51"/>
      <c r="AA433" s="51"/>
      <c r="AB433" s="51"/>
    </row>
    <row r="434" customFormat="false" ht="15.75" hidden="false" customHeight="false" outlineLevel="0" collapsed="false">
      <c r="A434" s="51"/>
      <c r="B434" s="51"/>
      <c r="C434" s="6"/>
      <c r="D434" s="49"/>
      <c r="E434" s="51"/>
      <c r="F434" s="6"/>
      <c r="G434" s="6"/>
      <c r="H434" s="6"/>
      <c r="I434" s="6"/>
      <c r="J434" s="6"/>
      <c r="K434" s="51"/>
      <c r="L434" s="51"/>
      <c r="M434" s="51"/>
      <c r="N434" s="51"/>
      <c r="O434" s="51"/>
      <c r="P434" s="51"/>
      <c r="Q434" s="51"/>
      <c r="R434" s="51"/>
      <c r="S434" s="51"/>
      <c r="T434" s="51"/>
      <c r="U434" s="51"/>
      <c r="V434" s="51"/>
      <c r="W434" s="51"/>
      <c r="X434" s="51"/>
      <c r="Y434" s="51"/>
      <c r="Z434" s="51"/>
      <c r="AA434" s="51"/>
      <c r="AB434" s="51"/>
    </row>
    <row r="435" customFormat="false" ht="15.75" hidden="false" customHeight="false" outlineLevel="0" collapsed="false">
      <c r="A435" s="51"/>
      <c r="B435" s="51"/>
      <c r="C435" s="6"/>
      <c r="D435" s="49"/>
      <c r="E435" s="51"/>
      <c r="F435" s="6"/>
      <c r="G435" s="6"/>
      <c r="H435" s="6"/>
      <c r="I435" s="6"/>
      <c r="J435" s="6"/>
      <c r="K435" s="51"/>
      <c r="L435" s="51"/>
      <c r="M435" s="51"/>
      <c r="N435" s="51"/>
      <c r="O435" s="51"/>
      <c r="P435" s="51"/>
      <c r="Q435" s="51"/>
      <c r="R435" s="51"/>
      <c r="S435" s="51"/>
      <c r="T435" s="51"/>
      <c r="U435" s="51"/>
      <c r="V435" s="51"/>
      <c r="W435" s="51"/>
      <c r="X435" s="51"/>
      <c r="Y435" s="51"/>
      <c r="Z435" s="51"/>
      <c r="AA435" s="51"/>
      <c r="AB435" s="51"/>
    </row>
    <row r="436" customFormat="false" ht="15.75" hidden="false" customHeight="false" outlineLevel="0" collapsed="false">
      <c r="A436" s="51"/>
      <c r="B436" s="51"/>
      <c r="C436" s="6"/>
      <c r="D436" s="49"/>
      <c r="E436" s="51"/>
      <c r="F436" s="6"/>
      <c r="G436" s="6"/>
      <c r="H436" s="6"/>
      <c r="I436" s="6"/>
      <c r="J436" s="6"/>
      <c r="K436" s="51"/>
      <c r="L436" s="51"/>
      <c r="M436" s="51"/>
      <c r="N436" s="51"/>
      <c r="O436" s="51"/>
      <c r="P436" s="51"/>
      <c r="Q436" s="51"/>
      <c r="R436" s="51"/>
      <c r="S436" s="51"/>
      <c r="T436" s="51"/>
      <c r="U436" s="51"/>
      <c r="V436" s="51"/>
      <c r="W436" s="51"/>
      <c r="X436" s="51"/>
      <c r="Y436" s="51"/>
      <c r="Z436" s="51"/>
      <c r="AA436" s="51"/>
      <c r="AB436" s="51"/>
    </row>
    <row r="437" customFormat="false" ht="15.75" hidden="false" customHeight="false" outlineLevel="0" collapsed="false">
      <c r="A437" s="51"/>
      <c r="B437" s="51"/>
      <c r="C437" s="6"/>
      <c r="D437" s="49"/>
      <c r="E437" s="51"/>
      <c r="F437" s="6"/>
      <c r="G437" s="6"/>
      <c r="H437" s="6"/>
      <c r="I437" s="6"/>
      <c r="J437" s="6"/>
      <c r="K437" s="51"/>
      <c r="L437" s="51"/>
      <c r="M437" s="51"/>
      <c r="N437" s="51"/>
      <c r="O437" s="51"/>
      <c r="P437" s="51"/>
      <c r="Q437" s="51"/>
      <c r="R437" s="51"/>
      <c r="S437" s="51"/>
      <c r="T437" s="51"/>
      <c r="U437" s="51"/>
      <c r="V437" s="51"/>
      <c r="W437" s="51"/>
      <c r="X437" s="51"/>
      <c r="Y437" s="51"/>
      <c r="Z437" s="51"/>
      <c r="AA437" s="51"/>
      <c r="AB437" s="51"/>
    </row>
    <row r="438" customFormat="false" ht="15.75" hidden="false" customHeight="false" outlineLevel="0" collapsed="false">
      <c r="A438" s="51"/>
      <c r="B438" s="51"/>
      <c r="C438" s="6"/>
      <c r="D438" s="49"/>
      <c r="E438" s="51"/>
      <c r="F438" s="6"/>
      <c r="G438" s="6"/>
      <c r="H438" s="6"/>
      <c r="I438" s="6"/>
      <c r="J438" s="6"/>
      <c r="K438" s="51"/>
      <c r="L438" s="51"/>
      <c r="M438" s="51"/>
      <c r="N438" s="51"/>
      <c r="O438" s="51"/>
      <c r="P438" s="51"/>
      <c r="Q438" s="51"/>
      <c r="R438" s="51"/>
      <c r="S438" s="51"/>
      <c r="T438" s="51"/>
      <c r="U438" s="51"/>
      <c r="V438" s="51"/>
      <c r="W438" s="51"/>
      <c r="X438" s="51"/>
      <c r="Y438" s="51"/>
      <c r="Z438" s="51"/>
      <c r="AA438" s="51"/>
      <c r="AB438" s="51"/>
    </row>
    <row r="439" customFormat="false" ht="15.75" hidden="false" customHeight="false" outlineLevel="0" collapsed="false">
      <c r="A439" s="51"/>
      <c r="B439" s="51"/>
      <c r="C439" s="6"/>
      <c r="D439" s="49"/>
      <c r="E439" s="51"/>
      <c r="F439" s="6"/>
      <c r="G439" s="6"/>
      <c r="H439" s="6"/>
      <c r="I439" s="6"/>
      <c r="J439" s="6"/>
      <c r="K439" s="51"/>
      <c r="L439" s="51"/>
      <c r="M439" s="51"/>
      <c r="N439" s="51"/>
      <c r="O439" s="51"/>
      <c r="P439" s="51"/>
      <c r="Q439" s="51"/>
      <c r="R439" s="51"/>
      <c r="S439" s="51"/>
      <c r="T439" s="51"/>
      <c r="U439" s="51"/>
      <c r="V439" s="51"/>
      <c r="W439" s="51"/>
      <c r="X439" s="51"/>
      <c r="Y439" s="51"/>
      <c r="Z439" s="51"/>
      <c r="AA439" s="51"/>
      <c r="AB439" s="51"/>
    </row>
    <row r="440" customFormat="false" ht="15.75" hidden="false" customHeight="false" outlineLevel="0" collapsed="false">
      <c r="A440" s="51"/>
      <c r="B440" s="51"/>
      <c r="C440" s="6"/>
      <c r="D440" s="49"/>
      <c r="E440" s="51"/>
      <c r="F440" s="6"/>
      <c r="G440" s="6"/>
      <c r="H440" s="6"/>
      <c r="I440" s="6"/>
      <c r="J440" s="6"/>
      <c r="K440" s="51"/>
      <c r="L440" s="51"/>
      <c r="M440" s="51"/>
      <c r="N440" s="51"/>
      <c r="O440" s="51"/>
      <c r="P440" s="51"/>
      <c r="Q440" s="51"/>
      <c r="R440" s="51"/>
      <c r="S440" s="51"/>
      <c r="T440" s="51"/>
      <c r="U440" s="51"/>
      <c r="V440" s="51"/>
      <c r="W440" s="51"/>
      <c r="X440" s="51"/>
      <c r="Y440" s="51"/>
      <c r="Z440" s="51"/>
      <c r="AA440" s="51"/>
      <c r="AB440" s="51"/>
    </row>
    <row r="441" customFormat="false" ht="15.75" hidden="false" customHeight="false" outlineLevel="0" collapsed="false">
      <c r="A441" s="51"/>
      <c r="B441" s="51"/>
      <c r="C441" s="6"/>
      <c r="D441" s="49"/>
      <c r="E441" s="51"/>
      <c r="F441" s="6"/>
      <c r="G441" s="6"/>
      <c r="H441" s="6"/>
      <c r="I441" s="6"/>
      <c r="J441" s="6"/>
      <c r="K441" s="51"/>
      <c r="L441" s="51"/>
      <c r="M441" s="51"/>
      <c r="N441" s="51"/>
      <c r="O441" s="51"/>
      <c r="P441" s="51"/>
      <c r="Q441" s="51"/>
      <c r="R441" s="51"/>
      <c r="S441" s="51"/>
      <c r="T441" s="51"/>
      <c r="U441" s="51"/>
      <c r="V441" s="51"/>
      <c r="W441" s="51"/>
      <c r="X441" s="51"/>
      <c r="Y441" s="51"/>
      <c r="Z441" s="51"/>
      <c r="AA441" s="51"/>
      <c r="AB441" s="51"/>
    </row>
    <row r="442" customFormat="false" ht="15.75" hidden="false" customHeight="false" outlineLevel="0" collapsed="false">
      <c r="A442" s="51"/>
      <c r="B442" s="51"/>
      <c r="C442" s="6"/>
      <c r="D442" s="49"/>
      <c r="E442" s="51"/>
      <c r="F442" s="6"/>
      <c r="G442" s="6"/>
      <c r="H442" s="6"/>
      <c r="I442" s="6"/>
      <c r="J442" s="6"/>
      <c r="K442" s="51"/>
      <c r="L442" s="51"/>
      <c r="M442" s="51"/>
      <c r="N442" s="51"/>
      <c r="O442" s="51"/>
      <c r="P442" s="51"/>
      <c r="Q442" s="51"/>
      <c r="R442" s="51"/>
      <c r="S442" s="51"/>
      <c r="T442" s="51"/>
      <c r="U442" s="51"/>
      <c r="V442" s="51"/>
      <c r="W442" s="51"/>
      <c r="X442" s="51"/>
      <c r="Y442" s="51"/>
      <c r="Z442" s="51"/>
      <c r="AA442" s="51"/>
      <c r="AB442" s="51"/>
    </row>
    <row r="443" customFormat="false" ht="15.75" hidden="false" customHeight="false" outlineLevel="0" collapsed="false">
      <c r="A443" s="51"/>
      <c r="B443" s="51"/>
      <c r="C443" s="6"/>
      <c r="D443" s="49"/>
      <c r="E443" s="51"/>
      <c r="F443" s="6"/>
      <c r="G443" s="6"/>
      <c r="H443" s="6"/>
      <c r="I443" s="6"/>
      <c r="J443" s="6"/>
      <c r="K443" s="51"/>
      <c r="L443" s="51"/>
      <c r="M443" s="51"/>
      <c r="N443" s="51"/>
      <c r="O443" s="51"/>
      <c r="P443" s="51"/>
      <c r="Q443" s="51"/>
      <c r="R443" s="51"/>
      <c r="S443" s="51"/>
      <c r="T443" s="51"/>
      <c r="U443" s="51"/>
      <c r="V443" s="51"/>
      <c r="W443" s="51"/>
      <c r="X443" s="51"/>
      <c r="Y443" s="51"/>
      <c r="Z443" s="51"/>
      <c r="AA443" s="51"/>
      <c r="AB443" s="51"/>
    </row>
    <row r="444" customFormat="false" ht="15.75" hidden="false" customHeight="false" outlineLevel="0" collapsed="false">
      <c r="A444" s="51"/>
      <c r="B444" s="51"/>
      <c r="C444" s="6"/>
      <c r="D444" s="49"/>
      <c r="E444" s="51"/>
      <c r="F444" s="6"/>
      <c r="G444" s="6"/>
      <c r="H444" s="6"/>
      <c r="I444" s="6"/>
      <c r="J444" s="6"/>
      <c r="K444" s="51"/>
      <c r="L444" s="51"/>
      <c r="M444" s="51"/>
      <c r="N444" s="51"/>
      <c r="O444" s="51"/>
      <c r="P444" s="51"/>
      <c r="Q444" s="51"/>
      <c r="R444" s="51"/>
      <c r="S444" s="51"/>
      <c r="T444" s="51"/>
      <c r="U444" s="51"/>
      <c r="V444" s="51"/>
      <c r="W444" s="51"/>
      <c r="X444" s="51"/>
      <c r="Y444" s="51"/>
      <c r="Z444" s="51"/>
      <c r="AA444" s="51"/>
      <c r="AB444" s="51"/>
    </row>
    <row r="445" customFormat="false" ht="15.75" hidden="false" customHeight="false" outlineLevel="0" collapsed="false">
      <c r="A445" s="51"/>
      <c r="B445" s="51"/>
      <c r="C445" s="6"/>
      <c r="D445" s="49"/>
      <c r="E445" s="51"/>
      <c r="F445" s="6"/>
      <c r="G445" s="6"/>
      <c r="H445" s="6"/>
      <c r="I445" s="6"/>
      <c r="J445" s="6"/>
      <c r="K445" s="51"/>
      <c r="L445" s="51"/>
      <c r="M445" s="51"/>
      <c r="N445" s="51"/>
      <c r="O445" s="51"/>
      <c r="P445" s="51"/>
      <c r="Q445" s="51"/>
      <c r="R445" s="51"/>
      <c r="S445" s="51"/>
      <c r="T445" s="51"/>
      <c r="U445" s="51"/>
      <c r="V445" s="51"/>
      <c r="W445" s="51"/>
      <c r="X445" s="51"/>
      <c r="Y445" s="51"/>
      <c r="Z445" s="51"/>
      <c r="AA445" s="51"/>
      <c r="AB445" s="51"/>
    </row>
    <row r="446" customFormat="false" ht="15.75" hidden="false" customHeight="false" outlineLevel="0" collapsed="false">
      <c r="A446" s="51"/>
      <c r="B446" s="51"/>
      <c r="C446" s="6"/>
      <c r="D446" s="49"/>
      <c r="E446" s="51"/>
      <c r="F446" s="6"/>
      <c r="G446" s="6"/>
      <c r="H446" s="6"/>
      <c r="I446" s="6"/>
      <c r="J446" s="6"/>
      <c r="K446" s="51"/>
      <c r="L446" s="51"/>
      <c r="M446" s="51"/>
      <c r="N446" s="51"/>
      <c r="O446" s="51"/>
      <c r="P446" s="51"/>
      <c r="Q446" s="51"/>
      <c r="R446" s="51"/>
      <c r="S446" s="51"/>
      <c r="T446" s="51"/>
      <c r="U446" s="51"/>
      <c r="V446" s="51"/>
      <c r="W446" s="51"/>
      <c r="X446" s="51"/>
      <c r="Y446" s="51"/>
      <c r="Z446" s="51"/>
      <c r="AA446" s="51"/>
      <c r="AB446" s="51"/>
    </row>
    <row r="447" customFormat="false" ht="15.75" hidden="false" customHeight="false" outlineLevel="0" collapsed="false">
      <c r="A447" s="51"/>
      <c r="B447" s="51"/>
      <c r="C447" s="6"/>
      <c r="D447" s="49"/>
      <c r="E447" s="51"/>
      <c r="F447" s="6"/>
      <c r="G447" s="6"/>
      <c r="H447" s="6"/>
      <c r="I447" s="6"/>
      <c r="J447" s="6"/>
      <c r="K447" s="51"/>
      <c r="L447" s="51"/>
      <c r="M447" s="51"/>
      <c r="N447" s="51"/>
      <c r="O447" s="51"/>
      <c r="P447" s="51"/>
      <c r="Q447" s="51"/>
      <c r="R447" s="51"/>
      <c r="S447" s="51"/>
      <c r="T447" s="51"/>
      <c r="U447" s="51"/>
      <c r="V447" s="51"/>
      <c r="W447" s="51"/>
      <c r="X447" s="51"/>
      <c r="Y447" s="51"/>
      <c r="Z447" s="51"/>
      <c r="AA447" s="51"/>
      <c r="AB447" s="51"/>
    </row>
    <row r="448" customFormat="false" ht="15.75" hidden="false" customHeight="false" outlineLevel="0" collapsed="false">
      <c r="A448" s="51"/>
      <c r="B448" s="51"/>
      <c r="C448" s="6"/>
      <c r="D448" s="49"/>
      <c r="E448" s="51"/>
      <c r="F448" s="6"/>
      <c r="G448" s="6"/>
      <c r="H448" s="6"/>
      <c r="I448" s="6"/>
      <c r="J448" s="6"/>
      <c r="K448" s="51"/>
      <c r="L448" s="51"/>
      <c r="M448" s="51"/>
      <c r="N448" s="51"/>
      <c r="O448" s="51"/>
      <c r="P448" s="51"/>
      <c r="Q448" s="51"/>
      <c r="R448" s="51"/>
      <c r="S448" s="51"/>
      <c r="T448" s="51"/>
      <c r="U448" s="51"/>
      <c r="V448" s="51"/>
      <c r="W448" s="51"/>
      <c r="X448" s="51"/>
      <c r="Y448" s="51"/>
      <c r="Z448" s="51"/>
      <c r="AA448" s="51"/>
      <c r="AB448" s="51"/>
    </row>
    <row r="449" customFormat="false" ht="15.75" hidden="false" customHeight="false" outlineLevel="0" collapsed="false">
      <c r="A449" s="51"/>
      <c r="B449" s="51"/>
      <c r="C449" s="6"/>
      <c r="D449" s="49"/>
      <c r="E449" s="51"/>
      <c r="F449" s="6"/>
      <c r="G449" s="6"/>
      <c r="H449" s="6"/>
      <c r="I449" s="6"/>
      <c r="J449" s="6"/>
      <c r="K449" s="51"/>
      <c r="L449" s="51"/>
      <c r="M449" s="51"/>
      <c r="N449" s="51"/>
      <c r="O449" s="51"/>
      <c r="P449" s="51"/>
      <c r="Q449" s="51"/>
      <c r="R449" s="51"/>
      <c r="S449" s="51"/>
      <c r="T449" s="51"/>
      <c r="U449" s="51"/>
      <c r="V449" s="51"/>
      <c r="W449" s="51"/>
      <c r="X449" s="51"/>
      <c r="Y449" s="51"/>
      <c r="Z449" s="51"/>
      <c r="AA449" s="51"/>
      <c r="AB449" s="51"/>
    </row>
    <row r="450" customFormat="false" ht="15.75" hidden="false" customHeight="false" outlineLevel="0" collapsed="false">
      <c r="A450" s="51"/>
      <c r="B450" s="51"/>
      <c r="C450" s="6"/>
      <c r="D450" s="49"/>
      <c r="E450" s="51"/>
      <c r="F450" s="6"/>
      <c r="G450" s="6"/>
      <c r="H450" s="6"/>
      <c r="I450" s="6"/>
      <c r="J450" s="6"/>
      <c r="K450" s="51"/>
      <c r="L450" s="51"/>
      <c r="M450" s="51"/>
      <c r="N450" s="51"/>
      <c r="O450" s="51"/>
      <c r="P450" s="51"/>
      <c r="Q450" s="51"/>
      <c r="R450" s="51"/>
      <c r="S450" s="51"/>
      <c r="T450" s="51"/>
      <c r="U450" s="51"/>
      <c r="V450" s="51"/>
      <c r="W450" s="51"/>
      <c r="X450" s="51"/>
      <c r="Y450" s="51"/>
      <c r="Z450" s="51"/>
      <c r="AA450" s="51"/>
      <c r="AB450" s="51"/>
    </row>
    <row r="451" customFormat="false" ht="15.75" hidden="false" customHeight="false" outlineLevel="0" collapsed="false">
      <c r="A451" s="51"/>
      <c r="B451" s="51"/>
      <c r="C451" s="6"/>
      <c r="D451" s="49"/>
      <c r="E451" s="51"/>
      <c r="F451" s="6"/>
      <c r="G451" s="6"/>
      <c r="H451" s="6"/>
      <c r="I451" s="6"/>
      <c r="J451" s="6"/>
      <c r="K451" s="51"/>
      <c r="L451" s="51"/>
      <c r="M451" s="51"/>
      <c r="N451" s="51"/>
      <c r="O451" s="51"/>
      <c r="P451" s="51"/>
      <c r="Q451" s="51"/>
      <c r="R451" s="51"/>
      <c r="S451" s="51"/>
      <c r="T451" s="51"/>
      <c r="U451" s="51"/>
      <c r="V451" s="51"/>
      <c r="W451" s="51"/>
      <c r="X451" s="51"/>
      <c r="Y451" s="51"/>
      <c r="Z451" s="51"/>
      <c r="AA451" s="51"/>
      <c r="AB451" s="51"/>
    </row>
    <row r="452" customFormat="false" ht="15.75" hidden="false" customHeight="false" outlineLevel="0" collapsed="false">
      <c r="A452" s="51"/>
      <c r="B452" s="51"/>
      <c r="C452" s="6"/>
      <c r="D452" s="49"/>
      <c r="E452" s="51"/>
      <c r="F452" s="6"/>
      <c r="G452" s="6"/>
      <c r="H452" s="6"/>
      <c r="I452" s="6"/>
      <c r="J452" s="6"/>
      <c r="K452" s="51"/>
      <c r="L452" s="51"/>
      <c r="M452" s="51"/>
      <c r="N452" s="51"/>
      <c r="O452" s="51"/>
      <c r="P452" s="51"/>
      <c r="Q452" s="51"/>
      <c r="R452" s="51"/>
      <c r="S452" s="51"/>
      <c r="T452" s="51"/>
      <c r="U452" s="51"/>
      <c r="V452" s="51"/>
      <c r="W452" s="51"/>
      <c r="X452" s="51"/>
      <c r="Y452" s="51"/>
      <c r="Z452" s="51"/>
      <c r="AA452" s="51"/>
      <c r="AB452" s="51"/>
    </row>
    <row r="453" customFormat="false" ht="15.75" hidden="false" customHeight="false" outlineLevel="0" collapsed="false">
      <c r="A453" s="51"/>
      <c r="B453" s="51"/>
      <c r="C453" s="6"/>
      <c r="D453" s="49"/>
      <c r="E453" s="51"/>
      <c r="F453" s="6"/>
      <c r="G453" s="6"/>
      <c r="H453" s="6"/>
      <c r="I453" s="6"/>
      <c r="J453" s="6"/>
      <c r="K453" s="51"/>
      <c r="L453" s="51"/>
      <c r="M453" s="51"/>
      <c r="N453" s="51"/>
      <c r="O453" s="51"/>
      <c r="P453" s="51"/>
      <c r="Q453" s="51"/>
      <c r="R453" s="51"/>
      <c r="S453" s="51"/>
      <c r="T453" s="51"/>
      <c r="U453" s="51"/>
      <c r="V453" s="51"/>
      <c r="W453" s="51"/>
      <c r="X453" s="51"/>
      <c r="Y453" s="51"/>
      <c r="Z453" s="51"/>
      <c r="AA453" s="51"/>
      <c r="AB453" s="51"/>
    </row>
    <row r="454" customFormat="false" ht="15.75" hidden="false" customHeight="false" outlineLevel="0" collapsed="false">
      <c r="A454" s="51"/>
      <c r="B454" s="51"/>
      <c r="C454" s="6"/>
      <c r="D454" s="49"/>
      <c r="E454" s="51"/>
      <c r="F454" s="6"/>
      <c r="G454" s="6"/>
      <c r="H454" s="6"/>
      <c r="I454" s="6"/>
      <c r="J454" s="6"/>
      <c r="K454" s="51"/>
      <c r="L454" s="51"/>
      <c r="M454" s="51"/>
      <c r="N454" s="51"/>
      <c r="O454" s="51"/>
      <c r="P454" s="51"/>
      <c r="Q454" s="51"/>
      <c r="R454" s="51"/>
      <c r="S454" s="51"/>
      <c r="T454" s="51"/>
      <c r="U454" s="51"/>
      <c r="V454" s="51"/>
      <c r="W454" s="51"/>
      <c r="X454" s="51"/>
      <c r="Y454" s="51"/>
      <c r="Z454" s="51"/>
      <c r="AA454" s="51"/>
      <c r="AB454" s="51"/>
    </row>
    <row r="455" customFormat="false" ht="15.75" hidden="false" customHeight="false" outlineLevel="0" collapsed="false">
      <c r="A455" s="51"/>
      <c r="B455" s="51"/>
      <c r="C455" s="6"/>
      <c r="D455" s="49"/>
      <c r="E455" s="51"/>
      <c r="F455" s="6"/>
      <c r="G455" s="6"/>
      <c r="H455" s="6"/>
      <c r="I455" s="6"/>
      <c r="J455" s="6"/>
      <c r="K455" s="51"/>
      <c r="L455" s="51"/>
      <c r="M455" s="51"/>
      <c r="N455" s="51"/>
      <c r="O455" s="51"/>
      <c r="P455" s="51"/>
      <c r="Q455" s="51"/>
      <c r="R455" s="51"/>
      <c r="S455" s="51"/>
      <c r="T455" s="51"/>
      <c r="U455" s="51"/>
      <c r="V455" s="51"/>
      <c r="W455" s="51"/>
      <c r="X455" s="51"/>
      <c r="Y455" s="51"/>
      <c r="Z455" s="51"/>
      <c r="AA455" s="51"/>
      <c r="AB455" s="51"/>
    </row>
    <row r="456" customFormat="false" ht="15.75" hidden="false" customHeight="false" outlineLevel="0" collapsed="false">
      <c r="A456" s="51"/>
      <c r="B456" s="51"/>
      <c r="C456" s="6"/>
      <c r="D456" s="49"/>
      <c r="E456" s="51"/>
      <c r="F456" s="6"/>
      <c r="G456" s="6"/>
      <c r="H456" s="6"/>
      <c r="I456" s="6"/>
      <c r="J456" s="6"/>
      <c r="K456" s="51"/>
      <c r="L456" s="51"/>
      <c r="M456" s="51"/>
      <c r="N456" s="51"/>
      <c r="O456" s="51"/>
      <c r="P456" s="51"/>
      <c r="Q456" s="51"/>
      <c r="R456" s="51"/>
      <c r="S456" s="51"/>
      <c r="T456" s="51"/>
      <c r="U456" s="51"/>
      <c r="V456" s="51"/>
      <c r="W456" s="51"/>
      <c r="X456" s="51"/>
      <c r="Y456" s="51"/>
      <c r="Z456" s="51"/>
      <c r="AA456" s="51"/>
      <c r="AB456" s="51"/>
    </row>
    <row r="457" customFormat="false" ht="15.75" hidden="false" customHeight="false" outlineLevel="0" collapsed="false">
      <c r="A457" s="51"/>
      <c r="B457" s="51"/>
      <c r="C457" s="6"/>
      <c r="D457" s="49"/>
      <c r="E457" s="51"/>
      <c r="F457" s="6"/>
      <c r="G457" s="6"/>
      <c r="H457" s="6"/>
      <c r="I457" s="6"/>
      <c r="J457" s="6"/>
      <c r="K457" s="51"/>
      <c r="L457" s="51"/>
      <c r="M457" s="51"/>
      <c r="N457" s="51"/>
      <c r="O457" s="51"/>
      <c r="P457" s="51"/>
      <c r="Q457" s="51"/>
      <c r="R457" s="51"/>
      <c r="S457" s="51"/>
      <c r="T457" s="51"/>
      <c r="U457" s="51"/>
      <c r="V457" s="51"/>
      <c r="W457" s="51"/>
      <c r="X457" s="51"/>
      <c r="Y457" s="51"/>
      <c r="Z457" s="51"/>
      <c r="AA457" s="51"/>
      <c r="AB457" s="51"/>
    </row>
    <row r="458" customFormat="false" ht="15.75" hidden="false" customHeight="false" outlineLevel="0" collapsed="false">
      <c r="A458" s="51"/>
      <c r="B458" s="51"/>
      <c r="C458" s="6"/>
      <c r="D458" s="49"/>
      <c r="E458" s="51"/>
      <c r="F458" s="6"/>
      <c r="G458" s="6"/>
      <c r="H458" s="6"/>
      <c r="I458" s="6"/>
      <c r="J458" s="6"/>
      <c r="K458" s="51"/>
      <c r="L458" s="51"/>
      <c r="M458" s="51"/>
      <c r="N458" s="51"/>
      <c r="O458" s="51"/>
      <c r="P458" s="51"/>
      <c r="Q458" s="51"/>
      <c r="R458" s="51"/>
      <c r="S458" s="51"/>
      <c r="T458" s="51"/>
      <c r="U458" s="51"/>
      <c r="V458" s="51"/>
      <c r="W458" s="51"/>
      <c r="X458" s="51"/>
      <c r="Y458" s="51"/>
      <c r="Z458" s="51"/>
      <c r="AA458" s="51"/>
      <c r="AB458" s="51"/>
    </row>
    <row r="459" customFormat="false" ht="15.75" hidden="false" customHeight="false" outlineLevel="0" collapsed="false">
      <c r="A459" s="51"/>
      <c r="B459" s="51"/>
      <c r="C459" s="6"/>
      <c r="D459" s="49"/>
      <c r="E459" s="51"/>
      <c r="F459" s="6"/>
      <c r="G459" s="6"/>
      <c r="H459" s="6"/>
      <c r="I459" s="6"/>
      <c r="J459" s="6"/>
      <c r="K459" s="51"/>
      <c r="L459" s="51"/>
      <c r="M459" s="51"/>
      <c r="N459" s="51"/>
      <c r="O459" s="51"/>
      <c r="P459" s="51"/>
      <c r="Q459" s="51"/>
      <c r="R459" s="51"/>
      <c r="S459" s="51"/>
      <c r="T459" s="51"/>
      <c r="U459" s="51"/>
      <c r="V459" s="51"/>
      <c r="W459" s="51"/>
      <c r="X459" s="51"/>
      <c r="Y459" s="51"/>
      <c r="Z459" s="51"/>
      <c r="AA459" s="51"/>
      <c r="AB459" s="51"/>
    </row>
    <row r="460" customFormat="false" ht="15.75" hidden="false" customHeight="false" outlineLevel="0" collapsed="false">
      <c r="A460" s="51"/>
      <c r="B460" s="51"/>
      <c r="C460" s="6"/>
      <c r="D460" s="49"/>
      <c r="E460" s="51"/>
      <c r="F460" s="6"/>
      <c r="G460" s="6"/>
      <c r="H460" s="6"/>
      <c r="I460" s="6"/>
      <c r="J460" s="6"/>
      <c r="K460" s="51"/>
      <c r="L460" s="51"/>
      <c r="M460" s="51"/>
      <c r="N460" s="51"/>
      <c r="O460" s="51"/>
      <c r="P460" s="51"/>
      <c r="Q460" s="51"/>
      <c r="R460" s="51"/>
      <c r="S460" s="51"/>
      <c r="T460" s="51"/>
      <c r="U460" s="51"/>
      <c r="V460" s="51"/>
      <c r="W460" s="51"/>
      <c r="X460" s="51"/>
      <c r="Y460" s="51"/>
      <c r="Z460" s="51"/>
      <c r="AA460" s="51"/>
      <c r="AB460" s="51"/>
    </row>
    <row r="461" customFormat="false" ht="15.75" hidden="false" customHeight="false" outlineLevel="0" collapsed="false">
      <c r="A461" s="51"/>
      <c r="B461" s="51"/>
      <c r="C461" s="6"/>
      <c r="D461" s="49"/>
      <c r="E461" s="51"/>
      <c r="F461" s="6"/>
      <c r="G461" s="6"/>
      <c r="H461" s="6"/>
      <c r="I461" s="6"/>
      <c r="J461" s="6"/>
      <c r="K461" s="51"/>
      <c r="L461" s="51"/>
      <c r="M461" s="51"/>
      <c r="N461" s="51"/>
      <c r="O461" s="51"/>
      <c r="P461" s="51"/>
      <c r="Q461" s="51"/>
      <c r="R461" s="51"/>
      <c r="S461" s="51"/>
      <c r="T461" s="51"/>
      <c r="U461" s="51"/>
      <c r="V461" s="51"/>
      <c r="W461" s="51"/>
      <c r="X461" s="51"/>
      <c r="Y461" s="51"/>
      <c r="Z461" s="51"/>
      <c r="AA461" s="51"/>
      <c r="AB461" s="51"/>
    </row>
    <row r="462" customFormat="false" ht="15.75" hidden="false" customHeight="false" outlineLevel="0" collapsed="false">
      <c r="A462" s="51"/>
      <c r="B462" s="51"/>
      <c r="C462" s="6"/>
      <c r="D462" s="49"/>
      <c r="E462" s="51"/>
      <c r="F462" s="6"/>
      <c r="G462" s="6"/>
      <c r="H462" s="6"/>
      <c r="I462" s="6"/>
      <c r="J462" s="6"/>
      <c r="K462" s="51"/>
      <c r="L462" s="51"/>
      <c r="M462" s="51"/>
      <c r="N462" s="51"/>
      <c r="O462" s="51"/>
      <c r="P462" s="51"/>
      <c r="Q462" s="51"/>
      <c r="R462" s="51"/>
      <c r="S462" s="51"/>
      <c r="T462" s="51"/>
      <c r="U462" s="51"/>
      <c r="V462" s="51"/>
      <c r="W462" s="51"/>
      <c r="X462" s="51"/>
      <c r="Y462" s="51"/>
      <c r="Z462" s="51"/>
      <c r="AA462" s="51"/>
      <c r="AB462" s="51"/>
    </row>
    <row r="463" customFormat="false" ht="15.75" hidden="false" customHeight="false" outlineLevel="0" collapsed="false">
      <c r="A463" s="51"/>
      <c r="B463" s="51"/>
      <c r="C463" s="6"/>
      <c r="D463" s="49"/>
      <c r="E463" s="51"/>
      <c r="F463" s="6"/>
      <c r="G463" s="6"/>
      <c r="H463" s="6"/>
      <c r="I463" s="6"/>
      <c r="J463" s="6"/>
      <c r="K463" s="51"/>
      <c r="L463" s="51"/>
      <c r="M463" s="51"/>
      <c r="N463" s="51"/>
      <c r="O463" s="51"/>
      <c r="P463" s="51"/>
      <c r="Q463" s="51"/>
      <c r="R463" s="51"/>
      <c r="S463" s="51"/>
      <c r="T463" s="51"/>
      <c r="U463" s="51"/>
      <c r="V463" s="51"/>
      <c r="W463" s="51"/>
      <c r="X463" s="51"/>
      <c r="Y463" s="51"/>
      <c r="Z463" s="51"/>
      <c r="AA463" s="51"/>
      <c r="AB463" s="51"/>
    </row>
    <row r="464" customFormat="false" ht="15.75" hidden="false" customHeight="false" outlineLevel="0" collapsed="false">
      <c r="A464" s="51"/>
      <c r="B464" s="51"/>
      <c r="C464" s="6"/>
      <c r="D464" s="49"/>
      <c r="E464" s="51"/>
      <c r="F464" s="6"/>
      <c r="G464" s="6"/>
      <c r="H464" s="6"/>
      <c r="I464" s="6"/>
      <c r="J464" s="6"/>
      <c r="K464" s="51"/>
      <c r="L464" s="51"/>
      <c r="M464" s="51"/>
      <c r="N464" s="51"/>
      <c r="O464" s="51"/>
      <c r="P464" s="51"/>
      <c r="Q464" s="51"/>
      <c r="R464" s="51"/>
      <c r="S464" s="51"/>
      <c r="T464" s="51"/>
      <c r="U464" s="51"/>
      <c r="V464" s="51"/>
      <c r="W464" s="51"/>
      <c r="X464" s="51"/>
      <c r="Y464" s="51"/>
      <c r="Z464" s="51"/>
      <c r="AA464" s="51"/>
      <c r="AB464" s="51"/>
    </row>
    <row r="465" customFormat="false" ht="15.75" hidden="false" customHeight="false" outlineLevel="0" collapsed="false">
      <c r="A465" s="51"/>
      <c r="B465" s="51"/>
      <c r="C465" s="6"/>
      <c r="D465" s="49"/>
      <c r="E465" s="51"/>
      <c r="F465" s="6"/>
      <c r="G465" s="6"/>
      <c r="H465" s="6"/>
      <c r="I465" s="6"/>
      <c r="J465" s="6"/>
      <c r="K465" s="51"/>
      <c r="L465" s="51"/>
      <c r="M465" s="51"/>
      <c r="N465" s="51"/>
      <c r="O465" s="51"/>
      <c r="P465" s="51"/>
      <c r="Q465" s="51"/>
      <c r="R465" s="51"/>
      <c r="S465" s="51"/>
      <c r="T465" s="51"/>
      <c r="U465" s="51"/>
      <c r="V465" s="51"/>
      <c r="W465" s="51"/>
      <c r="X465" s="51"/>
      <c r="Y465" s="51"/>
      <c r="Z465" s="51"/>
      <c r="AA465" s="51"/>
      <c r="AB465" s="51"/>
    </row>
    <row r="466" customFormat="false" ht="15.75" hidden="false" customHeight="false" outlineLevel="0" collapsed="false">
      <c r="A466" s="51"/>
      <c r="B466" s="51"/>
      <c r="C466" s="6"/>
      <c r="D466" s="49"/>
      <c r="E466" s="51"/>
      <c r="F466" s="6"/>
      <c r="G466" s="6"/>
      <c r="H466" s="6"/>
      <c r="I466" s="6"/>
      <c r="J466" s="6"/>
      <c r="K466" s="51"/>
      <c r="L466" s="51"/>
      <c r="M466" s="51"/>
      <c r="N466" s="51"/>
      <c r="O466" s="51"/>
      <c r="P466" s="51"/>
      <c r="Q466" s="51"/>
      <c r="R466" s="51"/>
      <c r="S466" s="51"/>
      <c r="T466" s="51"/>
      <c r="U466" s="51"/>
      <c r="V466" s="51"/>
      <c r="W466" s="51"/>
      <c r="X466" s="51"/>
      <c r="Y466" s="51"/>
      <c r="Z466" s="51"/>
      <c r="AA466" s="51"/>
      <c r="AB466" s="51"/>
    </row>
    <row r="467" customFormat="false" ht="15.75" hidden="false" customHeight="false" outlineLevel="0" collapsed="false">
      <c r="A467" s="51"/>
      <c r="B467" s="51"/>
      <c r="C467" s="6"/>
      <c r="D467" s="49"/>
      <c r="E467" s="51"/>
      <c r="F467" s="6"/>
      <c r="G467" s="6"/>
      <c r="H467" s="6"/>
      <c r="I467" s="6"/>
      <c r="J467" s="6"/>
      <c r="K467" s="51"/>
      <c r="L467" s="51"/>
      <c r="M467" s="51"/>
      <c r="N467" s="51"/>
      <c r="O467" s="51"/>
      <c r="P467" s="51"/>
      <c r="Q467" s="51"/>
      <c r="R467" s="51"/>
      <c r="S467" s="51"/>
      <c r="T467" s="51"/>
      <c r="U467" s="51"/>
      <c r="V467" s="51"/>
      <c r="W467" s="51"/>
      <c r="X467" s="51"/>
      <c r="Y467" s="51"/>
      <c r="Z467" s="51"/>
      <c r="AA467" s="51"/>
      <c r="AB467" s="51"/>
    </row>
    <row r="468" customFormat="false" ht="15.75" hidden="false" customHeight="false" outlineLevel="0" collapsed="false">
      <c r="A468" s="51"/>
      <c r="B468" s="51"/>
      <c r="C468" s="6"/>
      <c r="D468" s="49"/>
      <c r="E468" s="51"/>
      <c r="F468" s="6"/>
      <c r="G468" s="6"/>
      <c r="H468" s="6"/>
      <c r="I468" s="6"/>
      <c r="J468" s="6"/>
      <c r="K468" s="51"/>
      <c r="L468" s="51"/>
      <c r="M468" s="51"/>
      <c r="N468" s="51"/>
      <c r="O468" s="51"/>
      <c r="P468" s="51"/>
      <c r="Q468" s="51"/>
      <c r="R468" s="51"/>
      <c r="S468" s="51"/>
      <c r="T468" s="51"/>
      <c r="U468" s="51"/>
      <c r="V468" s="51"/>
      <c r="W468" s="51"/>
      <c r="X468" s="51"/>
      <c r="Y468" s="51"/>
      <c r="Z468" s="51"/>
      <c r="AA468" s="51"/>
      <c r="AB468" s="51"/>
    </row>
    <row r="469" customFormat="false" ht="15.75" hidden="false" customHeight="false" outlineLevel="0" collapsed="false">
      <c r="A469" s="51"/>
      <c r="B469" s="51"/>
      <c r="C469" s="6"/>
      <c r="D469" s="49"/>
      <c r="E469" s="51"/>
      <c r="F469" s="6"/>
      <c r="G469" s="6"/>
      <c r="H469" s="6"/>
      <c r="I469" s="6"/>
      <c r="J469" s="6"/>
      <c r="K469" s="51"/>
      <c r="L469" s="51"/>
      <c r="M469" s="51"/>
      <c r="N469" s="51"/>
      <c r="O469" s="51"/>
      <c r="P469" s="51"/>
      <c r="Q469" s="51"/>
      <c r="R469" s="51"/>
      <c r="S469" s="51"/>
      <c r="T469" s="51"/>
      <c r="U469" s="51"/>
      <c r="V469" s="51"/>
      <c r="W469" s="51"/>
      <c r="X469" s="51"/>
      <c r="Y469" s="51"/>
      <c r="Z469" s="51"/>
      <c r="AA469" s="51"/>
      <c r="AB469" s="51"/>
    </row>
    <row r="470" customFormat="false" ht="15.75" hidden="false" customHeight="false" outlineLevel="0" collapsed="false">
      <c r="A470" s="51"/>
      <c r="B470" s="51"/>
      <c r="C470" s="6"/>
      <c r="D470" s="49"/>
      <c r="E470" s="51"/>
      <c r="F470" s="6"/>
      <c r="G470" s="6"/>
      <c r="H470" s="6"/>
      <c r="I470" s="6"/>
      <c r="J470" s="6"/>
      <c r="K470" s="51"/>
      <c r="L470" s="51"/>
      <c r="M470" s="51"/>
      <c r="N470" s="51"/>
      <c r="O470" s="51"/>
      <c r="P470" s="51"/>
      <c r="Q470" s="51"/>
      <c r="R470" s="51"/>
      <c r="S470" s="51"/>
      <c r="T470" s="51"/>
      <c r="U470" s="51"/>
      <c r="V470" s="51"/>
      <c r="W470" s="51"/>
      <c r="X470" s="51"/>
      <c r="Y470" s="51"/>
      <c r="Z470" s="51"/>
      <c r="AA470" s="51"/>
      <c r="AB470" s="51"/>
    </row>
    <row r="471" customFormat="false" ht="15.75" hidden="false" customHeight="false" outlineLevel="0" collapsed="false">
      <c r="A471" s="51"/>
      <c r="B471" s="51"/>
      <c r="C471" s="6"/>
      <c r="D471" s="49"/>
      <c r="E471" s="51"/>
      <c r="F471" s="6"/>
      <c r="G471" s="6"/>
      <c r="H471" s="6"/>
      <c r="I471" s="6"/>
      <c r="J471" s="6"/>
      <c r="K471" s="51"/>
      <c r="L471" s="51"/>
      <c r="M471" s="51"/>
      <c r="N471" s="51"/>
      <c r="O471" s="51"/>
      <c r="P471" s="51"/>
      <c r="Q471" s="51"/>
      <c r="R471" s="51"/>
      <c r="S471" s="51"/>
      <c r="T471" s="51"/>
      <c r="U471" s="51"/>
      <c r="V471" s="51"/>
      <c r="W471" s="51"/>
      <c r="X471" s="51"/>
      <c r="Y471" s="51"/>
      <c r="Z471" s="51"/>
      <c r="AA471" s="51"/>
      <c r="AB471" s="51"/>
    </row>
    <row r="472" customFormat="false" ht="15.75" hidden="false" customHeight="false" outlineLevel="0" collapsed="false">
      <c r="A472" s="51"/>
      <c r="B472" s="51"/>
      <c r="C472" s="6"/>
      <c r="D472" s="49"/>
      <c r="E472" s="51"/>
      <c r="F472" s="6"/>
      <c r="G472" s="6"/>
      <c r="H472" s="6"/>
      <c r="I472" s="6"/>
      <c r="J472" s="6"/>
      <c r="K472" s="51"/>
      <c r="L472" s="51"/>
      <c r="M472" s="51"/>
      <c r="N472" s="51"/>
      <c r="O472" s="51"/>
      <c r="P472" s="51"/>
      <c r="Q472" s="51"/>
      <c r="R472" s="51"/>
      <c r="S472" s="51"/>
      <c r="T472" s="51"/>
      <c r="U472" s="51"/>
      <c r="V472" s="51"/>
      <c r="W472" s="51"/>
      <c r="X472" s="51"/>
      <c r="Y472" s="51"/>
      <c r="Z472" s="51"/>
      <c r="AA472" s="51"/>
      <c r="AB472" s="51"/>
    </row>
    <row r="473" customFormat="false" ht="15.75" hidden="false" customHeight="false" outlineLevel="0" collapsed="false">
      <c r="A473" s="51"/>
      <c r="B473" s="51"/>
      <c r="C473" s="6"/>
      <c r="D473" s="49"/>
      <c r="E473" s="51"/>
      <c r="F473" s="6"/>
      <c r="G473" s="6"/>
      <c r="H473" s="6"/>
      <c r="I473" s="6"/>
      <c r="J473" s="6"/>
      <c r="K473" s="51"/>
      <c r="L473" s="51"/>
      <c r="M473" s="51"/>
      <c r="N473" s="51"/>
      <c r="O473" s="51"/>
      <c r="P473" s="51"/>
      <c r="Q473" s="51"/>
      <c r="R473" s="51"/>
      <c r="S473" s="51"/>
      <c r="T473" s="51"/>
      <c r="U473" s="51"/>
      <c r="V473" s="51"/>
      <c r="W473" s="51"/>
      <c r="X473" s="51"/>
      <c r="Y473" s="51"/>
      <c r="Z473" s="51"/>
      <c r="AA473" s="51"/>
      <c r="AB473" s="51"/>
    </row>
    <row r="474" customFormat="false" ht="15.75" hidden="false" customHeight="false" outlineLevel="0" collapsed="false">
      <c r="A474" s="51"/>
      <c r="B474" s="51"/>
      <c r="C474" s="6"/>
      <c r="D474" s="49"/>
      <c r="E474" s="51"/>
      <c r="F474" s="6"/>
      <c r="G474" s="6"/>
      <c r="H474" s="6"/>
      <c r="I474" s="6"/>
      <c r="J474" s="6"/>
      <c r="K474" s="51"/>
      <c r="L474" s="51"/>
      <c r="M474" s="51"/>
      <c r="N474" s="51"/>
      <c r="O474" s="51"/>
      <c r="P474" s="51"/>
      <c r="Q474" s="51"/>
      <c r="R474" s="51"/>
      <c r="S474" s="51"/>
      <c r="T474" s="51"/>
      <c r="U474" s="51"/>
      <c r="V474" s="51"/>
      <c r="W474" s="51"/>
      <c r="X474" s="51"/>
      <c r="Y474" s="51"/>
      <c r="Z474" s="51"/>
      <c r="AA474" s="51"/>
      <c r="AB474" s="51"/>
    </row>
    <row r="475" customFormat="false" ht="15.75" hidden="false" customHeight="false" outlineLevel="0" collapsed="false">
      <c r="A475" s="51"/>
      <c r="B475" s="51"/>
      <c r="C475" s="6"/>
      <c r="D475" s="49"/>
      <c r="E475" s="51"/>
      <c r="F475" s="6"/>
      <c r="G475" s="6"/>
      <c r="H475" s="6"/>
      <c r="I475" s="6"/>
      <c r="J475" s="6"/>
      <c r="K475" s="51"/>
      <c r="L475" s="51"/>
      <c r="M475" s="51"/>
      <c r="N475" s="51"/>
      <c r="O475" s="51"/>
      <c r="P475" s="51"/>
      <c r="Q475" s="51"/>
      <c r="R475" s="51"/>
      <c r="S475" s="51"/>
      <c r="T475" s="51"/>
      <c r="U475" s="51"/>
      <c r="V475" s="51"/>
      <c r="W475" s="51"/>
      <c r="X475" s="51"/>
      <c r="Y475" s="51"/>
      <c r="Z475" s="51"/>
      <c r="AA475" s="51"/>
      <c r="AB475" s="51"/>
    </row>
    <row r="476" customFormat="false" ht="15.75" hidden="false" customHeight="false" outlineLevel="0" collapsed="false">
      <c r="A476" s="51"/>
      <c r="B476" s="51"/>
      <c r="C476" s="6"/>
      <c r="D476" s="49"/>
      <c r="E476" s="51"/>
      <c r="F476" s="6"/>
      <c r="G476" s="6"/>
      <c r="H476" s="6"/>
      <c r="I476" s="6"/>
      <c r="J476" s="6"/>
      <c r="K476" s="51"/>
      <c r="L476" s="51"/>
      <c r="M476" s="51"/>
      <c r="N476" s="51"/>
      <c r="O476" s="51"/>
      <c r="P476" s="51"/>
      <c r="Q476" s="51"/>
      <c r="R476" s="51"/>
      <c r="S476" s="51"/>
      <c r="T476" s="51"/>
      <c r="U476" s="51"/>
      <c r="V476" s="51"/>
      <c r="W476" s="51"/>
      <c r="X476" s="51"/>
      <c r="Y476" s="51"/>
      <c r="Z476" s="51"/>
      <c r="AA476" s="51"/>
      <c r="AB476" s="51"/>
    </row>
    <row r="477" customFormat="false" ht="15.75" hidden="false" customHeight="false" outlineLevel="0" collapsed="false">
      <c r="A477" s="51"/>
      <c r="B477" s="51"/>
      <c r="C477" s="6"/>
      <c r="D477" s="49"/>
      <c r="E477" s="51"/>
      <c r="F477" s="6"/>
      <c r="G477" s="6"/>
      <c r="H477" s="6"/>
      <c r="I477" s="6"/>
      <c r="J477" s="6"/>
      <c r="K477" s="51"/>
      <c r="L477" s="51"/>
      <c r="M477" s="51"/>
      <c r="N477" s="51"/>
      <c r="O477" s="51"/>
      <c r="P477" s="51"/>
      <c r="Q477" s="51"/>
      <c r="R477" s="51"/>
      <c r="S477" s="51"/>
      <c r="T477" s="51"/>
      <c r="U477" s="51"/>
      <c r="V477" s="51"/>
      <c r="W477" s="51"/>
      <c r="X477" s="51"/>
      <c r="Y477" s="51"/>
      <c r="Z477" s="51"/>
      <c r="AA477" s="51"/>
      <c r="AB477" s="51"/>
    </row>
    <row r="478" customFormat="false" ht="15.75" hidden="false" customHeight="false" outlineLevel="0" collapsed="false">
      <c r="A478" s="51"/>
      <c r="B478" s="51"/>
      <c r="C478" s="6"/>
      <c r="D478" s="49"/>
      <c r="E478" s="51"/>
      <c r="F478" s="6"/>
      <c r="G478" s="6"/>
      <c r="H478" s="6"/>
      <c r="I478" s="6"/>
      <c r="J478" s="6"/>
      <c r="K478" s="51"/>
      <c r="L478" s="51"/>
      <c r="M478" s="51"/>
      <c r="N478" s="51"/>
      <c r="O478" s="51"/>
      <c r="P478" s="51"/>
      <c r="Q478" s="51"/>
      <c r="R478" s="51"/>
      <c r="S478" s="51"/>
      <c r="T478" s="51"/>
      <c r="U478" s="51"/>
      <c r="V478" s="51"/>
      <c r="W478" s="51"/>
      <c r="X478" s="51"/>
      <c r="Y478" s="51"/>
      <c r="Z478" s="51"/>
      <c r="AA478" s="51"/>
      <c r="AB478" s="51"/>
    </row>
    <row r="479" customFormat="false" ht="15.75" hidden="false" customHeight="false" outlineLevel="0" collapsed="false">
      <c r="A479" s="51"/>
      <c r="B479" s="51"/>
      <c r="C479" s="6"/>
      <c r="D479" s="49"/>
      <c r="E479" s="51"/>
      <c r="F479" s="6"/>
      <c r="G479" s="6"/>
      <c r="H479" s="6"/>
      <c r="I479" s="6"/>
      <c r="J479" s="6"/>
      <c r="K479" s="51"/>
      <c r="L479" s="51"/>
      <c r="M479" s="51"/>
      <c r="N479" s="51"/>
      <c r="O479" s="51"/>
      <c r="P479" s="51"/>
      <c r="Q479" s="51"/>
      <c r="R479" s="51"/>
      <c r="S479" s="51"/>
      <c r="T479" s="51"/>
      <c r="U479" s="51"/>
      <c r="V479" s="51"/>
      <c r="W479" s="51"/>
      <c r="X479" s="51"/>
      <c r="Y479" s="51"/>
      <c r="Z479" s="51"/>
      <c r="AA479" s="51"/>
      <c r="AB479" s="51"/>
    </row>
    <row r="480" customFormat="false" ht="15.75" hidden="false" customHeight="false" outlineLevel="0" collapsed="false">
      <c r="A480" s="51"/>
      <c r="B480" s="51"/>
      <c r="C480" s="6"/>
      <c r="D480" s="49"/>
      <c r="E480" s="51"/>
      <c r="F480" s="6"/>
      <c r="G480" s="6"/>
      <c r="H480" s="6"/>
      <c r="I480" s="6"/>
      <c r="J480" s="6"/>
      <c r="K480" s="51"/>
      <c r="L480" s="51"/>
      <c r="M480" s="51"/>
      <c r="N480" s="51"/>
      <c r="O480" s="51"/>
      <c r="P480" s="51"/>
      <c r="Q480" s="51"/>
      <c r="R480" s="51"/>
      <c r="S480" s="51"/>
      <c r="T480" s="51"/>
      <c r="U480" s="51"/>
      <c r="V480" s="51"/>
      <c r="W480" s="51"/>
      <c r="X480" s="51"/>
      <c r="Y480" s="51"/>
      <c r="Z480" s="51"/>
      <c r="AA480" s="51"/>
      <c r="AB480" s="51"/>
    </row>
    <row r="481" customFormat="false" ht="15.75" hidden="false" customHeight="false" outlineLevel="0" collapsed="false">
      <c r="A481" s="51"/>
      <c r="B481" s="51"/>
      <c r="C481" s="6"/>
      <c r="D481" s="49"/>
      <c r="E481" s="51"/>
      <c r="F481" s="6"/>
      <c r="G481" s="6"/>
      <c r="H481" s="6"/>
      <c r="I481" s="6"/>
      <c r="J481" s="6"/>
      <c r="K481" s="51"/>
      <c r="L481" s="51"/>
      <c r="M481" s="51"/>
      <c r="N481" s="51"/>
      <c r="O481" s="51"/>
      <c r="P481" s="51"/>
      <c r="Q481" s="51"/>
      <c r="R481" s="51"/>
      <c r="S481" s="51"/>
      <c r="T481" s="51"/>
      <c r="U481" s="51"/>
      <c r="V481" s="51"/>
      <c r="W481" s="51"/>
      <c r="X481" s="51"/>
      <c r="Y481" s="51"/>
      <c r="Z481" s="51"/>
      <c r="AA481" s="51"/>
      <c r="AB481" s="51"/>
    </row>
    <row r="482" customFormat="false" ht="15.75" hidden="false" customHeight="false" outlineLevel="0" collapsed="false">
      <c r="A482" s="51"/>
      <c r="B482" s="51"/>
      <c r="C482" s="6"/>
      <c r="D482" s="49"/>
      <c r="E482" s="51"/>
      <c r="F482" s="6"/>
      <c r="G482" s="6"/>
      <c r="H482" s="6"/>
      <c r="I482" s="6"/>
      <c r="J482" s="6"/>
      <c r="K482" s="51"/>
      <c r="L482" s="51"/>
      <c r="M482" s="51"/>
      <c r="N482" s="51"/>
      <c r="O482" s="51"/>
      <c r="P482" s="51"/>
      <c r="Q482" s="51"/>
      <c r="R482" s="51"/>
      <c r="S482" s="51"/>
      <c r="T482" s="51"/>
      <c r="U482" s="51"/>
      <c r="V482" s="51"/>
      <c r="W482" s="51"/>
      <c r="X482" s="51"/>
      <c r="Y482" s="51"/>
      <c r="Z482" s="51"/>
      <c r="AA482" s="51"/>
      <c r="AB482" s="51"/>
    </row>
    <row r="483" customFormat="false" ht="15.75" hidden="false" customHeight="false" outlineLevel="0" collapsed="false">
      <c r="A483" s="51"/>
      <c r="B483" s="51"/>
      <c r="C483" s="6"/>
      <c r="D483" s="49"/>
      <c r="E483" s="51"/>
      <c r="F483" s="6"/>
      <c r="G483" s="6"/>
      <c r="H483" s="6"/>
      <c r="I483" s="6"/>
      <c r="J483" s="6"/>
      <c r="K483" s="51"/>
      <c r="L483" s="51"/>
      <c r="M483" s="51"/>
      <c r="N483" s="51"/>
      <c r="O483" s="51"/>
      <c r="P483" s="51"/>
      <c r="Q483" s="51"/>
      <c r="R483" s="51"/>
      <c r="S483" s="51"/>
      <c r="T483" s="51"/>
      <c r="U483" s="51"/>
      <c r="V483" s="51"/>
      <c r="W483" s="51"/>
      <c r="X483" s="51"/>
      <c r="Y483" s="51"/>
      <c r="Z483" s="51"/>
      <c r="AA483" s="51"/>
      <c r="AB483" s="51"/>
    </row>
    <row r="484" customFormat="false" ht="15.75" hidden="false" customHeight="false" outlineLevel="0" collapsed="false">
      <c r="A484" s="51"/>
      <c r="B484" s="51"/>
      <c r="C484" s="6"/>
      <c r="D484" s="49"/>
      <c r="E484" s="51"/>
      <c r="F484" s="6"/>
      <c r="G484" s="6"/>
      <c r="H484" s="6"/>
      <c r="I484" s="6"/>
      <c r="J484" s="6"/>
      <c r="K484" s="51"/>
      <c r="L484" s="51"/>
      <c r="M484" s="51"/>
      <c r="N484" s="51"/>
      <c r="O484" s="51"/>
      <c r="P484" s="51"/>
      <c r="Q484" s="51"/>
      <c r="R484" s="51"/>
      <c r="S484" s="51"/>
      <c r="T484" s="51"/>
      <c r="U484" s="51"/>
      <c r="V484" s="51"/>
      <c r="W484" s="51"/>
      <c r="X484" s="51"/>
      <c r="Y484" s="51"/>
      <c r="Z484" s="51"/>
      <c r="AA484" s="51"/>
      <c r="AB484" s="51"/>
    </row>
    <row r="485" customFormat="false" ht="15.75" hidden="false" customHeight="false" outlineLevel="0" collapsed="false">
      <c r="A485" s="51"/>
      <c r="B485" s="51"/>
      <c r="C485" s="6"/>
      <c r="D485" s="49"/>
      <c r="E485" s="51"/>
      <c r="F485" s="6"/>
      <c r="G485" s="6"/>
      <c r="H485" s="6"/>
      <c r="I485" s="6"/>
      <c r="J485" s="6"/>
      <c r="K485" s="51"/>
      <c r="L485" s="51"/>
      <c r="M485" s="51"/>
      <c r="N485" s="51"/>
      <c r="O485" s="51"/>
      <c r="P485" s="51"/>
      <c r="Q485" s="51"/>
      <c r="R485" s="51"/>
      <c r="S485" s="51"/>
      <c r="T485" s="51"/>
      <c r="U485" s="51"/>
      <c r="V485" s="51"/>
      <c r="W485" s="51"/>
      <c r="X485" s="51"/>
      <c r="Y485" s="51"/>
      <c r="Z485" s="51"/>
      <c r="AA485" s="51"/>
      <c r="AB485" s="51"/>
    </row>
    <row r="486" customFormat="false" ht="15.75" hidden="false" customHeight="false" outlineLevel="0" collapsed="false">
      <c r="A486" s="51"/>
      <c r="B486" s="51"/>
      <c r="C486" s="6"/>
      <c r="D486" s="49"/>
      <c r="E486" s="51"/>
      <c r="F486" s="6"/>
      <c r="G486" s="6"/>
      <c r="H486" s="6"/>
      <c r="I486" s="6"/>
      <c r="J486" s="6"/>
      <c r="K486" s="51"/>
      <c r="L486" s="51"/>
      <c r="M486" s="51"/>
      <c r="N486" s="51"/>
      <c r="O486" s="51"/>
      <c r="P486" s="51"/>
      <c r="Q486" s="51"/>
      <c r="R486" s="51"/>
      <c r="S486" s="51"/>
      <c r="T486" s="51"/>
      <c r="U486" s="51"/>
      <c r="V486" s="51"/>
      <c r="W486" s="51"/>
      <c r="X486" s="51"/>
      <c r="Y486" s="51"/>
      <c r="Z486" s="51"/>
      <c r="AA486" s="51"/>
      <c r="AB486" s="51"/>
    </row>
    <row r="487" customFormat="false" ht="15.75" hidden="false" customHeight="false" outlineLevel="0" collapsed="false">
      <c r="A487" s="51"/>
      <c r="B487" s="51"/>
      <c r="C487" s="6"/>
      <c r="D487" s="49"/>
      <c r="E487" s="51"/>
      <c r="F487" s="6"/>
      <c r="G487" s="6"/>
      <c r="H487" s="6"/>
      <c r="I487" s="6"/>
      <c r="J487" s="6"/>
      <c r="K487" s="51"/>
      <c r="L487" s="51"/>
      <c r="M487" s="51"/>
      <c r="N487" s="51"/>
      <c r="O487" s="51"/>
      <c r="P487" s="51"/>
      <c r="Q487" s="51"/>
      <c r="R487" s="51"/>
      <c r="S487" s="51"/>
      <c r="T487" s="51"/>
      <c r="U487" s="51"/>
      <c r="V487" s="51"/>
      <c r="W487" s="51"/>
      <c r="X487" s="51"/>
      <c r="Y487" s="51"/>
      <c r="Z487" s="51"/>
      <c r="AA487" s="51"/>
      <c r="AB487" s="51"/>
    </row>
    <row r="488" customFormat="false" ht="15.75" hidden="false" customHeight="false" outlineLevel="0" collapsed="false">
      <c r="A488" s="51"/>
      <c r="B488" s="51"/>
      <c r="C488" s="6"/>
      <c r="D488" s="49"/>
      <c r="E488" s="51"/>
      <c r="F488" s="6"/>
      <c r="G488" s="6"/>
      <c r="H488" s="6"/>
      <c r="I488" s="6"/>
      <c r="J488" s="6"/>
      <c r="K488" s="51"/>
      <c r="L488" s="51"/>
      <c r="M488" s="51"/>
      <c r="N488" s="51"/>
      <c r="O488" s="51"/>
      <c r="P488" s="51"/>
      <c r="Q488" s="51"/>
      <c r="R488" s="51"/>
      <c r="S488" s="51"/>
      <c r="T488" s="51"/>
      <c r="U488" s="51"/>
      <c r="V488" s="51"/>
      <c r="W488" s="51"/>
      <c r="X488" s="51"/>
      <c r="Y488" s="51"/>
      <c r="Z488" s="51"/>
      <c r="AA488" s="51"/>
      <c r="AB488" s="51"/>
    </row>
    <row r="489" customFormat="false" ht="15.75" hidden="false" customHeight="false" outlineLevel="0" collapsed="false">
      <c r="A489" s="51"/>
      <c r="B489" s="51"/>
      <c r="C489" s="6"/>
      <c r="D489" s="49"/>
      <c r="E489" s="51"/>
      <c r="F489" s="6"/>
      <c r="G489" s="6"/>
      <c r="H489" s="6"/>
      <c r="I489" s="6"/>
      <c r="J489" s="6"/>
      <c r="K489" s="51"/>
      <c r="L489" s="51"/>
      <c r="M489" s="51"/>
      <c r="N489" s="51"/>
      <c r="O489" s="51"/>
      <c r="P489" s="51"/>
      <c r="Q489" s="51"/>
      <c r="R489" s="51"/>
      <c r="S489" s="51"/>
      <c r="T489" s="51"/>
      <c r="U489" s="51"/>
      <c r="V489" s="51"/>
      <c r="W489" s="51"/>
      <c r="X489" s="51"/>
      <c r="Y489" s="51"/>
      <c r="Z489" s="51"/>
      <c r="AA489" s="51"/>
      <c r="AB489" s="51"/>
    </row>
    <row r="490" customFormat="false" ht="15.75" hidden="false" customHeight="false" outlineLevel="0" collapsed="false">
      <c r="A490" s="51"/>
      <c r="B490" s="51"/>
      <c r="C490" s="6"/>
      <c r="D490" s="49"/>
      <c r="E490" s="51"/>
      <c r="F490" s="6"/>
      <c r="G490" s="6"/>
      <c r="H490" s="6"/>
      <c r="I490" s="6"/>
      <c r="J490" s="6"/>
      <c r="K490" s="51"/>
      <c r="L490" s="51"/>
      <c r="M490" s="51"/>
      <c r="N490" s="51"/>
      <c r="O490" s="51"/>
      <c r="P490" s="51"/>
      <c r="Q490" s="51"/>
      <c r="R490" s="51"/>
      <c r="S490" s="51"/>
      <c r="T490" s="51"/>
      <c r="U490" s="51"/>
      <c r="V490" s="51"/>
      <c r="W490" s="51"/>
      <c r="X490" s="51"/>
      <c r="Y490" s="51"/>
      <c r="Z490" s="51"/>
      <c r="AA490" s="51"/>
      <c r="AB490" s="51"/>
    </row>
    <row r="491" customFormat="false" ht="15.75" hidden="false" customHeight="false" outlineLevel="0" collapsed="false">
      <c r="A491" s="51"/>
      <c r="B491" s="51"/>
      <c r="C491" s="6"/>
      <c r="D491" s="49"/>
      <c r="E491" s="51"/>
      <c r="F491" s="6"/>
      <c r="G491" s="6"/>
      <c r="H491" s="6"/>
      <c r="I491" s="6"/>
      <c r="J491" s="6"/>
      <c r="K491" s="51"/>
      <c r="L491" s="51"/>
      <c r="M491" s="51"/>
      <c r="N491" s="51"/>
      <c r="O491" s="51"/>
      <c r="P491" s="51"/>
      <c r="Q491" s="51"/>
      <c r="R491" s="51"/>
      <c r="S491" s="51"/>
      <c r="T491" s="51"/>
      <c r="U491" s="51"/>
      <c r="V491" s="51"/>
      <c r="W491" s="51"/>
      <c r="X491" s="51"/>
      <c r="Y491" s="51"/>
      <c r="Z491" s="51"/>
      <c r="AA491" s="51"/>
      <c r="AB491" s="51"/>
    </row>
    <row r="492" customFormat="false" ht="15.75" hidden="false" customHeight="false" outlineLevel="0" collapsed="false">
      <c r="A492" s="51"/>
      <c r="B492" s="51"/>
      <c r="C492" s="6"/>
      <c r="D492" s="49"/>
      <c r="E492" s="51"/>
      <c r="F492" s="6"/>
      <c r="G492" s="6"/>
      <c r="H492" s="6"/>
      <c r="I492" s="6"/>
      <c r="J492" s="6"/>
      <c r="K492" s="51"/>
      <c r="L492" s="51"/>
      <c r="M492" s="51"/>
      <c r="N492" s="51"/>
      <c r="O492" s="51"/>
      <c r="P492" s="51"/>
      <c r="Q492" s="51"/>
      <c r="R492" s="51"/>
      <c r="S492" s="51"/>
      <c r="T492" s="51"/>
      <c r="U492" s="51"/>
      <c r="V492" s="51"/>
      <c r="W492" s="51"/>
      <c r="X492" s="51"/>
      <c r="Y492" s="51"/>
      <c r="Z492" s="51"/>
      <c r="AA492" s="51"/>
      <c r="AB492" s="51"/>
    </row>
    <row r="493" customFormat="false" ht="15.75" hidden="false" customHeight="false" outlineLevel="0" collapsed="false">
      <c r="A493" s="51"/>
      <c r="B493" s="51"/>
      <c r="C493" s="6"/>
      <c r="D493" s="49"/>
      <c r="E493" s="51"/>
      <c r="F493" s="6"/>
      <c r="G493" s="6"/>
      <c r="H493" s="6"/>
      <c r="I493" s="6"/>
      <c r="J493" s="6"/>
      <c r="K493" s="51"/>
      <c r="L493" s="51"/>
      <c r="M493" s="51"/>
      <c r="N493" s="51"/>
      <c r="O493" s="51"/>
      <c r="P493" s="51"/>
      <c r="Q493" s="51"/>
      <c r="R493" s="51"/>
      <c r="S493" s="51"/>
      <c r="T493" s="51"/>
      <c r="U493" s="51"/>
      <c r="V493" s="51"/>
      <c r="W493" s="51"/>
      <c r="X493" s="51"/>
      <c r="Y493" s="51"/>
      <c r="Z493" s="51"/>
      <c r="AA493" s="51"/>
      <c r="AB493" s="51"/>
    </row>
    <row r="494" customFormat="false" ht="15.75" hidden="false" customHeight="false" outlineLevel="0" collapsed="false">
      <c r="A494" s="51"/>
      <c r="B494" s="51"/>
      <c r="C494" s="6"/>
      <c r="D494" s="49"/>
      <c r="E494" s="51"/>
      <c r="F494" s="6"/>
      <c r="G494" s="6"/>
      <c r="H494" s="6"/>
      <c r="I494" s="6"/>
      <c r="J494" s="6"/>
      <c r="K494" s="51"/>
      <c r="L494" s="51"/>
      <c r="M494" s="51"/>
      <c r="N494" s="51"/>
      <c r="O494" s="51"/>
      <c r="P494" s="51"/>
      <c r="Q494" s="51"/>
      <c r="R494" s="51"/>
      <c r="S494" s="51"/>
      <c r="T494" s="51"/>
      <c r="U494" s="51"/>
      <c r="V494" s="51"/>
      <c r="W494" s="51"/>
      <c r="X494" s="51"/>
      <c r="Y494" s="51"/>
      <c r="Z494" s="51"/>
      <c r="AA494" s="51"/>
      <c r="AB494" s="51"/>
    </row>
    <row r="495" customFormat="false" ht="15.75" hidden="false" customHeight="false" outlineLevel="0" collapsed="false">
      <c r="A495" s="51"/>
      <c r="B495" s="51"/>
      <c r="C495" s="6"/>
      <c r="D495" s="49"/>
      <c r="E495" s="51"/>
      <c r="F495" s="6"/>
      <c r="G495" s="6"/>
      <c r="H495" s="6"/>
      <c r="I495" s="6"/>
      <c r="J495" s="6"/>
      <c r="K495" s="51"/>
      <c r="L495" s="51"/>
      <c r="M495" s="51"/>
      <c r="N495" s="51"/>
      <c r="O495" s="51"/>
      <c r="P495" s="51"/>
      <c r="Q495" s="51"/>
      <c r="R495" s="51"/>
      <c r="S495" s="51"/>
      <c r="T495" s="51"/>
      <c r="U495" s="51"/>
      <c r="V495" s="51"/>
      <c r="W495" s="51"/>
      <c r="X495" s="51"/>
      <c r="Y495" s="51"/>
      <c r="Z495" s="51"/>
      <c r="AA495" s="51"/>
      <c r="AB495" s="51"/>
    </row>
    <row r="496" customFormat="false" ht="15.75" hidden="false" customHeight="false" outlineLevel="0" collapsed="false">
      <c r="A496" s="51"/>
      <c r="B496" s="51"/>
      <c r="C496" s="6"/>
      <c r="D496" s="49"/>
      <c r="E496" s="51"/>
      <c r="F496" s="6"/>
      <c r="G496" s="6"/>
      <c r="H496" s="6"/>
      <c r="I496" s="6"/>
      <c r="J496" s="6"/>
      <c r="K496" s="51"/>
      <c r="L496" s="51"/>
      <c r="M496" s="51"/>
      <c r="N496" s="51"/>
      <c r="O496" s="51"/>
      <c r="P496" s="51"/>
      <c r="Q496" s="51"/>
      <c r="R496" s="51"/>
      <c r="S496" s="51"/>
      <c r="T496" s="51"/>
      <c r="U496" s="51"/>
      <c r="V496" s="51"/>
      <c r="W496" s="51"/>
      <c r="X496" s="51"/>
      <c r="Y496" s="51"/>
      <c r="Z496" s="51"/>
      <c r="AA496" s="51"/>
      <c r="AB496" s="51"/>
    </row>
    <row r="497" customFormat="false" ht="15.75" hidden="false" customHeight="false" outlineLevel="0" collapsed="false">
      <c r="A497" s="51"/>
      <c r="B497" s="51"/>
      <c r="C497" s="6"/>
      <c r="D497" s="49"/>
      <c r="E497" s="51"/>
      <c r="F497" s="6"/>
      <c r="G497" s="6"/>
      <c r="H497" s="6"/>
      <c r="I497" s="6"/>
      <c r="J497" s="6"/>
      <c r="K497" s="51"/>
      <c r="L497" s="51"/>
      <c r="M497" s="51"/>
      <c r="N497" s="51"/>
      <c r="O497" s="51"/>
      <c r="P497" s="51"/>
      <c r="Q497" s="51"/>
      <c r="R497" s="51"/>
      <c r="S497" s="51"/>
      <c r="T497" s="51"/>
      <c r="U497" s="51"/>
      <c r="V497" s="51"/>
      <c r="W497" s="51"/>
      <c r="X497" s="51"/>
      <c r="Y497" s="51"/>
      <c r="Z497" s="51"/>
      <c r="AA497" s="51"/>
      <c r="AB497" s="51"/>
    </row>
    <row r="498" customFormat="false" ht="15.75" hidden="false" customHeight="false" outlineLevel="0" collapsed="false">
      <c r="A498" s="51"/>
      <c r="B498" s="51"/>
      <c r="C498" s="6"/>
      <c r="D498" s="49"/>
      <c r="E498" s="51"/>
      <c r="F498" s="6"/>
      <c r="G498" s="6"/>
      <c r="H498" s="6"/>
      <c r="I498" s="6"/>
      <c r="J498" s="6"/>
      <c r="K498" s="51"/>
      <c r="L498" s="51"/>
      <c r="M498" s="51"/>
      <c r="N498" s="51"/>
      <c r="O498" s="51"/>
      <c r="P498" s="51"/>
      <c r="Q498" s="51"/>
      <c r="R498" s="51"/>
      <c r="S498" s="51"/>
      <c r="T498" s="51"/>
      <c r="U498" s="51"/>
      <c r="V498" s="51"/>
      <c r="W498" s="51"/>
      <c r="X498" s="51"/>
      <c r="Y498" s="51"/>
      <c r="Z498" s="51"/>
      <c r="AA498" s="51"/>
      <c r="AB498" s="51"/>
    </row>
    <row r="499" customFormat="false" ht="15.75" hidden="false" customHeight="false" outlineLevel="0" collapsed="false">
      <c r="A499" s="51"/>
      <c r="B499" s="51"/>
      <c r="C499" s="6"/>
      <c r="D499" s="49"/>
      <c r="E499" s="51"/>
      <c r="F499" s="6"/>
      <c r="G499" s="6"/>
      <c r="H499" s="6"/>
      <c r="I499" s="6"/>
      <c r="J499" s="6"/>
      <c r="K499" s="51"/>
      <c r="L499" s="51"/>
      <c r="M499" s="51"/>
      <c r="N499" s="51"/>
      <c r="O499" s="51"/>
      <c r="P499" s="51"/>
      <c r="Q499" s="51"/>
      <c r="R499" s="51"/>
      <c r="S499" s="51"/>
      <c r="T499" s="51"/>
      <c r="U499" s="51"/>
      <c r="V499" s="51"/>
      <c r="W499" s="51"/>
      <c r="X499" s="51"/>
      <c r="Y499" s="51"/>
      <c r="Z499" s="51"/>
      <c r="AA499" s="51"/>
      <c r="AB499" s="51"/>
    </row>
    <row r="500" customFormat="false" ht="15.75" hidden="false" customHeight="false" outlineLevel="0" collapsed="false">
      <c r="A500" s="51"/>
      <c r="B500" s="51"/>
      <c r="C500" s="6"/>
      <c r="D500" s="49"/>
      <c r="E500" s="51"/>
      <c r="F500" s="6"/>
      <c r="G500" s="6"/>
      <c r="H500" s="6"/>
      <c r="I500" s="6"/>
      <c r="J500" s="6"/>
      <c r="K500" s="51"/>
      <c r="L500" s="51"/>
      <c r="M500" s="51"/>
      <c r="N500" s="51"/>
      <c r="O500" s="51"/>
      <c r="P500" s="51"/>
      <c r="Q500" s="51"/>
      <c r="R500" s="51"/>
      <c r="S500" s="51"/>
      <c r="T500" s="51"/>
      <c r="U500" s="51"/>
      <c r="V500" s="51"/>
      <c r="W500" s="51"/>
      <c r="X500" s="51"/>
      <c r="Y500" s="51"/>
      <c r="Z500" s="51"/>
      <c r="AA500" s="51"/>
      <c r="AB500" s="51"/>
    </row>
    <row r="501" customFormat="false" ht="15.75" hidden="false" customHeight="false" outlineLevel="0" collapsed="false">
      <c r="A501" s="51"/>
      <c r="B501" s="51"/>
      <c r="C501" s="6"/>
      <c r="D501" s="49"/>
      <c r="E501" s="51"/>
      <c r="F501" s="6"/>
      <c r="G501" s="6"/>
      <c r="H501" s="6"/>
      <c r="I501" s="6"/>
      <c r="J501" s="6"/>
      <c r="K501" s="51"/>
      <c r="L501" s="51"/>
      <c r="M501" s="51"/>
      <c r="N501" s="51"/>
      <c r="O501" s="51"/>
      <c r="P501" s="51"/>
      <c r="Q501" s="51"/>
      <c r="R501" s="51"/>
      <c r="S501" s="51"/>
      <c r="T501" s="51"/>
      <c r="U501" s="51"/>
      <c r="V501" s="51"/>
      <c r="W501" s="51"/>
      <c r="X501" s="51"/>
      <c r="Y501" s="51"/>
      <c r="Z501" s="51"/>
      <c r="AA501" s="51"/>
      <c r="AB501" s="51"/>
    </row>
    <row r="502" customFormat="false" ht="15.75" hidden="false" customHeight="false" outlineLevel="0" collapsed="false">
      <c r="A502" s="51"/>
      <c r="B502" s="51"/>
      <c r="C502" s="6"/>
      <c r="D502" s="49"/>
      <c r="E502" s="51"/>
      <c r="F502" s="6"/>
      <c r="G502" s="6"/>
      <c r="H502" s="6"/>
      <c r="I502" s="6"/>
      <c r="J502" s="6"/>
      <c r="K502" s="51"/>
      <c r="L502" s="51"/>
      <c r="M502" s="51"/>
      <c r="N502" s="51"/>
      <c r="O502" s="51"/>
      <c r="P502" s="51"/>
      <c r="Q502" s="51"/>
      <c r="R502" s="51"/>
      <c r="S502" s="51"/>
      <c r="T502" s="51"/>
      <c r="U502" s="51"/>
      <c r="V502" s="51"/>
      <c r="W502" s="51"/>
      <c r="X502" s="51"/>
      <c r="Y502" s="51"/>
      <c r="Z502" s="51"/>
      <c r="AA502" s="51"/>
      <c r="AB502" s="51"/>
    </row>
    <row r="503" customFormat="false" ht="15.75" hidden="false" customHeight="false" outlineLevel="0" collapsed="false">
      <c r="A503" s="51"/>
      <c r="B503" s="51"/>
      <c r="C503" s="6"/>
      <c r="D503" s="49"/>
      <c r="E503" s="51"/>
      <c r="F503" s="6"/>
      <c r="G503" s="6"/>
      <c r="H503" s="6"/>
      <c r="I503" s="6"/>
      <c r="J503" s="6"/>
      <c r="K503" s="51"/>
      <c r="L503" s="51"/>
      <c r="M503" s="51"/>
      <c r="N503" s="51"/>
      <c r="O503" s="51"/>
      <c r="P503" s="51"/>
      <c r="Q503" s="51"/>
      <c r="R503" s="51"/>
      <c r="S503" s="51"/>
      <c r="T503" s="51"/>
      <c r="U503" s="51"/>
      <c r="V503" s="51"/>
      <c r="W503" s="51"/>
      <c r="X503" s="51"/>
      <c r="Y503" s="51"/>
      <c r="Z503" s="51"/>
      <c r="AA503" s="51"/>
      <c r="AB503" s="51"/>
    </row>
    <row r="504" customFormat="false" ht="15.75" hidden="false" customHeight="false" outlineLevel="0" collapsed="false">
      <c r="A504" s="51"/>
      <c r="B504" s="51"/>
      <c r="C504" s="6"/>
      <c r="D504" s="49"/>
      <c r="E504" s="51"/>
      <c r="F504" s="6"/>
      <c r="G504" s="6"/>
      <c r="H504" s="6"/>
      <c r="I504" s="6"/>
      <c r="J504" s="6"/>
      <c r="K504" s="51"/>
      <c r="L504" s="51"/>
      <c r="M504" s="51"/>
      <c r="N504" s="51"/>
      <c r="O504" s="51"/>
      <c r="P504" s="51"/>
      <c r="Q504" s="51"/>
      <c r="R504" s="51"/>
      <c r="S504" s="51"/>
      <c r="T504" s="51"/>
      <c r="U504" s="51"/>
      <c r="V504" s="51"/>
      <c r="W504" s="51"/>
      <c r="X504" s="51"/>
      <c r="Y504" s="51"/>
      <c r="Z504" s="51"/>
      <c r="AA504" s="51"/>
      <c r="AB504" s="51"/>
    </row>
    <row r="505" customFormat="false" ht="15.75" hidden="false" customHeight="false" outlineLevel="0" collapsed="false">
      <c r="A505" s="51"/>
      <c r="B505" s="51"/>
      <c r="C505" s="6"/>
      <c r="D505" s="49"/>
      <c r="E505" s="51"/>
      <c r="F505" s="6"/>
      <c r="G505" s="6"/>
      <c r="H505" s="6"/>
      <c r="I505" s="6"/>
      <c r="J505" s="6"/>
      <c r="K505" s="51"/>
      <c r="L505" s="51"/>
      <c r="M505" s="51"/>
      <c r="N505" s="51"/>
      <c r="O505" s="51"/>
      <c r="P505" s="51"/>
      <c r="Q505" s="51"/>
      <c r="R505" s="51"/>
      <c r="S505" s="51"/>
      <c r="T505" s="51"/>
      <c r="U505" s="51"/>
      <c r="V505" s="51"/>
      <c r="W505" s="51"/>
      <c r="X505" s="51"/>
      <c r="Y505" s="51"/>
      <c r="Z505" s="51"/>
      <c r="AA505" s="51"/>
      <c r="AB505" s="51"/>
    </row>
    <row r="506" customFormat="false" ht="15.75" hidden="false" customHeight="false" outlineLevel="0" collapsed="false">
      <c r="A506" s="51"/>
      <c r="B506" s="51"/>
      <c r="C506" s="6"/>
      <c r="D506" s="49"/>
      <c r="E506" s="51"/>
      <c r="F506" s="6"/>
      <c r="G506" s="6"/>
      <c r="H506" s="6"/>
      <c r="I506" s="6"/>
      <c r="J506" s="6"/>
      <c r="K506" s="51"/>
      <c r="L506" s="51"/>
      <c r="M506" s="51"/>
      <c r="N506" s="51"/>
      <c r="O506" s="51"/>
      <c r="P506" s="51"/>
      <c r="Q506" s="51"/>
      <c r="R506" s="51"/>
      <c r="S506" s="51"/>
      <c r="T506" s="51"/>
      <c r="U506" s="51"/>
      <c r="V506" s="51"/>
      <c r="W506" s="51"/>
      <c r="X506" s="51"/>
      <c r="Y506" s="51"/>
      <c r="Z506" s="51"/>
      <c r="AA506" s="51"/>
      <c r="AB506" s="51"/>
    </row>
    <row r="507" customFormat="false" ht="15.75" hidden="false" customHeight="false" outlineLevel="0" collapsed="false">
      <c r="A507" s="51"/>
      <c r="B507" s="51"/>
      <c r="C507" s="6"/>
      <c r="D507" s="49"/>
      <c r="E507" s="51"/>
      <c r="F507" s="6"/>
      <c r="G507" s="6"/>
      <c r="H507" s="6"/>
      <c r="I507" s="6"/>
      <c r="J507" s="6"/>
      <c r="K507" s="51"/>
      <c r="L507" s="51"/>
      <c r="M507" s="51"/>
      <c r="N507" s="51"/>
      <c r="O507" s="51"/>
      <c r="P507" s="51"/>
      <c r="Q507" s="51"/>
      <c r="R507" s="51"/>
      <c r="S507" s="51"/>
      <c r="T507" s="51"/>
      <c r="U507" s="51"/>
      <c r="V507" s="51"/>
      <c r="W507" s="51"/>
      <c r="X507" s="51"/>
      <c r="Y507" s="51"/>
      <c r="Z507" s="51"/>
      <c r="AA507" s="51"/>
      <c r="AB507" s="51"/>
    </row>
    <row r="508" customFormat="false" ht="15.75" hidden="false" customHeight="false" outlineLevel="0" collapsed="false">
      <c r="A508" s="51"/>
      <c r="B508" s="51"/>
      <c r="C508" s="6"/>
      <c r="D508" s="49"/>
      <c r="E508" s="51"/>
      <c r="F508" s="6"/>
      <c r="G508" s="6"/>
      <c r="H508" s="6"/>
      <c r="I508" s="6"/>
      <c r="J508" s="6"/>
      <c r="K508" s="51"/>
      <c r="L508" s="51"/>
      <c r="M508" s="51"/>
      <c r="N508" s="51"/>
      <c r="O508" s="51"/>
      <c r="P508" s="51"/>
      <c r="Q508" s="51"/>
      <c r="R508" s="51"/>
      <c r="S508" s="51"/>
      <c r="T508" s="51"/>
      <c r="U508" s="51"/>
      <c r="V508" s="51"/>
      <c r="W508" s="51"/>
      <c r="X508" s="51"/>
      <c r="Y508" s="51"/>
      <c r="Z508" s="51"/>
      <c r="AA508" s="51"/>
      <c r="AB508" s="51"/>
    </row>
    <row r="509" customFormat="false" ht="15.75" hidden="false" customHeight="false" outlineLevel="0" collapsed="false">
      <c r="A509" s="51"/>
      <c r="B509" s="51"/>
      <c r="C509" s="6"/>
      <c r="D509" s="49"/>
      <c r="E509" s="51"/>
      <c r="F509" s="6"/>
      <c r="G509" s="6"/>
      <c r="H509" s="6"/>
      <c r="I509" s="6"/>
      <c r="J509" s="6"/>
      <c r="K509" s="51"/>
      <c r="L509" s="51"/>
      <c r="M509" s="51"/>
      <c r="N509" s="51"/>
      <c r="O509" s="51"/>
      <c r="P509" s="51"/>
      <c r="Q509" s="51"/>
      <c r="R509" s="51"/>
      <c r="S509" s="51"/>
      <c r="T509" s="51"/>
      <c r="U509" s="51"/>
      <c r="V509" s="51"/>
      <c r="W509" s="51"/>
      <c r="X509" s="51"/>
      <c r="Y509" s="51"/>
      <c r="Z509" s="51"/>
      <c r="AA509" s="51"/>
      <c r="AB509" s="51"/>
    </row>
    <row r="510" customFormat="false" ht="15.75" hidden="false" customHeight="false" outlineLevel="0" collapsed="false">
      <c r="A510" s="51"/>
      <c r="B510" s="51"/>
      <c r="C510" s="6"/>
      <c r="D510" s="49"/>
      <c r="E510" s="51"/>
      <c r="F510" s="6"/>
      <c r="G510" s="6"/>
      <c r="H510" s="6"/>
      <c r="I510" s="6"/>
      <c r="J510" s="6"/>
      <c r="K510" s="51"/>
      <c r="L510" s="51"/>
      <c r="M510" s="51"/>
      <c r="N510" s="51"/>
      <c r="O510" s="51"/>
      <c r="P510" s="51"/>
      <c r="Q510" s="51"/>
      <c r="R510" s="51"/>
      <c r="S510" s="51"/>
      <c r="T510" s="51"/>
      <c r="U510" s="51"/>
      <c r="V510" s="51"/>
      <c r="W510" s="51"/>
      <c r="X510" s="51"/>
      <c r="Y510" s="51"/>
      <c r="Z510" s="51"/>
      <c r="AA510" s="51"/>
      <c r="AB510" s="51"/>
    </row>
    <row r="511" customFormat="false" ht="15.75" hidden="false" customHeight="false" outlineLevel="0" collapsed="false">
      <c r="A511" s="51"/>
      <c r="B511" s="51"/>
      <c r="C511" s="6"/>
      <c r="D511" s="49"/>
      <c r="E511" s="51"/>
      <c r="F511" s="6"/>
      <c r="G511" s="6"/>
      <c r="H511" s="6"/>
      <c r="I511" s="6"/>
      <c r="J511" s="6"/>
      <c r="K511" s="51"/>
      <c r="L511" s="51"/>
      <c r="M511" s="51"/>
      <c r="N511" s="51"/>
      <c r="O511" s="51"/>
      <c r="P511" s="51"/>
      <c r="Q511" s="51"/>
      <c r="R511" s="51"/>
      <c r="S511" s="51"/>
      <c r="T511" s="51"/>
      <c r="U511" s="51"/>
      <c r="V511" s="51"/>
      <c r="W511" s="51"/>
      <c r="X511" s="51"/>
      <c r="Y511" s="51"/>
      <c r="Z511" s="51"/>
      <c r="AA511" s="51"/>
      <c r="AB511" s="51"/>
    </row>
    <row r="512" customFormat="false" ht="15.75" hidden="false" customHeight="false" outlineLevel="0" collapsed="false">
      <c r="A512" s="51"/>
      <c r="B512" s="51"/>
      <c r="C512" s="6"/>
      <c r="D512" s="49"/>
      <c r="E512" s="51"/>
      <c r="F512" s="6"/>
      <c r="G512" s="6"/>
      <c r="H512" s="6"/>
      <c r="I512" s="6"/>
      <c r="J512" s="6"/>
      <c r="K512" s="51"/>
      <c r="L512" s="51"/>
      <c r="M512" s="51"/>
      <c r="N512" s="51"/>
      <c r="O512" s="51"/>
      <c r="P512" s="51"/>
      <c r="Q512" s="51"/>
      <c r="R512" s="51"/>
      <c r="S512" s="51"/>
      <c r="T512" s="51"/>
      <c r="U512" s="51"/>
      <c r="V512" s="51"/>
      <c r="W512" s="51"/>
      <c r="X512" s="51"/>
      <c r="Y512" s="51"/>
      <c r="Z512" s="51"/>
      <c r="AA512" s="51"/>
      <c r="AB512" s="51"/>
    </row>
    <row r="513" customFormat="false" ht="15.75" hidden="false" customHeight="false" outlineLevel="0" collapsed="false">
      <c r="A513" s="51"/>
      <c r="B513" s="51"/>
      <c r="C513" s="6"/>
      <c r="D513" s="49"/>
      <c r="E513" s="51"/>
      <c r="F513" s="6"/>
      <c r="G513" s="6"/>
      <c r="H513" s="6"/>
      <c r="I513" s="6"/>
      <c r="J513" s="6"/>
      <c r="K513" s="51"/>
      <c r="L513" s="51"/>
      <c r="M513" s="51"/>
      <c r="N513" s="51"/>
      <c r="O513" s="51"/>
      <c r="P513" s="51"/>
      <c r="Q513" s="51"/>
      <c r="R513" s="51"/>
      <c r="S513" s="51"/>
      <c r="T513" s="51"/>
      <c r="U513" s="51"/>
      <c r="V513" s="51"/>
      <c r="W513" s="51"/>
      <c r="X513" s="51"/>
      <c r="Y513" s="51"/>
      <c r="Z513" s="51"/>
      <c r="AA513" s="51"/>
      <c r="AB513" s="51"/>
    </row>
    <row r="514" customFormat="false" ht="15.75" hidden="false" customHeight="false" outlineLevel="0" collapsed="false">
      <c r="A514" s="51"/>
      <c r="B514" s="51"/>
      <c r="C514" s="6"/>
      <c r="D514" s="49"/>
      <c r="E514" s="51"/>
      <c r="F514" s="6"/>
      <c r="G514" s="6"/>
      <c r="H514" s="6"/>
      <c r="I514" s="6"/>
      <c r="J514" s="6"/>
      <c r="K514" s="51"/>
      <c r="L514" s="51"/>
      <c r="M514" s="51"/>
      <c r="N514" s="51"/>
      <c r="O514" s="51"/>
      <c r="P514" s="51"/>
      <c r="Q514" s="51"/>
      <c r="R514" s="51"/>
      <c r="S514" s="51"/>
      <c r="T514" s="51"/>
      <c r="U514" s="51"/>
      <c r="V514" s="51"/>
      <c r="W514" s="51"/>
      <c r="X514" s="51"/>
      <c r="Y514" s="51"/>
      <c r="Z514" s="51"/>
      <c r="AA514" s="51"/>
      <c r="AB514" s="51"/>
    </row>
    <row r="515" customFormat="false" ht="15.75" hidden="false" customHeight="false" outlineLevel="0" collapsed="false">
      <c r="A515" s="51"/>
      <c r="B515" s="51"/>
      <c r="C515" s="6"/>
      <c r="D515" s="49"/>
      <c r="E515" s="51"/>
      <c r="F515" s="6"/>
      <c r="G515" s="6"/>
      <c r="H515" s="6"/>
      <c r="I515" s="6"/>
      <c r="J515" s="6"/>
      <c r="K515" s="51"/>
      <c r="L515" s="51"/>
      <c r="M515" s="51"/>
      <c r="N515" s="51"/>
      <c r="O515" s="51"/>
      <c r="P515" s="51"/>
      <c r="Q515" s="51"/>
      <c r="R515" s="51"/>
      <c r="S515" s="51"/>
      <c r="T515" s="51"/>
      <c r="U515" s="51"/>
      <c r="V515" s="51"/>
      <c r="W515" s="51"/>
      <c r="X515" s="51"/>
      <c r="Y515" s="51"/>
      <c r="Z515" s="51"/>
      <c r="AA515" s="51"/>
      <c r="AB515" s="51"/>
    </row>
    <row r="516" customFormat="false" ht="15.75" hidden="false" customHeight="false" outlineLevel="0" collapsed="false">
      <c r="A516" s="51"/>
      <c r="B516" s="51"/>
      <c r="C516" s="6"/>
      <c r="D516" s="49"/>
      <c r="E516" s="51"/>
      <c r="F516" s="6"/>
      <c r="G516" s="6"/>
      <c r="H516" s="6"/>
      <c r="I516" s="6"/>
      <c r="J516" s="6"/>
      <c r="K516" s="51"/>
      <c r="L516" s="51"/>
      <c r="M516" s="51"/>
      <c r="N516" s="51"/>
      <c r="O516" s="51"/>
      <c r="P516" s="51"/>
      <c r="Q516" s="51"/>
      <c r="R516" s="51"/>
      <c r="S516" s="51"/>
      <c r="T516" s="51"/>
      <c r="U516" s="51"/>
      <c r="V516" s="51"/>
      <c r="W516" s="51"/>
      <c r="X516" s="51"/>
      <c r="Y516" s="51"/>
      <c r="Z516" s="51"/>
      <c r="AA516" s="51"/>
      <c r="AB516" s="51"/>
    </row>
    <row r="517" customFormat="false" ht="15.75" hidden="false" customHeight="false" outlineLevel="0" collapsed="false">
      <c r="A517" s="51"/>
      <c r="B517" s="51"/>
      <c r="C517" s="6"/>
      <c r="D517" s="49"/>
      <c r="E517" s="51"/>
      <c r="F517" s="6"/>
      <c r="G517" s="6"/>
      <c r="H517" s="6"/>
      <c r="I517" s="6"/>
      <c r="J517" s="6"/>
      <c r="K517" s="51"/>
      <c r="L517" s="51"/>
      <c r="M517" s="51"/>
      <c r="N517" s="51"/>
      <c r="O517" s="51"/>
      <c r="P517" s="51"/>
      <c r="Q517" s="51"/>
      <c r="R517" s="51"/>
      <c r="S517" s="51"/>
      <c r="T517" s="51"/>
      <c r="U517" s="51"/>
      <c r="V517" s="51"/>
      <c r="W517" s="51"/>
      <c r="X517" s="51"/>
      <c r="Y517" s="51"/>
      <c r="Z517" s="51"/>
      <c r="AA517" s="51"/>
      <c r="AB517" s="51"/>
    </row>
    <row r="518" customFormat="false" ht="15.75" hidden="false" customHeight="false" outlineLevel="0" collapsed="false">
      <c r="A518" s="51"/>
      <c r="B518" s="51"/>
      <c r="C518" s="6"/>
      <c r="D518" s="49"/>
      <c r="E518" s="51"/>
      <c r="F518" s="6"/>
      <c r="G518" s="6"/>
      <c r="H518" s="6"/>
      <c r="I518" s="6"/>
      <c r="J518" s="6"/>
      <c r="K518" s="51"/>
      <c r="L518" s="51"/>
      <c r="M518" s="51"/>
      <c r="N518" s="51"/>
      <c r="O518" s="51"/>
      <c r="P518" s="51"/>
      <c r="Q518" s="51"/>
      <c r="R518" s="51"/>
      <c r="S518" s="51"/>
      <c r="T518" s="51"/>
      <c r="U518" s="51"/>
      <c r="V518" s="51"/>
      <c r="W518" s="51"/>
      <c r="X518" s="51"/>
      <c r="Y518" s="51"/>
      <c r="Z518" s="51"/>
      <c r="AA518" s="51"/>
      <c r="AB518" s="51"/>
    </row>
    <row r="519" customFormat="false" ht="15.75" hidden="false" customHeight="false" outlineLevel="0" collapsed="false">
      <c r="A519" s="51"/>
      <c r="B519" s="51"/>
      <c r="C519" s="6"/>
      <c r="D519" s="49"/>
      <c r="E519" s="51"/>
      <c r="F519" s="6"/>
      <c r="G519" s="6"/>
      <c r="H519" s="6"/>
      <c r="I519" s="6"/>
      <c r="J519" s="6"/>
      <c r="K519" s="51"/>
      <c r="L519" s="51"/>
      <c r="M519" s="51"/>
      <c r="N519" s="51"/>
      <c r="O519" s="51"/>
      <c r="P519" s="51"/>
      <c r="Q519" s="51"/>
      <c r="R519" s="51"/>
      <c r="S519" s="51"/>
      <c r="T519" s="51"/>
      <c r="U519" s="51"/>
      <c r="V519" s="51"/>
      <c r="W519" s="51"/>
      <c r="X519" s="51"/>
      <c r="Y519" s="51"/>
      <c r="Z519" s="51"/>
      <c r="AA519" s="51"/>
      <c r="AB519" s="51"/>
    </row>
    <row r="520" customFormat="false" ht="15.75" hidden="false" customHeight="false" outlineLevel="0" collapsed="false">
      <c r="A520" s="51"/>
      <c r="B520" s="51"/>
      <c r="C520" s="6"/>
      <c r="D520" s="49"/>
      <c r="E520" s="51"/>
      <c r="F520" s="6"/>
      <c r="G520" s="6"/>
      <c r="H520" s="6"/>
      <c r="I520" s="6"/>
      <c r="J520" s="6"/>
      <c r="K520" s="51"/>
      <c r="L520" s="51"/>
      <c r="M520" s="51"/>
      <c r="N520" s="51"/>
      <c r="O520" s="51"/>
      <c r="P520" s="51"/>
      <c r="Q520" s="51"/>
      <c r="R520" s="51"/>
      <c r="S520" s="51"/>
      <c r="T520" s="51"/>
      <c r="U520" s="51"/>
      <c r="V520" s="51"/>
      <c r="W520" s="51"/>
      <c r="X520" s="51"/>
      <c r="Y520" s="51"/>
      <c r="Z520" s="51"/>
      <c r="AA520" s="51"/>
      <c r="AB520" s="51"/>
    </row>
    <row r="521" customFormat="false" ht="15.75" hidden="false" customHeight="false" outlineLevel="0" collapsed="false">
      <c r="A521" s="51"/>
      <c r="B521" s="51"/>
      <c r="C521" s="6"/>
      <c r="D521" s="49"/>
      <c r="E521" s="51"/>
      <c r="F521" s="6"/>
      <c r="G521" s="6"/>
      <c r="H521" s="6"/>
      <c r="I521" s="6"/>
      <c r="J521" s="6"/>
      <c r="K521" s="51"/>
      <c r="L521" s="51"/>
      <c r="M521" s="51"/>
      <c r="N521" s="51"/>
      <c r="O521" s="51"/>
      <c r="P521" s="51"/>
      <c r="Q521" s="51"/>
      <c r="R521" s="51"/>
      <c r="S521" s="51"/>
      <c r="T521" s="51"/>
      <c r="U521" s="51"/>
      <c r="V521" s="51"/>
      <c r="W521" s="51"/>
      <c r="X521" s="51"/>
      <c r="Y521" s="51"/>
      <c r="Z521" s="51"/>
      <c r="AA521" s="51"/>
      <c r="AB521" s="51"/>
    </row>
    <row r="522" customFormat="false" ht="15.75" hidden="false" customHeight="false" outlineLevel="0" collapsed="false">
      <c r="A522" s="51"/>
      <c r="B522" s="51"/>
      <c r="C522" s="6"/>
      <c r="D522" s="49"/>
      <c r="E522" s="51"/>
      <c r="F522" s="6"/>
      <c r="G522" s="6"/>
      <c r="H522" s="6"/>
      <c r="I522" s="6"/>
      <c r="J522" s="6"/>
      <c r="K522" s="51"/>
      <c r="L522" s="51"/>
      <c r="M522" s="51"/>
      <c r="N522" s="51"/>
      <c r="O522" s="51"/>
      <c r="P522" s="51"/>
      <c r="Q522" s="51"/>
      <c r="R522" s="51"/>
      <c r="S522" s="51"/>
      <c r="T522" s="51"/>
      <c r="U522" s="51"/>
      <c r="V522" s="51"/>
      <c r="W522" s="51"/>
      <c r="X522" s="51"/>
      <c r="Y522" s="51"/>
      <c r="Z522" s="51"/>
      <c r="AA522" s="51"/>
      <c r="AB522" s="51"/>
    </row>
    <row r="523" customFormat="false" ht="15.75" hidden="false" customHeight="false" outlineLevel="0" collapsed="false">
      <c r="A523" s="51"/>
      <c r="B523" s="51"/>
      <c r="C523" s="6"/>
      <c r="D523" s="49"/>
      <c r="E523" s="51"/>
      <c r="F523" s="6"/>
      <c r="G523" s="6"/>
      <c r="H523" s="6"/>
      <c r="I523" s="6"/>
      <c r="J523" s="6"/>
      <c r="K523" s="51"/>
      <c r="L523" s="51"/>
      <c r="M523" s="51"/>
      <c r="N523" s="51"/>
      <c r="O523" s="51"/>
      <c r="P523" s="51"/>
      <c r="Q523" s="51"/>
      <c r="R523" s="51"/>
      <c r="S523" s="51"/>
      <c r="T523" s="51"/>
      <c r="U523" s="51"/>
      <c r="V523" s="51"/>
      <c r="W523" s="51"/>
      <c r="X523" s="51"/>
      <c r="Y523" s="51"/>
      <c r="Z523" s="51"/>
      <c r="AA523" s="51"/>
      <c r="AB523" s="51"/>
    </row>
    <row r="524" customFormat="false" ht="15.75" hidden="false" customHeight="false" outlineLevel="0" collapsed="false">
      <c r="A524" s="51"/>
      <c r="B524" s="51"/>
      <c r="C524" s="6"/>
      <c r="D524" s="49"/>
      <c r="E524" s="51"/>
      <c r="F524" s="6"/>
      <c r="G524" s="6"/>
      <c r="H524" s="6"/>
      <c r="I524" s="6"/>
      <c r="J524" s="6"/>
      <c r="K524" s="51"/>
      <c r="L524" s="51"/>
      <c r="M524" s="51"/>
      <c r="N524" s="51"/>
      <c r="O524" s="51"/>
      <c r="P524" s="51"/>
      <c r="Q524" s="51"/>
      <c r="R524" s="51"/>
      <c r="S524" s="51"/>
      <c r="T524" s="51"/>
      <c r="U524" s="51"/>
      <c r="V524" s="51"/>
      <c r="W524" s="51"/>
      <c r="X524" s="51"/>
      <c r="Y524" s="51"/>
      <c r="Z524" s="51"/>
      <c r="AA524" s="51"/>
      <c r="AB524" s="51"/>
    </row>
    <row r="525" customFormat="false" ht="15.75" hidden="false" customHeight="false" outlineLevel="0" collapsed="false">
      <c r="A525" s="51"/>
      <c r="B525" s="51"/>
      <c r="C525" s="6"/>
      <c r="D525" s="49"/>
      <c r="E525" s="51"/>
      <c r="F525" s="6"/>
      <c r="G525" s="6"/>
      <c r="H525" s="6"/>
      <c r="I525" s="6"/>
      <c r="J525" s="6"/>
      <c r="K525" s="51"/>
      <c r="L525" s="51"/>
      <c r="M525" s="51"/>
      <c r="N525" s="51"/>
      <c r="O525" s="51"/>
      <c r="P525" s="51"/>
      <c r="Q525" s="51"/>
      <c r="R525" s="51"/>
      <c r="S525" s="51"/>
      <c r="T525" s="51"/>
      <c r="U525" s="51"/>
      <c r="V525" s="51"/>
      <c r="W525" s="51"/>
      <c r="X525" s="51"/>
      <c r="Y525" s="51"/>
      <c r="Z525" s="51"/>
      <c r="AA525" s="51"/>
      <c r="AB525" s="51"/>
    </row>
    <row r="526" customFormat="false" ht="15.75" hidden="false" customHeight="false" outlineLevel="0" collapsed="false">
      <c r="A526" s="51"/>
      <c r="B526" s="51"/>
      <c r="C526" s="6"/>
      <c r="D526" s="49"/>
      <c r="E526" s="51"/>
      <c r="F526" s="6"/>
      <c r="G526" s="6"/>
      <c r="H526" s="6"/>
      <c r="I526" s="6"/>
      <c r="J526" s="6"/>
      <c r="K526" s="51"/>
      <c r="L526" s="51"/>
      <c r="M526" s="51"/>
      <c r="N526" s="51"/>
      <c r="O526" s="51"/>
      <c r="P526" s="51"/>
      <c r="Q526" s="51"/>
      <c r="R526" s="51"/>
      <c r="S526" s="51"/>
      <c r="T526" s="51"/>
      <c r="U526" s="51"/>
      <c r="V526" s="51"/>
      <c r="W526" s="51"/>
      <c r="X526" s="51"/>
      <c r="Y526" s="51"/>
      <c r="Z526" s="51"/>
      <c r="AA526" s="51"/>
      <c r="AB526" s="51"/>
    </row>
    <row r="527" customFormat="false" ht="15.75" hidden="false" customHeight="false" outlineLevel="0" collapsed="false">
      <c r="A527" s="51"/>
      <c r="B527" s="51"/>
      <c r="C527" s="6"/>
      <c r="D527" s="49"/>
      <c r="E527" s="51"/>
      <c r="F527" s="6"/>
      <c r="G527" s="6"/>
      <c r="H527" s="6"/>
      <c r="I527" s="6"/>
      <c r="J527" s="6"/>
      <c r="K527" s="51"/>
      <c r="L527" s="51"/>
      <c r="M527" s="51"/>
      <c r="N527" s="51"/>
      <c r="O527" s="51"/>
      <c r="P527" s="51"/>
      <c r="Q527" s="51"/>
      <c r="R527" s="51"/>
      <c r="S527" s="51"/>
      <c r="T527" s="51"/>
      <c r="U527" s="51"/>
      <c r="V527" s="51"/>
      <c r="W527" s="51"/>
      <c r="X527" s="51"/>
      <c r="Y527" s="51"/>
      <c r="Z527" s="51"/>
      <c r="AA527" s="51"/>
      <c r="AB527" s="51"/>
    </row>
    <row r="528" customFormat="false" ht="15.75" hidden="false" customHeight="false" outlineLevel="0" collapsed="false">
      <c r="A528" s="51"/>
      <c r="B528" s="51"/>
      <c r="C528" s="6"/>
      <c r="D528" s="49"/>
      <c r="E528" s="51"/>
      <c r="F528" s="6"/>
      <c r="G528" s="6"/>
      <c r="H528" s="6"/>
      <c r="I528" s="6"/>
      <c r="J528" s="6"/>
      <c r="K528" s="51"/>
      <c r="L528" s="51"/>
      <c r="M528" s="51"/>
      <c r="N528" s="51"/>
      <c r="O528" s="51"/>
      <c r="P528" s="51"/>
      <c r="Q528" s="51"/>
      <c r="R528" s="51"/>
      <c r="S528" s="51"/>
      <c r="T528" s="51"/>
      <c r="U528" s="51"/>
      <c r="V528" s="51"/>
      <c r="W528" s="51"/>
      <c r="X528" s="51"/>
      <c r="Y528" s="51"/>
      <c r="Z528" s="51"/>
      <c r="AA528" s="51"/>
      <c r="AB528" s="51"/>
    </row>
    <row r="529" customFormat="false" ht="15.75" hidden="false" customHeight="false" outlineLevel="0" collapsed="false">
      <c r="A529" s="51"/>
      <c r="B529" s="51"/>
      <c r="C529" s="6"/>
      <c r="D529" s="49"/>
      <c r="E529" s="51"/>
      <c r="F529" s="6"/>
      <c r="G529" s="6"/>
      <c r="H529" s="6"/>
      <c r="I529" s="6"/>
      <c r="J529" s="6"/>
      <c r="K529" s="51"/>
      <c r="L529" s="51"/>
      <c r="M529" s="51"/>
      <c r="N529" s="51"/>
      <c r="O529" s="51"/>
      <c r="P529" s="51"/>
      <c r="Q529" s="51"/>
      <c r="R529" s="51"/>
      <c r="S529" s="51"/>
      <c r="T529" s="51"/>
      <c r="U529" s="51"/>
      <c r="V529" s="51"/>
      <c r="W529" s="51"/>
      <c r="X529" s="51"/>
      <c r="Y529" s="51"/>
      <c r="Z529" s="51"/>
      <c r="AA529" s="51"/>
      <c r="AB529" s="51"/>
    </row>
    <row r="530" customFormat="false" ht="15.75" hidden="false" customHeight="false" outlineLevel="0" collapsed="false">
      <c r="A530" s="51"/>
      <c r="B530" s="51"/>
      <c r="C530" s="6"/>
      <c r="D530" s="49"/>
      <c r="E530" s="51"/>
      <c r="F530" s="6"/>
      <c r="G530" s="6"/>
      <c r="H530" s="6"/>
      <c r="I530" s="6"/>
      <c r="J530" s="6"/>
      <c r="K530" s="51"/>
      <c r="L530" s="51"/>
      <c r="M530" s="51"/>
      <c r="N530" s="51"/>
      <c r="O530" s="51"/>
      <c r="P530" s="51"/>
      <c r="Q530" s="51"/>
      <c r="R530" s="51"/>
      <c r="S530" s="51"/>
      <c r="T530" s="51"/>
      <c r="U530" s="51"/>
      <c r="V530" s="51"/>
      <c r="W530" s="51"/>
      <c r="X530" s="51"/>
      <c r="Y530" s="51"/>
      <c r="Z530" s="51"/>
      <c r="AA530" s="51"/>
      <c r="AB530" s="51"/>
    </row>
    <row r="531" customFormat="false" ht="15.75" hidden="false" customHeight="false" outlineLevel="0" collapsed="false">
      <c r="A531" s="51"/>
      <c r="B531" s="51"/>
      <c r="C531" s="6"/>
      <c r="D531" s="49"/>
      <c r="E531" s="51"/>
      <c r="F531" s="6"/>
      <c r="G531" s="6"/>
      <c r="H531" s="6"/>
      <c r="I531" s="6"/>
      <c r="J531" s="6"/>
      <c r="K531" s="51"/>
      <c r="L531" s="51"/>
      <c r="M531" s="51"/>
      <c r="N531" s="51"/>
      <c r="O531" s="51"/>
      <c r="P531" s="51"/>
      <c r="Q531" s="51"/>
      <c r="R531" s="51"/>
      <c r="S531" s="51"/>
      <c r="T531" s="51"/>
      <c r="U531" s="51"/>
      <c r="V531" s="51"/>
      <c r="W531" s="51"/>
      <c r="X531" s="51"/>
      <c r="Y531" s="51"/>
      <c r="Z531" s="51"/>
      <c r="AA531" s="51"/>
      <c r="AB531" s="51"/>
    </row>
    <row r="532" customFormat="false" ht="15.75" hidden="false" customHeight="false" outlineLevel="0" collapsed="false">
      <c r="A532" s="51"/>
      <c r="B532" s="51"/>
      <c r="C532" s="6"/>
      <c r="D532" s="49"/>
      <c r="E532" s="51"/>
      <c r="F532" s="6"/>
      <c r="G532" s="6"/>
      <c r="H532" s="6"/>
      <c r="I532" s="6"/>
      <c r="J532" s="6"/>
      <c r="K532" s="51"/>
      <c r="L532" s="51"/>
      <c r="M532" s="51"/>
      <c r="N532" s="51"/>
      <c r="O532" s="51"/>
      <c r="P532" s="51"/>
      <c r="Q532" s="51"/>
      <c r="R532" s="51"/>
      <c r="S532" s="51"/>
      <c r="T532" s="51"/>
      <c r="U532" s="51"/>
      <c r="V532" s="51"/>
      <c r="W532" s="51"/>
      <c r="X532" s="51"/>
      <c r="Y532" s="51"/>
      <c r="Z532" s="51"/>
      <c r="AA532" s="51"/>
      <c r="AB532" s="51"/>
    </row>
    <row r="533" customFormat="false" ht="15.75" hidden="false" customHeight="false" outlineLevel="0" collapsed="false">
      <c r="A533" s="51"/>
      <c r="B533" s="51"/>
      <c r="C533" s="6"/>
      <c r="D533" s="49"/>
      <c r="E533" s="51"/>
      <c r="F533" s="6"/>
      <c r="G533" s="6"/>
      <c r="H533" s="6"/>
      <c r="I533" s="6"/>
      <c r="J533" s="6"/>
      <c r="K533" s="51"/>
      <c r="L533" s="51"/>
      <c r="M533" s="51"/>
      <c r="N533" s="51"/>
      <c r="O533" s="51"/>
      <c r="P533" s="51"/>
      <c r="Q533" s="51"/>
      <c r="R533" s="51"/>
      <c r="S533" s="51"/>
      <c r="T533" s="51"/>
      <c r="U533" s="51"/>
      <c r="V533" s="51"/>
      <c r="W533" s="51"/>
      <c r="X533" s="51"/>
      <c r="Y533" s="51"/>
      <c r="Z533" s="51"/>
      <c r="AA533" s="51"/>
      <c r="AB533" s="51"/>
    </row>
    <row r="534" customFormat="false" ht="15.75" hidden="false" customHeight="false" outlineLevel="0" collapsed="false">
      <c r="A534" s="51"/>
      <c r="B534" s="51"/>
      <c r="C534" s="6"/>
      <c r="D534" s="49"/>
      <c r="E534" s="51"/>
      <c r="F534" s="6"/>
      <c r="G534" s="6"/>
      <c r="H534" s="6"/>
      <c r="I534" s="6"/>
      <c r="J534" s="6"/>
      <c r="K534" s="51"/>
      <c r="L534" s="51"/>
      <c r="M534" s="51"/>
      <c r="N534" s="51"/>
      <c r="O534" s="51"/>
      <c r="P534" s="51"/>
      <c r="Q534" s="51"/>
      <c r="R534" s="51"/>
      <c r="S534" s="51"/>
      <c r="T534" s="51"/>
      <c r="U534" s="51"/>
      <c r="V534" s="51"/>
      <c r="W534" s="51"/>
      <c r="X534" s="51"/>
      <c r="Y534" s="51"/>
      <c r="Z534" s="51"/>
      <c r="AA534" s="51"/>
      <c r="AB534" s="51"/>
    </row>
    <row r="535" customFormat="false" ht="15.75" hidden="false" customHeight="false" outlineLevel="0" collapsed="false">
      <c r="A535" s="51"/>
      <c r="B535" s="51"/>
      <c r="C535" s="6"/>
      <c r="D535" s="49"/>
      <c r="E535" s="51"/>
      <c r="F535" s="6"/>
      <c r="G535" s="6"/>
      <c r="H535" s="6"/>
      <c r="I535" s="6"/>
      <c r="J535" s="6"/>
      <c r="K535" s="51"/>
      <c r="L535" s="51"/>
      <c r="M535" s="51"/>
      <c r="N535" s="51"/>
      <c r="O535" s="51"/>
      <c r="P535" s="51"/>
      <c r="Q535" s="51"/>
      <c r="R535" s="51"/>
      <c r="S535" s="51"/>
      <c r="T535" s="51"/>
      <c r="U535" s="51"/>
      <c r="V535" s="51"/>
      <c r="W535" s="51"/>
      <c r="X535" s="51"/>
      <c r="Y535" s="51"/>
      <c r="Z535" s="51"/>
      <c r="AA535" s="51"/>
      <c r="AB535" s="51"/>
    </row>
    <row r="536" customFormat="false" ht="15.75" hidden="false" customHeight="false" outlineLevel="0" collapsed="false">
      <c r="A536" s="51"/>
      <c r="B536" s="51"/>
      <c r="C536" s="6"/>
      <c r="D536" s="49"/>
      <c r="E536" s="51"/>
      <c r="F536" s="6"/>
      <c r="G536" s="6"/>
      <c r="H536" s="6"/>
      <c r="I536" s="6"/>
      <c r="J536" s="6"/>
      <c r="K536" s="51"/>
      <c r="L536" s="51"/>
      <c r="M536" s="51"/>
      <c r="N536" s="51"/>
      <c r="O536" s="51"/>
      <c r="P536" s="51"/>
      <c r="Q536" s="51"/>
      <c r="R536" s="51"/>
      <c r="S536" s="51"/>
      <c r="T536" s="51"/>
      <c r="U536" s="51"/>
      <c r="V536" s="51"/>
      <c r="W536" s="51"/>
      <c r="X536" s="51"/>
      <c r="Y536" s="51"/>
      <c r="Z536" s="51"/>
      <c r="AA536" s="51"/>
      <c r="AB536" s="51"/>
    </row>
    <row r="537" customFormat="false" ht="15.75" hidden="false" customHeight="false" outlineLevel="0" collapsed="false">
      <c r="A537" s="51"/>
      <c r="B537" s="51"/>
      <c r="C537" s="6"/>
      <c r="D537" s="49"/>
      <c r="E537" s="51"/>
      <c r="F537" s="6"/>
      <c r="G537" s="6"/>
      <c r="H537" s="6"/>
      <c r="I537" s="6"/>
      <c r="J537" s="6"/>
      <c r="K537" s="51"/>
      <c r="L537" s="51"/>
      <c r="M537" s="51"/>
      <c r="N537" s="51"/>
      <c r="O537" s="51"/>
      <c r="P537" s="51"/>
      <c r="Q537" s="51"/>
      <c r="R537" s="51"/>
      <c r="S537" s="51"/>
      <c r="T537" s="51"/>
      <c r="U537" s="51"/>
      <c r="V537" s="51"/>
      <c r="W537" s="51"/>
      <c r="X537" s="51"/>
      <c r="Y537" s="51"/>
      <c r="Z537" s="51"/>
      <c r="AA537" s="51"/>
      <c r="AB537" s="51"/>
    </row>
    <row r="538" customFormat="false" ht="15.75" hidden="false" customHeight="false" outlineLevel="0" collapsed="false">
      <c r="A538" s="51"/>
      <c r="B538" s="51"/>
      <c r="C538" s="6"/>
      <c r="D538" s="49"/>
      <c r="E538" s="51"/>
      <c r="F538" s="6"/>
      <c r="G538" s="6"/>
      <c r="H538" s="6"/>
      <c r="I538" s="6"/>
      <c r="J538" s="6"/>
      <c r="K538" s="51"/>
      <c r="L538" s="51"/>
      <c r="M538" s="51"/>
      <c r="N538" s="51"/>
      <c r="O538" s="51"/>
      <c r="P538" s="51"/>
      <c r="Q538" s="51"/>
      <c r="R538" s="51"/>
      <c r="S538" s="51"/>
      <c r="T538" s="51"/>
      <c r="U538" s="51"/>
      <c r="V538" s="51"/>
      <c r="W538" s="51"/>
      <c r="X538" s="51"/>
      <c r="Y538" s="51"/>
      <c r="Z538" s="51"/>
      <c r="AA538" s="51"/>
      <c r="AB538" s="51"/>
    </row>
    <row r="539" customFormat="false" ht="15.75" hidden="false" customHeight="false" outlineLevel="0" collapsed="false">
      <c r="A539" s="51"/>
      <c r="B539" s="51"/>
      <c r="C539" s="6"/>
      <c r="D539" s="49"/>
      <c r="E539" s="51"/>
      <c r="F539" s="6"/>
      <c r="G539" s="6"/>
      <c r="H539" s="6"/>
      <c r="I539" s="6"/>
      <c r="J539" s="6"/>
      <c r="K539" s="51"/>
      <c r="L539" s="51"/>
      <c r="M539" s="51"/>
      <c r="N539" s="51"/>
      <c r="O539" s="51"/>
      <c r="P539" s="51"/>
      <c r="Q539" s="51"/>
      <c r="R539" s="51"/>
      <c r="S539" s="51"/>
      <c r="T539" s="51"/>
      <c r="U539" s="51"/>
      <c r="V539" s="51"/>
      <c r="W539" s="51"/>
      <c r="X539" s="51"/>
      <c r="Y539" s="51"/>
      <c r="Z539" s="51"/>
      <c r="AA539" s="51"/>
      <c r="AB539" s="51"/>
    </row>
    <row r="540" customFormat="false" ht="15.75" hidden="false" customHeight="false" outlineLevel="0" collapsed="false">
      <c r="A540" s="51"/>
      <c r="B540" s="51"/>
      <c r="C540" s="6"/>
      <c r="D540" s="49"/>
      <c r="E540" s="51"/>
      <c r="F540" s="6"/>
      <c r="G540" s="6"/>
      <c r="H540" s="6"/>
      <c r="I540" s="6"/>
      <c r="J540" s="6"/>
      <c r="K540" s="51"/>
      <c r="L540" s="51"/>
      <c r="M540" s="51"/>
      <c r="N540" s="51"/>
      <c r="O540" s="51"/>
      <c r="P540" s="51"/>
      <c r="Q540" s="51"/>
      <c r="R540" s="51"/>
      <c r="S540" s="51"/>
      <c r="T540" s="51"/>
      <c r="U540" s="51"/>
      <c r="V540" s="51"/>
      <c r="W540" s="51"/>
      <c r="X540" s="51"/>
      <c r="Y540" s="51"/>
      <c r="Z540" s="51"/>
      <c r="AA540" s="51"/>
      <c r="AB540" s="51"/>
    </row>
    <row r="541" customFormat="false" ht="15.75" hidden="false" customHeight="false" outlineLevel="0" collapsed="false">
      <c r="A541" s="51"/>
      <c r="B541" s="51"/>
      <c r="C541" s="6"/>
      <c r="D541" s="49"/>
      <c r="E541" s="51"/>
      <c r="F541" s="6"/>
      <c r="G541" s="6"/>
      <c r="H541" s="6"/>
      <c r="I541" s="6"/>
      <c r="J541" s="6"/>
      <c r="K541" s="51"/>
      <c r="L541" s="51"/>
      <c r="M541" s="51"/>
      <c r="N541" s="51"/>
      <c r="O541" s="51"/>
      <c r="P541" s="51"/>
      <c r="Q541" s="51"/>
      <c r="R541" s="51"/>
      <c r="S541" s="51"/>
      <c r="T541" s="51"/>
      <c r="U541" s="51"/>
      <c r="V541" s="51"/>
      <c r="W541" s="51"/>
      <c r="X541" s="51"/>
      <c r="Y541" s="51"/>
      <c r="Z541" s="51"/>
      <c r="AA541" s="51"/>
      <c r="AB541" s="51"/>
    </row>
    <row r="542" customFormat="false" ht="15.75" hidden="false" customHeight="false" outlineLevel="0" collapsed="false">
      <c r="A542" s="51"/>
      <c r="B542" s="51"/>
      <c r="C542" s="6"/>
      <c r="D542" s="49"/>
      <c r="E542" s="51"/>
      <c r="F542" s="6"/>
      <c r="G542" s="6"/>
      <c r="H542" s="6"/>
      <c r="I542" s="6"/>
      <c r="J542" s="6"/>
      <c r="K542" s="51"/>
      <c r="L542" s="51"/>
      <c r="M542" s="51"/>
      <c r="N542" s="51"/>
      <c r="O542" s="51"/>
      <c r="P542" s="51"/>
      <c r="Q542" s="51"/>
      <c r="R542" s="51"/>
      <c r="S542" s="51"/>
      <c r="T542" s="51"/>
      <c r="U542" s="51"/>
      <c r="V542" s="51"/>
      <c r="W542" s="51"/>
      <c r="X542" s="51"/>
      <c r="Y542" s="51"/>
      <c r="Z542" s="51"/>
      <c r="AA542" s="51"/>
      <c r="AB542" s="51"/>
    </row>
    <row r="543" customFormat="false" ht="15.75" hidden="false" customHeight="false" outlineLevel="0" collapsed="false">
      <c r="A543" s="51"/>
      <c r="B543" s="51"/>
      <c r="C543" s="6"/>
      <c r="D543" s="49"/>
      <c r="E543" s="51"/>
      <c r="F543" s="6"/>
      <c r="G543" s="6"/>
      <c r="H543" s="6"/>
      <c r="I543" s="6"/>
      <c r="J543" s="6"/>
      <c r="K543" s="51"/>
      <c r="L543" s="51"/>
      <c r="M543" s="51"/>
      <c r="N543" s="51"/>
      <c r="O543" s="51"/>
      <c r="P543" s="51"/>
      <c r="Q543" s="51"/>
      <c r="R543" s="51"/>
      <c r="S543" s="51"/>
      <c r="T543" s="51"/>
      <c r="U543" s="51"/>
      <c r="V543" s="51"/>
      <c r="W543" s="51"/>
      <c r="X543" s="51"/>
      <c r="Y543" s="51"/>
      <c r="Z543" s="51"/>
      <c r="AA543" s="51"/>
      <c r="AB543" s="51"/>
    </row>
    <row r="544" customFormat="false" ht="15.75" hidden="false" customHeight="false" outlineLevel="0" collapsed="false">
      <c r="A544" s="51"/>
      <c r="B544" s="51"/>
      <c r="C544" s="6"/>
      <c r="D544" s="49"/>
      <c r="E544" s="51"/>
      <c r="F544" s="6"/>
      <c r="G544" s="6"/>
      <c r="H544" s="6"/>
      <c r="I544" s="6"/>
      <c r="J544" s="6"/>
      <c r="K544" s="51"/>
      <c r="L544" s="51"/>
      <c r="M544" s="51"/>
      <c r="N544" s="51"/>
      <c r="O544" s="51"/>
      <c r="P544" s="51"/>
      <c r="Q544" s="51"/>
      <c r="R544" s="51"/>
      <c r="S544" s="51"/>
      <c r="T544" s="51"/>
      <c r="U544" s="51"/>
      <c r="V544" s="51"/>
      <c r="W544" s="51"/>
      <c r="X544" s="51"/>
      <c r="Y544" s="51"/>
      <c r="Z544" s="51"/>
      <c r="AA544" s="51"/>
      <c r="AB544" s="51"/>
    </row>
    <row r="545" customFormat="false" ht="15.75" hidden="false" customHeight="false" outlineLevel="0" collapsed="false">
      <c r="A545" s="51"/>
      <c r="B545" s="51"/>
      <c r="C545" s="6"/>
      <c r="D545" s="49"/>
      <c r="E545" s="51"/>
      <c r="F545" s="6"/>
      <c r="G545" s="6"/>
      <c r="H545" s="6"/>
      <c r="I545" s="6"/>
      <c r="J545" s="6"/>
      <c r="K545" s="51"/>
      <c r="L545" s="51"/>
      <c r="M545" s="51"/>
      <c r="N545" s="51"/>
      <c r="O545" s="51"/>
      <c r="P545" s="51"/>
      <c r="Q545" s="51"/>
      <c r="R545" s="51"/>
      <c r="S545" s="51"/>
      <c r="T545" s="51"/>
      <c r="U545" s="51"/>
      <c r="V545" s="51"/>
      <c r="W545" s="51"/>
      <c r="X545" s="51"/>
      <c r="Y545" s="51"/>
      <c r="Z545" s="51"/>
      <c r="AA545" s="51"/>
      <c r="AB545" s="51"/>
    </row>
    <row r="546" customFormat="false" ht="15.75" hidden="false" customHeight="false" outlineLevel="0" collapsed="false">
      <c r="A546" s="51"/>
      <c r="B546" s="51"/>
      <c r="C546" s="6"/>
      <c r="D546" s="49"/>
      <c r="E546" s="51"/>
      <c r="F546" s="6"/>
      <c r="G546" s="6"/>
      <c r="H546" s="6"/>
      <c r="I546" s="6"/>
      <c r="J546" s="6"/>
      <c r="K546" s="51"/>
      <c r="L546" s="51"/>
      <c r="M546" s="51"/>
      <c r="N546" s="51"/>
      <c r="O546" s="51"/>
      <c r="P546" s="51"/>
      <c r="Q546" s="51"/>
      <c r="R546" s="51"/>
      <c r="S546" s="51"/>
      <c r="T546" s="51"/>
      <c r="U546" s="51"/>
      <c r="V546" s="51"/>
      <c r="W546" s="51"/>
      <c r="X546" s="51"/>
      <c r="Y546" s="51"/>
      <c r="Z546" s="51"/>
      <c r="AA546" s="51"/>
      <c r="AB546" s="51"/>
    </row>
    <row r="547" customFormat="false" ht="15.75" hidden="false" customHeight="false" outlineLevel="0" collapsed="false">
      <c r="A547" s="51"/>
      <c r="B547" s="51"/>
      <c r="C547" s="6"/>
      <c r="D547" s="49"/>
      <c r="E547" s="51"/>
      <c r="F547" s="6"/>
      <c r="G547" s="6"/>
      <c r="H547" s="6"/>
      <c r="I547" s="6"/>
      <c r="J547" s="6"/>
      <c r="K547" s="51"/>
      <c r="L547" s="51"/>
      <c r="M547" s="51"/>
      <c r="N547" s="51"/>
      <c r="O547" s="51"/>
      <c r="P547" s="51"/>
      <c r="Q547" s="51"/>
      <c r="R547" s="51"/>
      <c r="S547" s="51"/>
      <c r="T547" s="51"/>
      <c r="U547" s="51"/>
      <c r="V547" s="51"/>
      <c r="W547" s="51"/>
      <c r="X547" s="51"/>
      <c r="Y547" s="51"/>
      <c r="Z547" s="51"/>
      <c r="AA547" s="51"/>
      <c r="AB547" s="51"/>
    </row>
    <row r="548" customFormat="false" ht="15.75" hidden="false" customHeight="false" outlineLevel="0" collapsed="false">
      <c r="A548" s="51"/>
      <c r="B548" s="51"/>
      <c r="C548" s="6"/>
      <c r="D548" s="49"/>
      <c r="E548" s="51"/>
      <c r="F548" s="6"/>
      <c r="G548" s="6"/>
      <c r="H548" s="6"/>
      <c r="I548" s="6"/>
      <c r="J548" s="6"/>
      <c r="K548" s="51"/>
      <c r="L548" s="51"/>
      <c r="M548" s="51"/>
      <c r="N548" s="51"/>
      <c r="O548" s="51"/>
      <c r="P548" s="51"/>
      <c r="Q548" s="51"/>
      <c r="R548" s="51"/>
      <c r="S548" s="51"/>
      <c r="T548" s="51"/>
      <c r="U548" s="51"/>
      <c r="V548" s="51"/>
      <c r="W548" s="51"/>
      <c r="X548" s="51"/>
      <c r="Y548" s="51"/>
      <c r="Z548" s="51"/>
      <c r="AA548" s="51"/>
      <c r="AB548" s="51"/>
    </row>
    <row r="549" customFormat="false" ht="15.75" hidden="false" customHeight="false" outlineLevel="0" collapsed="false">
      <c r="A549" s="51"/>
      <c r="B549" s="51"/>
      <c r="C549" s="6"/>
      <c r="D549" s="49"/>
      <c r="E549" s="51"/>
      <c r="F549" s="6"/>
      <c r="G549" s="6"/>
      <c r="H549" s="6"/>
      <c r="I549" s="6"/>
      <c r="J549" s="6"/>
      <c r="K549" s="51"/>
      <c r="L549" s="51"/>
      <c r="M549" s="51"/>
      <c r="N549" s="51"/>
      <c r="O549" s="51"/>
      <c r="P549" s="51"/>
      <c r="Q549" s="51"/>
      <c r="R549" s="51"/>
      <c r="S549" s="51"/>
      <c r="T549" s="51"/>
      <c r="U549" s="51"/>
      <c r="V549" s="51"/>
      <c r="W549" s="51"/>
      <c r="X549" s="51"/>
      <c r="Y549" s="51"/>
      <c r="Z549" s="51"/>
      <c r="AA549" s="51"/>
      <c r="AB549" s="51"/>
    </row>
    <row r="550" customFormat="false" ht="15.75" hidden="false" customHeight="false" outlineLevel="0" collapsed="false">
      <c r="A550" s="51"/>
      <c r="B550" s="51"/>
      <c r="C550" s="6"/>
      <c r="D550" s="49"/>
      <c r="E550" s="51"/>
      <c r="F550" s="6"/>
      <c r="G550" s="6"/>
      <c r="H550" s="6"/>
      <c r="I550" s="6"/>
      <c r="J550" s="6"/>
      <c r="K550" s="51"/>
      <c r="L550" s="51"/>
      <c r="M550" s="51"/>
      <c r="N550" s="51"/>
      <c r="O550" s="51"/>
      <c r="P550" s="51"/>
      <c r="Q550" s="51"/>
      <c r="R550" s="51"/>
      <c r="S550" s="51"/>
      <c r="T550" s="51"/>
      <c r="U550" s="51"/>
      <c r="V550" s="51"/>
      <c r="W550" s="51"/>
      <c r="X550" s="51"/>
      <c r="Y550" s="51"/>
      <c r="Z550" s="51"/>
      <c r="AA550" s="51"/>
      <c r="AB550" s="51"/>
    </row>
    <row r="551" customFormat="false" ht="15.75" hidden="false" customHeight="false" outlineLevel="0" collapsed="false">
      <c r="A551" s="51"/>
      <c r="B551" s="51"/>
      <c r="C551" s="6"/>
      <c r="D551" s="49"/>
      <c r="E551" s="51"/>
      <c r="F551" s="6"/>
      <c r="G551" s="6"/>
      <c r="H551" s="6"/>
      <c r="I551" s="6"/>
      <c r="J551" s="6"/>
      <c r="K551" s="51"/>
      <c r="L551" s="51"/>
      <c r="M551" s="51"/>
      <c r="N551" s="51"/>
      <c r="O551" s="51"/>
      <c r="P551" s="51"/>
      <c r="Q551" s="51"/>
      <c r="R551" s="51"/>
      <c r="S551" s="51"/>
      <c r="T551" s="51"/>
      <c r="U551" s="51"/>
      <c r="V551" s="51"/>
      <c r="W551" s="51"/>
      <c r="X551" s="51"/>
      <c r="Y551" s="51"/>
      <c r="Z551" s="51"/>
      <c r="AA551" s="51"/>
      <c r="AB551" s="51"/>
    </row>
    <row r="552" customFormat="false" ht="15.75" hidden="false" customHeight="false" outlineLevel="0" collapsed="false">
      <c r="A552" s="51"/>
      <c r="B552" s="51"/>
      <c r="C552" s="6"/>
      <c r="D552" s="49"/>
      <c r="E552" s="51"/>
      <c r="F552" s="6"/>
      <c r="G552" s="6"/>
      <c r="H552" s="6"/>
      <c r="I552" s="6"/>
      <c r="J552" s="6"/>
      <c r="K552" s="51"/>
      <c r="L552" s="51"/>
      <c r="M552" s="51"/>
      <c r="N552" s="51"/>
      <c r="O552" s="51"/>
      <c r="P552" s="51"/>
      <c r="Q552" s="51"/>
      <c r="R552" s="51"/>
      <c r="S552" s="51"/>
      <c r="T552" s="51"/>
      <c r="U552" s="51"/>
      <c r="V552" s="51"/>
      <c r="W552" s="51"/>
      <c r="X552" s="51"/>
      <c r="Y552" s="51"/>
      <c r="Z552" s="51"/>
      <c r="AA552" s="51"/>
      <c r="AB552" s="51"/>
    </row>
    <row r="553" customFormat="false" ht="15.75" hidden="false" customHeight="false" outlineLevel="0" collapsed="false">
      <c r="A553" s="51"/>
      <c r="B553" s="51"/>
      <c r="C553" s="6"/>
      <c r="D553" s="49"/>
      <c r="E553" s="51"/>
      <c r="F553" s="6"/>
      <c r="G553" s="6"/>
      <c r="H553" s="6"/>
      <c r="I553" s="6"/>
      <c r="J553" s="6"/>
      <c r="K553" s="51"/>
      <c r="L553" s="51"/>
      <c r="M553" s="51"/>
      <c r="N553" s="51"/>
      <c r="O553" s="51"/>
      <c r="P553" s="51"/>
      <c r="Q553" s="51"/>
      <c r="R553" s="51"/>
      <c r="S553" s="51"/>
      <c r="T553" s="51"/>
      <c r="U553" s="51"/>
      <c r="V553" s="51"/>
      <c r="W553" s="51"/>
      <c r="X553" s="51"/>
      <c r="Y553" s="51"/>
      <c r="Z553" s="51"/>
      <c r="AA553" s="51"/>
      <c r="AB553" s="51"/>
    </row>
    <row r="554" customFormat="false" ht="15.75" hidden="false" customHeight="false" outlineLevel="0" collapsed="false">
      <c r="A554" s="51"/>
      <c r="B554" s="51"/>
      <c r="C554" s="6"/>
      <c r="D554" s="49"/>
      <c r="E554" s="51"/>
      <c r="F554" s="6"/>
      <c r="G554" s="6"/>
      <c r="H554" s="6"/>
      <c r="I554" s="6"/>
      <c r="J554" s="6"/>
      <c r="K554" s="51"/>
      <c r="L554" s="51"/>
      <c r="M554" s="51"/>
      <c r="N554" s="51"/>
      <c r="O554" s="51"/>
      <c r="P554" s="51"/>
      <c r="Q554" s="51"/>
      <c r="R554" s="51"/>
      <c r="S554" s="51"/>
      <c r="T554" s="51"/>
      <c r="U554" s="51"/>
      <c r="V554" s="51"/>
      <c r="W554" s="51"/>
      <c r="X554" s="51"/>
      <c r="Y554" s="51"/>
      <c r="Z554" s="51"/>
      <c r="AA554" s="51"/>
      <c r="AB554" s="51"/>
    </row>
    <row r="555" customFormat="false" ht="15.75" hidden="false" customHeight="false" outlineLevel="0" collapsed="false">
      <c r="A555" s="51"/>
      <c r="B555" s="51"/>
      <c r="C555" s="6"/>
      <c r="D555" s="49"/>
      <c r="E555" s="51"/>
      <c r="F555" s="6"/>
      <c r="G555" s="6"/>
      <c r="H555" s="6"/>
      <c r="I555" s="6"/>
      <c r="J555" s="6"/>
      <c r="K555" s="51"/>
      <c r="L555" s="51"/>
      <c r="M555" s="51"/>
      <c r="N555" s="51"/>
      <c r="O555" s="51"/>
      <c r="P555" s="51"/>
      <c r="Q555" s="51"/>
      <c r="R555" s="51"/>
      <c r="S555" s="51"/>
      <c r="T555" s="51"/>
      <c r="U555" s="51"/>
      <c r="V555" s="51"/>
      <c r="W555" s="51"/>
      <c r="X555" s="51"/>
      <c r="Y555" s="51"/>
      <c r="Z555" s="51"/>
      <c r="AA555" s="51"/>
      <c r="AB555" s="51"/>
    </row>
    <row r="556" customFormat="false" ht="15.75" hidden="false" customHeight="false" outlineLevel="0" collapsed="false">
      <c r="A556" s="51"/>
      <c r="B556" s="51"/>
      <c r="C556" s="6"/>
      <c r="D556" s="49"/>
      <c r="E556" s="51"/>
      <c r="F556" s="6"/>
      <c r="G556" s="6"/>
      <c r="H556" s="6"/>
      <c r="I556" s="6"/>
      <c r="J556" s="6"/>
      <c r="K556" s="51"/>
      <c r="L556" s="51"/>
      <c r="M556" s="51"/>
      <c r="N556" s="51"/>
      <c r="O556" s="51"/>
      <c r="P556" s="51"/>
      <c r="Q556" s="51"/>
      <c r="R556" s="51"/>
      <c r="S556" s="51"/>
      <c r="T556" s="51"/>
      <c r="U556" s="51"/>
      <c r="V556" s="51"/>
      <c r="W556" s="51"/>
      <c r="X556" s="51"/>
      <c r="Y556" s="51"/>
      <c r="Z556" s="51"/>
      <c r="AA556" s="51"/>
      <c r="AB556" s="51"/>
    </row>
    <row r="557" customFormat="false" ht="15.75" hidden="false" customHeight="false" outlineLevel="0" collapsed="false">
      <c r="A557" s="51"/>
      <c r="B557" s="51"/>
      <c r="C557" s="6"/>
      <c r="D557" s="49"/>
      <c r="E557" s="51"/>
      <c r="F557" s="6"/>
      <c r="G557" s="6"/>
      <c r="H557" s="6"/>
      <c r="I557" s="6"/>
      <c r="J557" s="6"/>
      <c r="K557" s="51"/>
      <c r="L557" s="51"/>
      <c r="M557" s="51"/>
      <c r="N557" s="51"/>
      <c r="O557" s="51"/>
      <c r="P557" s="51"/>
      <c r="Q557" s="51"/>
      <c r="R557" s="51"/>
      <c r="S557" s="51"/>
      <c r="T557" s="51"/>
      <c r="U557" s="51"/>
      <c r="V557" s="51"/>
      <c r="W557" s="51"/>
      <c r="X557" s="51"/>
      <c r="Y557" s="51"/>
      <c r="Z557" s="51"/>
      <c r="AA557" s="51"/>
      <c r="AB557" s="51"/>
    </row>
    <row r="558" customFormat="false" ht="15.75" hidden="false" customHeight="false" outlineLevel="0" collapsed="false">
      <c r="A558" s="51"/>
      <c r="B558" s="51"/>
      <c r="C558" s="6"/>
      <c r="D558" s="49"/>
      <c r="E558" s="51"/>
      <c r="F558" s="6"/>
      <c r="G558" s="6"/>
      <c r="H558" s="6"/>
      <c r="I558" s="6"/>
      <c r="J558" s="6"/>
      <c r="K558" s="51"/>
      <c r="L558" s="51"/>
      <c r="M558" s="51"/>
      <c r="N558" s="51"/>
      <c r="O558" s="51"/>
      <c r="P558" s="51"/>
      <c r="Q558" s="51"/>
      <c r="R558" s="51"/>
      <c r="S558" s="51"/>
      <c r="T558" s="51"/>
      <c r="U558" s="51"/>
      <c r="V558" s="51"/>
      <c r="W558" s="51"/>
      <c r="X558" s="51"/>
      <c r="Y558" s="51"/>
      <c r="Z558" s="51"/>
      <c r="AA558" s="51"/>
      <c r="AB558" s="51"/>
    </row>
    <row r="559" customFormat="false" ht="15.75" hidden="false" customHeight="false" outlineLevel="0" collapsed="false">
      <c r="A559" s="51"/>
      <c r="B559" s="51"/>
      <c r="C559" s="6"/>
      <c r="D559" s="49"/>
      <c r="E559" s="51"/>
      <c r="F559" s="6"/>
      <c r="G559" s="6"/>
      <c r="H559" s="6"/>
      <c r="I559" s="6"/>
      <c r="J559" s="6"/>
      <c r="K559" s="51"/>
      <c r="L559" s="51"/>
      <c r="M559" s="51"/>
      <c r="N559" s="51"/>
      <c r="O559" s="51"/>
      <c r="P559" s="51"/>
      <c r="Q559" s="51"/>
      <c r="R559" s="51"/>
      <c r="S559" s="51"/>
      <c r="T559" s="51"/>
      <c r="U559" s="51"/>
      <c r="V559" s="51"/>
      <c r="W559" s="51"/>
      <c r="X559" s="51"/>
      <c r="Y559" s="51"/>
      <c r="Z559" s="51"/>
      <c r="AA559" s="51"/>
      <c r="AB559" s="51"/>
    </row>
    <row r="560" customFormat="false" ht="15.75" hidden="false" customHeight="false" outlineLevel="0" collapsed="false">
      <c r="A560" s="51"/>
      <c r="B560" s="51"/>
      <c r="C560" s="6"/>
      <c r="D560" s="49"/>
      <c r="E560" s="51"/>
      <c r="F560" s="6"/>
      <c r="G560" s="6"/>
      <c r="H560" s="6"/>
      <c r="I560" s="6"/>
      <c r="J560" s="6"/>
      <c r="K560" s="51"/>
      <c r="L560" s="51"/>
      <c r="M560" s="51"/>
      <c r="N560" s="51"/>
      <c r="O560" s="51"/>
      <c r="P560" s="51"/>
      <c r="Q560" s="51"/>
      <c r="R560" s="51"/>
      <c r="S560" s="51"/>
      <c r="T560" s="51"/>
      <c r="U560" s="51"/>
      <c r="V560" s="51"/>
      <c r="W560" s="51"/>
      <c r="X560" s="51"/>
      <c r="Y560" s="51"/>
      <c r="Z560" s="51"/>
      <c r="AA560" s="51"/>
      <c r="AB560" s="51"/>
    </row>
    <row r="561" customFormat="false" ht="15.75" hidden="false" customHeight="false" outlineLevel="0" collapsed="false">
      <c r="A561" s="51"/>
      <c r="B561" s="51"/>
      <c r="C561" s="6"/>
      <c r="D561" s="49"/>
      <c r="E561" s="51"/>
      <c r="F561" s="6"/>
      <c r="G561" s="6"/>
      <c r="H561" s="6"/>
      <c r="I561" s="6"/>
      <c r="J561" s="6"/>
      <c r="K561" s="51"/>
      <c r="L561" s="51"/>
      <c r="M561" s="51"/>
      <c r="N561" s="51"/>
      <c r="O561" s="51"/>
      <c r="P561" s="51"/>
      <c r="Q561" s="51"/>
      <c r="R561" s="51"/>
      <c r="S561" s="51"/>
      <c r="T561" s="51"/>
      <c r="U561" s="51"/>
      <c r="V561" s="51"/>
      <c r="W561" s="51"/>
      <c r="X561" s="51"/>
      <c r="Y561" s="51"/>
      <c r="Z561" s="51"/>
      <c r="AA561" s="51"/>
      <c r="AB561" s="51"/>
    </row>
    <row r="562" customFormat="false" ht="15.75" hidden="false" customHeight="false" outlineLevel="0" collapsed="false">
      <c r="A562" s="51"/>
      <c r="B562" s="51"/>
      <c r="C562" s="6"/>
      <c r="D562" s="49"/>
      <c r="E562" s="51"/>
      <c r="F562" s="6"/>
      <c r="G562" s="6"/>
      <c r="H562" s="6"/>
      <c r="I562" s="6"/>
      <c r="J562" s="6"/>
      <c r="K562" s="51"/>
      <c r="L562" s="51"/>
      <c r="M562" s="51"/>
      <c r="N562" s="51"/>
      <c r="O562" s="51"/>
      <c r="P562" s="51"/>
      <c r="Q562" s="51"/>
      <c r="R562" s="51"/>
      <c r="S562" s="51"/>
      <c r="T562" s="51"/>
      <c r="U562" s="51"/>
      <c r="V562" s="51"/>
      <c r="W562" s="51"/>
      <c r="X562" s="51"/>
      <c r="Y562" s="51"/>
      <c r="Z562" s="51"/>
      <c r="AA562" s="51"/>
      <c r="AB562" s="51"/>
    </row>
    <row r="563" customFormat="false" ht="15.75" hidden="false" customHeight="false" outlineLevel="0" collapsed="false">
      <c r="A563" s="51"/>
      <c r="B563" s="51"/>
      <c r="C563" s="6"/>
      <c r="D563" s="49"/>
      <c r="E563" s="51"/>
      <c r="F563" s="6"/>
      <c r="G563" s="6"/>
      <c r="H563" s="6"/>
      <c r="I563" s="6"/>
      <c r="J563" s="6"/>
      <c r="K563" s="51"/>
      <c r="L563" s="51"/>
      <c r="M563" s="51"/>
      <c r="N563" s="51"/>
      <c r="O563" s="51"/>
      <c r="P563" s="51"/>
      <c r="Q563" s="51"/>
      <c r="R563" s="51"/>
      <c r="S563" s="51"/>
      <c r="T563" s="51"/>
      <c r="U563" s="51"/>
      <c r="V563" s="51"/>
      <c r="W563" s="51"/>
      <c r="X563" s="51"/>
      <c r="Y563" s="51"/>
      <c r="Z563" s="51"/>
      <c r="AA563" s="51"/>
      <c r="AB563" s="51"/>
    </row>
    <row r="564" customFormat="false" ht="15.75" hidden="false" customHeight="false" outlineLevel="0" collapsed="false">
      <c r="A564" s="51"/>
      <c r="B564" s="51"/>
      <c r="C564" s="6"/>
      <c r="D564" s="49"/>
      <c r="E564" s="51"/>
      <c r="F564" s="6"/>
      <c r="G564" s="6"/>
      <c r="H564" s="6"/>
      <c r="I564" s="6"/>
      <c r="J564" s="6"/>
      <c r="K564" s="51"/>
      <c r="L564" s="51"/>
      <c r="M564" s="51"/>
      <c r="N564" s="51"/>
      <c r="O564" s="51"/>
      <c r="P564" s="51"/>
      <c r="Q564" s="51"/>
      <c r="R564" s="51"/>
      <c r="S564" s="51"/>
      <c r="T564" s="51"/>
      <c r="U564" s="51"/>
      <c r="V564" s="51"/>
      <c r="W564" s="51"/>
      <c r="X564" s="51"/>
      <c r="Y564" s="51"/>
      <c r="Z564" s="51"/>
      <c r="AA564" s="51"/>
      <c r="AB564" s="51"/>
    </row>
    <row r="565" customFormat="false" ht="15.75" hidden="false" customHeight="false" outlineLevel="0" collapsed="false">
      <c r="A565" s="51"/>
      <c r="B565" s="51"/>
      <c r="C565" s="6"/>
      <c r="D565" s="49"/>
      <c r="E565" s="51"/>
      <c r="F565" s="6"/>
      <c r="G565" s="6"/>
      <c r="H565" s="6"/>
      <c r="I565" s="6"/>
      <c r="J565" s="6"/>
      <c r="K565" s="51"/>
      <c r="L565" s="51"/>
      <c r="M565" s="51"/>
      <c r="N565" s="51"/>
      <c r="O565" s="51"/>
      <c r="P565" s="51"/>
      <c r="Q565" s="51"/>
      <c r="R565" s="51"/>
      <c r="S565" s="51"/>
      <c r="T565" s="51"/>
      <c r="U565" s="51"/>
      <c r="V565" s="51"/>
      <c r="W565" s="51"/>
      <c r="X565" s="51"/>
      <c r="Y565" s="51"/>
      <c r="Z565" s="51"/>
      <c r="AA565" s="51"/>
      <c r="AB565" s="51"/>
    </row>
    <row r="566" customFormat="false" ht="15.75" hidden="false" customHeight="false" outlineLevel="0" collapsed="false">
      <c r="A566" s="51"/>
      <c r="B566" s="51"/>
      <c r="C566" s="6"/>
      <c r="D566" s="49"/>
      <c r="E566" s="51"/>
      <c r="F566" s="6"/>
      <c r="G566" s="6"/>
      <c r="H566" s="6"/>
      <c r="I566" s="6"/>
      <c r="J566" s="6"/>
      <c r="K566" s="51"/>
      <c r="L566" s="51"/>
      <c r="M566" s="51"/>
      <c r="N566" s="51"/>
      <c r="O566" s="51"/>
      <c r="P566" s="51"/>
      <c r="Q566" s="51"/>
      <c r="R566" s="51"/>
      <c r="S566" s="51"/>
      <c r="T566" s="51"/>
      <c r="U566" s="51"/>
      <c r="V566" s="51"/>
      <c r="W566" s="51"/>
      <c r="X566" s="51"/>
      <c r="Y566" s="51"/>
      <c r="Z566" s="51"/>
      <c r="AA566" s="51"/>
      <c r="AB566" s="51"/>
    </row>
    <row r="567" customFormat="false" ht="15.75" hidden="false" customHeight="false" outlineLevel="0" collapsed="false">
      <c r="A567" s="51"/>
      <c r="B567" s="51"/>
      <c r="C567" s="6"/>
      <c r="D567" s="49"/>
      <c r="E567" s="51"/>
      <c r="F567" s="6"/>
      <c r="G567" s="6"/>
      <c r="H567" s="6"/>
      <c r="I567" s="6"/>
      <c r="J567" s="6"/>
      <c r="K567" s="51"/>
      <c r="L567" s="51"/>
      <c r="M567" s="51"/>
      <c r="N567" s="51"/>
      <c r="O567" s="51"/>
      <c r="P567" s="51"/>
      <c r="Q567" s="51"/>
      <c r="R567" s="51"/>
      <c r="S567" s="51"/>
      <c r="T567" s="51"/>
      <c r="U567" s="51"/>
      <c r="V567" s="51"/>
      <c r="W567" s="51"/>
      <c r="X567" s="51"/>
      <c r="Y567" s="51"/>
      <c r="Z567" s="51"/>
      <c r="AA567" s="51"/>
      <c r="AB567" s="51"/>
    </row>
    <row r="568" customFormat="false" ht="15.75" hidden="false" customHeight="false" outlineLevel="0" collapsed="false">
      <c r="A568" s="51"/>
      <c r="B568" s="51"/>
      <c r="C568" s="6"/>
      <c r="D568" s="49"/>
      <c r="E568" s="51"/>
      <c r="F568" s="6"/>
      <c r="G568" s="6"/>
      <c r="H568" s="6"/>
      <c r="I568" s="6"/>
      <c r="J568" s="6"/>
      <c r="K568" s="51"/>
      <c r="L568" s="51"/>
      <c r="M568" s="51"/>
      <c r="N568" s="51"/>
      <c r="O568" s="51"/>
      <c r="P568" s="51"/>
      <c r="Q568" s="51"/>
      <c r="R568" s="51"/>
      <c r="S568" s="51"/>
      <c r="T568" s="51"/>
      <c r="U568" s="51"/>
      <c r="V568" s="51"/>
      <c r="W568" s="51"/>
      <c r="X568" s="51"/>
      <c r="Y568" s="51"/>
      <c r="Z568" s="51"/>
      <c r="AA568" s="51"/>
      <c r="AB568" s="51"/>
    </row>
    <row r="569" customFormat="false" ht="15.75" hidden="false" customHeight="false" outlineLevel="0" collapsed="false">
      <c r="A569" s="51"/>
      <c r="B569" s="51"/>
      <c r="C569" s="6"/>
      <c r="D569" s="49"/>
      <c r="E569" s="51"/>
      <c r="F569" s="6"/>
      <c r="G569" s="6"/>
      <c r="H569" s="6"/>
      <c r="I569" s="6"/>
      <c r="J569" s="6"/>
      <c r="K569" s="51"/>
      <c r="L569" s="51"/>
      <c r="M569" s="51"/>
      <c r="N569" s="51"/>
      <c r="O569" s="51"/>
      <c r="P569" s="51"/>
      <c r="Q569" s="51"/>
      <c r="R569" s="51"/>
      <c r="S569" s="51"/>
      <c r="T569" s="51"/>
      <c r="U569" s="51"/>
      <c r="V569" s="51"/>
      <c r="W569" s="51"/>
      <c r="X569" s="51"/>
      <c r="Y569" s="51"/>
      <c r="Z569" s="51"/>
      <c r="AA569" s="51"/>
      <c r="AB569" s="51"/>
    </row>
    <row r="570" customFormat="false" ht="15.75" hidden="false" customHeight="false" outlineLevel="0" collapsed="false">
      <c r="A570" s="51"/>
      <c r="B570" s="51"/>
      <c r="C570" s="6"/>
      <c r="D570" s="49"/>
      <c r="E570" s="51"/>
      <c r="F570" s="6"/>
      <c r="G570" s="6"/>
      <c r="H570" s="6"/>
      <c r="I570" s="6"/>
      <c r="J570" s="6"/>
      <c r="K570" s="51"/>
      <c r="L570" s="51"/>
      <c r="M570" s="51"/>
      <c r="N570" s="51"/>
      <c r="O570" s="51"/>
      <c r="P570" s="51"/>
      <c r="Q570" s="51"/>
      <c r="R570" s="51"/>
      <c r="S570" s="51"/>
      <c r="T570" s="51"/>
      <c r="U570" s="51"/>
      <c r="V570" s="51"/>
      <c r="W570" s="51"/>
      <c r="X570" s="51"/>
      <c r="Y570" s="51"/>
      <c r="Z570" s="51"/>
      <c r="AA570" s="51"/>
      <c r="AB570" s="51"/>
    </row>
    <row r="571" customFormat="false" ht="15.75" hidden="false" customHeight="false" outlineLevel="0" collapsed="false">
      <c r="A571" s="51"/>
      <c r="B571" s="51"/>
      <c r="C571" s="6"/>
      <c r="D571" s="49"/>
      <c r="E571" s="51"/>
      <c r="F571" s="6"/>
      <c r="G571" s="6"/>
      <c r="H571" s="6"/>
      <c r="I571" s="6"/>
      <c r="J571" s="6"/>
      <c r="K571" s="51"/>
      <c r="L571" s="51"/>
      <c r="M571" s="51"/>
      <c r="N571" s="51"/>
      <c r="O571" s="51"/>
      <c r="P571" s="51"/>
      <c r="Q571" s="51"/>
      <c r="R571" s="51"/>
      <c r="S571" s="51"/>
      <c r="T571" s="51"/>
      <c r="U571" s="51"/>
      <c r="V571" s="51"/>
      <c r="W571" s="51"/>
      <c r="X571" s="51"/>
      <c r="Y571" s="51"/>
      <c r="Z571" s="51"/>
      <c r="AA571" s="51"/>
      <c r="AB571" s="51"/>
    </row>
    <row r="572" customFormat="false" ht="15.75" hidden="false" customHeight="false" outlineLevel="0" collapsed="false">
      <c r="A572" s="51"/>
      <c r="B572" s="51"/>
      <c r="C572" s="6"/>
      <c r="D572" s="49"/>
      <c r="E572" s="51"/>
      <c r="F572" s="6"/>
      <c r="G572" s="6"/>
      <c r="H572" s="6"/>
      <c r="I572" s="6"/>
      <c r="J572" s="6"/>
      <c r="K572" s="51"/>
      <c r="L572" s="51"/>
      <c r="M572" s="51"/>
      <c r="N572" s="51"/>
      <c r="O572" s="51"/>
      <c r="P572" s="51"/>
      <c r="Q572" s="51"/>
      <c r="R572" s="51"/>
      <c r="S572" s="51"/>
      <c r="T572" s="51"/>
      <c r="U572" s="51"/>
      <c r="V572" s="51"/>
      <c r="W572" s="51"/>
      <c r="X572" s="51"/>
      <c r="Y572" s="51"/>
      <c r="Z572" s="51"/>
      <c r="AA572" s="51"/>
      <c r="AB572" s="51"/>
    </row>
    <row r="573" customFormat="false" ht="15.75" hidden="false" customHeight="false" outlineLevel="0" collapsed="false">
      <c r="A573" s="51"/>
      <c r="B573" s="51"/>
      <c r="C573" s="6"/>
      <c r="D573" s="49"/>
      <c r="E573" s="51"/>
      <c r="F573" s="6"/>
      <c r="G573" s="6"/>
      <c r="H573" s="6"/>
      <c r="I573" s="6"/>
      <c r="J573" s="6"/>
      <c r="K573" s="51"/>
      <c r="L573" s="51"/>
      <c r="M573" s="51"/>
      <c r="N573" s="51"/>
      <c r="O573" s="51"/>
      <c r="P573" s="51"/>
      <c r="Q573" s="51"/>
      <c r="R573" s="51"/>
      <c r="S573" s="51"/>
      <c r="T573" s="51"/>
      <c r="U573" s="51"/>
      <c r="V573" s="51"/>
      <c r="W573" s="51"/>
      <c r="X573" s="51"/>
      <c r="Y573" s="51"/>
      <c r="Z573" s="51"/>
      <c r="AA573" s="51"/>
      <c r="AB573" s="51"/>
    </row>
    <row r="574" customFormat="false" ht="15.75" hidden="false" customHeight="false" outlineLevel="0" collapsed="false">
      <c r="A574" s="51"/>
      <c r="B574" s="51"/>
      <c r="C574" s="6"/>
      <c r="D574" s="49"/>
      <c r="E574" s="51"/>
      <c r="F574" s="6"/>
      <c r="G574" s="6"/>
      <c r="H574" s="6"/>
      <c r="I574" s="6"/>
      <c r="J574" s="6"/>
      <c r="K574" s="51"/>
      <c r="L574" s="51"/>
      <c r="M574" s="51"/>
      <c r="N574" s="51"/>
      <c r="O574" s="51"/>
      <c r="P574" s="51"/>
      <c r="Q574" s="51"/>
      <c r="R574" s="51"/>
      <c r="S574" s="51"/>
      <c r="T574" s="51"/>
      <c r="U574" s="51"/>
      <c r="V574" s="51"/>
      <c r="W574" s="51"/>
      <c r="X574" s="51"/>
      <c r="Y574" s="51"/>
      <c r="Z574" s="51"/>
      <c r="AA574" s="51"/>
      <c r="AB574" s="51"/>
    </row>
    <row r="575" customFormat="false" ht="15.75" hidden="false" customHeight="false" outlineLevel="0" collapsed="false">
      <c r="A575" s="51"/>
      <c r="B575" s="51"/>
      <c r="C575" s="6"/>
      <c r="D575" s="49"/>
      <c r="E575" s="51"/>
      <c r="F575" s="6"/>
      <c r="G575" s="6"/>
      <c r="H575" s="6"/>
      <c r="I575" s="6"/>
      <c r="J575" s="6"/>
      <c r="K575" s="51"/>
      <c r="L575" s="51"/>
      <c r="M575" s="51"/>
      <c r="N575" s="51"/>
      <c r="O575" s="51"/>
      <c r="P575" s="51"/>
      <c r="Q575" s="51"/>
      <c r="R575" s="51"/>
      <c r="S575" s="51"/>
      <c r="T575" s="51"/>
      <c r="U575" s="51"/>
      <c r="V575" s="51"/>
      <c r="W575" s="51"/>
      <c r="X575" s="51"/>
      <c r="Y575" s="51"/>
      <c r="Z575" s="51"/>
      <c r="AA575" s="51"/>
      <c r="AB575" s="51"/>
    </row>
    <row r="576" customFormat="false" ht="15.75" hidden="false" customHeight="false" outlineLevel="0" collapsed="false">
      <c r="A576" s="51"/>
      <c r="B576" s="51"/>
      <c r="C576" s="6"/>
      <c r="D576" s="49"/>
      <c r="E576" s="51"/>
      <c r="F576" s="6"/>
      <c r="G576" s="6"/>
      <c r="H576" s="6"/>
      <c r="I576" s="6"/>
      <c r="J576" s="6"/>
      <c r="K576" s="51"/>
      <c r="L576" s="51"/>
      <c r="M576" s="51"/>
      <c r="N576" s="51"/>
      <c r="O576" s="51"/>
      <c r="P576" s="51"/>
      <c r="Q576" s="51"/>
      <c r="R576" s="51"/>
      <c r="S576" s="51"/>
      <c r="T576" s="51"/>
      <c r="U576" s="51"/>
      <c r="V576" s="51"/>
      <c r="W576" s="51"/>
      <c r="X576" s="51"/>
      <c r="Y576" s="51"/>
      <c r="Z576" s="51"/>
      <c r="AA576" s="51"/>
      <c r="AB576" s="51"/>
    </row>
    <row r="577" customFormat="false" ht="15.75" hidden="false" customHeight="false" outlineLevel="0" collapsed="false">
      <c r="A577" s="51"/>
      <c r="B577" s="51"/>
      <c r="C577" s="6"/>
      <c r="D577" s="49"/>
      <c r="E577" s="51"/>
      <c r="F577" s="6"/>
      <c r="G577" s="6"/>
      <c r="H577" s="6"/>
      <c r="I577" s="6"/>
      <c r="J577" s="6"/>
      <c r="K577" s="51"/>
      <c r="L577" s="51"/>
      <c r="M577" s="51"/>
      <c r="N577" s="51"/>
      <c r="O577" s="51"/>
      <c r="P577" s="51"/>
      <c r="Q577" s="51"/>
      <c r="R577" s="51"/>
      <c r="S577" s="51"/>
      <c r="T577" s="51"/>
      <c r="U577" s="51"/>
      <c r="V577" s="51"/>
      <c r="W577" s="51"/>
      <c r="X577" s="51"/>
      <c r="Y577" s="51"/>
      <c r="Z577" s="51"/>
      <c r="AA577" s="51"/>
      <c r="AB577" s="51"/>
    </row>
    <row r="578" customFormat="false" ht="15.75" hidden="false" customHeight="false" outlineLevel="0" collapsed="false">
      <c r="A578" s="51"/>
      <c r="B578" s="51"/>
      <c r="C578" s="6"/>
      <c r="D578" s="49"/>
      <c r="E578" s="51"/>
      <c r="F578" s="6"/>
      <c r="G578" s="6"/>
      <c r="H578" s="6"/>
      <c r="I578" s="6"/>
      <c r="J578" s="6"/>
      <c r="K578" s="51"/>
      <c r="L578" s="51"/>
      <c r="M578" s="51"/>
      <c r="N578" s="51"/>
      <c r="O578" s="51"/>
      <c r="P578" s="51"/>
      <c r="Q578" s="51"/>
      <c r="R578" s="51"/>
      <c r="S578" s="51"/>
      <c r="T578" s="51"/>
      <c r="U578" s="51"/>
      <c r="V578" s="51"/>
      <c r="W578" s="51"/>
      <c r="X578" s="51"/>
      <c r="Y578" s="51"/>
      <c r="Z578" s="51"/>
      <c r="AA578" s="51"/>
      <c r="AB578" s="51"/>
    </row>
    <row r="579" customFormat="false" ht="15.75" hidden="false" customHeight="false" outlineLevel="0" collapsed="false">
      <c r="A579" s="51"/>
      <c r="B579" s="51"/>
      <c r="C579" s="6"/>
      <c r="D579" s="49"/>
      <c r="E579" s="51"/>
      <c r="F579" s="6"/>
      <c r="G579" s="6"/>
      <c r="H579" s="6"/>
      <c r="I579" s="6"/>
      <c r="J579" s="6"/>
      <c r="K579" s="51"/>
      <c r="L579" s="51"/>
      <c r="M579" s="51"/>
      <c r="N579" s="51"/>
      <c r="O579" s="51"/>
      <c r="P579" s="51"/>
      <c r="Q579" s="51"/>
      <c r="R579" s="51"/>
      <c r="S579" s="51"/>
      <c r="T579" s="51"/>
      <c r="U579" s="51"/>
      <c r="V579" s="51"/>
      <c r="W579" s="51"/>
      <c r="X579" s="51"/>
      <c r="Y579" s="51"/>
      <c r="Z579" s="51"/>
      <c r="AA579" s="51"/>
      <c r="AB579" s="51"/>
    </row>
    <row r="580" customFormat="false" ht="15.75" hidden="false" customHeight="false" outlineLevel="0" collapsed="false">
      <c r="A580" s="51"/>
      <c r="B580" s="51"/>
      <c r="C580" s="6"/>
      <c r="D580" s="49"/>
      <c r="E580" s="51"/>
      <c r="F580" s="6"/>
      <c r="G580" s="6"/>
      <c r="H580" s="6"/>
      <c r="I580" s="6"/>
      <c r="J580" s="6"/>
      <c r="K580" s="51"/>
      <c r="L580" s="51"/>
      <c r="M580" s="51"/>
      <c r="N580" s="51"/>
      <c r="O580" s="51"/>
      <c r="P580" s="51"/>
      <c r="Q580" s="51"/>
      <c r="R580" s="51"/>
      <c r="S580" s="51"/>
      <c r="T580" s="51"/>
      <c r="U580" s="51"/>
      <c r="V580" s="51"/>
      <c r="W580" s="51"/>
      <c r="X580" s="51"/>
      <c r="Y580" s="51"/>
      <c r="Z580" s="51"/>
      <c r="AA580" s="51"/>
      <c r="AB580" s="51"/>
    </row>
    <row r="581" customFormat="false" ht="15.75" hidden="false" customHeight="false" outlineLevel="0" collapsed="false">
      <c r="A581" s="51"/>
      <c r="B581" s="51"/>
      <c r="C581" s="6"/>
      <c r="D581" s="49"/>
      <c r="E581" s="51"/>
      <c r="F581" s="6"/>
      <c r="G581" s="6"/>
      <c r="H581" s="6"/>
      <c r="I581" s="6"/>
      <c r="J581" s="6"/>
      <c r="K581" s="51"/>
      <c r="L581" s="51"/>
      <c r="M581" s="51"/>
      <c r="N581" s="51"/>
      <c r="O581" s="51"/>
      <c r="P581" s="51"/>
      <c r="Q581" s="51"/>
      <c r="R581" s="51"/>
      <c r="S581" s="51"/>
      <c r="T581" s="51"/>
      <c r="U581" s="51"/>
      <c r="V581" s="51"/>
      <c r="W581" s="51"/>
      <c r="X581" s="51"/>
      <c r="Y581" s="51"/>
      <c r="Z581" s="51"/>
      <c r="AA581" s="51"/>
      <c r="AB581" s="51"/>
    </row>
    <row r="582" customFormat="false" ht="15.75" hidden="false" customHeight="false" outlineLevel="0" collapsed="false">
      <c r="A582" s="51"/>
      <c r="B582" s="51"/>
      <c r="C582" s="6"/>
      <c r="D582" s="49"/>
      <c r="E582" s="51"/>
      <c r="F582" s="6"/>
      <c r="G582" s="6"/>
      <c r="H582" s="6"/>
      <c r="I582" s="6"/>
      <c r="J582" s="6"/>
      <c r="K582" s="51"/>
      <c r="L582" s="51"/>
      <c r="M582" s="51"/>
      <c r="N582" s="51"/>
      <c r="O582" s="51"/>
      <c r="P582" s="51"/>
      <c r="Q582" s="51"/>
      <c r="R582" s="51"/>
      <c r="S582" s="51"/>
      <c r="T582" s="51"/>
      <c r="U582" s="51"/>
      <c r="V582" s="51"/>
      <c r="W582" s="51"/>
      <c r="X582" s="51"/>
      <c r="Y582" s="51"/>
      <c r="Z582" s="51"/>
      <c r="AA582" s="51"/>
      <c r="AB582" s="51"/>
    </row>
    <row r="583" customFormat="false" ht="15.75" hidden="false" customHeight="false" outlineLevel="0" collapsed="false">
      <c r="A583" s="51"/>
      <c r="B583" s="51"/>
      <c r="C583" s="6"/>
      <c r="D583" s="49"/>
      <c r="E583" s="51"/>
      <c r="F583" s="6"/>
      <c r="G583" s="6"/>
      <c r="H583" s="6"/>
      <c r="I583" s="6"/>
      <c r="J583" s="6"/>
      <c r="K583" s="51"/>
      <c r="L583" s="51"/>
      <c r="M583" s="51"/>
      <c r="N583" s="51"/>
      <c r="O583" s="51"/>
      <c r="P583" s="51"/>
      <c r="Q583" s="51"/>
      <c r="R583" s="51"/>
      <c r="S583" s="51"/>
      <c r="T583" s="51"/>
      <c r="U583" s="51"/>
      <c r="V583" s="51"/>
      <c r="W583" s="51"/>
      <c r="X583" s="51"/>
      <c r="Y583" s="51"/>
      <c r="Z583" s="51"/>
      <c r="AA583" s="51"/>
      <c r="AB583" s="51"/>
    </row>
    <row r="584" customFormat="false" ht="15.75" hidden="false" customHeight="false" outlineLevel="0" collapsed="false">
      <c r="A584" s="51"/>
      <c r="B584" s="51"/>
      <c r="C584" s="6"/>
      <c r="D584" s="49"/>
      <c r="E584" s="51"/>
      <c r="F584" s="6"/>
      <c r="G584" s="6"/>
      <c r="H584" s="6"/>
      <c r="I584" s="6"/>
      <c r="J584" s="6"/>
      <c r="K584" s="51"/>
      <c r="L584" s="51"/>
      <c r="M584" s="51"/>
      <c r="N584" s="51"/>
      <c r="O584" s="51"/>
      <c r="P584" s="51"/>
      <c r="Q584" s="51"/>
      <c r="R584" s="51"/>
      <c r="S584" s="51"/>
      <c r="T584" s="51"/>
      <c r="U584" s="51"/>
      <c r="V584" s="51"/>
      <c r="W584" s="51"/>
      <c r="X584" s="51"/>
      <c r="Y584" s="51"/>
      <c r="Z584" s="51"/>
      <c r="AA584" s="51"/>
      <c r="AB584" s="51"/>
    </row>
    <row r="585" customFormat="false" ht="15.75" hidden="false" customHeight="false" outlineLevel="0" collapsed="false">
      <c r="A585" s="51"/>
      <c r="B585" s="51"/>
      <c r="C585" s="6"/>
      <c r="D585" s="49"/>
      <c r="E585" s="51"/>
      <c r="F585" s="6"/>
      <c r="G585" s="6"/>
      <c r="H585" s="6"/>
      <c r="I585" s="6"/>
      <c r="J585" s="6"/>
      <c r="K585" s="51"/>
      <c r="L585" s="51"/>
      <c r="M585" s="51"/>
      <c r="N585" s="51"/>
      <c r="O585" s="51"/>
      <c r="P585" s="51"/>
      <c r="Q585" s="51"/>
      <c r="R585" s="51"/>
      <c r="S585" s="51"/>
      <c r="T585" s="51"/>
      <c r="U585" s="51"/>
      <c r="V585" s="51"/>
      <c r="W585" s="51"/>
      <c r="X585" s="51"/>
      <c r="Y585" s="51"/>
      <c r="Z585" s="51"/>
      <c r="AA585" s="51"/>
      <c r="AB585" s="51"/>
    </row>
    <row r="586" customFormat="false" ht="15.75" hidden="false" customHeight="false" outlineLevel="0" collapsed="false">
      <c r="A586" s="51"/>
      <c r="B586" s="51"/>
      <c r="C586" s="6"/>
      <c r="D586" s="49"/>
      <c r="E586" s="51"/>
      <c r="F586" s="6"/>
      <c r="G586" s="6"/>
      <c r="H586" s="6"/>
      <c r="I586" s="6"/>
      <c r="J586" s="6"/>
      <c r="K586" s="51"/>
      <c r="L586" s="51"/>
      <c r="M586" s="51"/>
      <c r="N586" s="51"/>
      <c r="O586" s="51"/>
      <c r="P586" s="51"/>
      <c r="Q586" s="51"/>
      <c r="R586" s="51"/>
      <c r="S586" s="51"/>
      <c r="T586" s="51"/>
      <c r="U586" s="51"/>
      <c r="V586" s="51"/>
      <c r="W586" s="51"/>
      <c r="X586" s="51"/>
      <c r="Y586" s="51"/>
      <c r="Z586" s="51"/>
      <c r="AA586" s="51"/>
      <c r="AB586" s="51"/>
    </row>
    <row r="587" customFormat="false" ht="15.75" hidden="false" customHeight="false" outlineLevel="0" collapsed="false">
      <c r="A587" s="51"/>
      <c r="B587" s="51"/>
      <c r="C587" s="6"/>
      <c r="D587" s="49"/>
      <c r="E587" s="51"/>
      <c r="F587" s="6"/>
      <c r="G587" s="6"/>
      <c r="H587" s="6"/>
      <c r="I587" s="6"/>
      <c r="J587" s="6"/>
      <c r="K587" s="51"/>
      <c r="L587" s="51"/>
      <c r="M587" s="51"/>
      <c r="N587" s="51"/>
      <c r="O587" s="51"/>
      <c r="P587" s="51"/>
      <c r="Q587" s="51"/>
      <c r="R587" s="51"/>
      <c r="S587" s="51"/>
      <c r="T587" s="51"/>
      <c r="U587" s="51"/>
      <c r="V587" s="51"/>
      <c r="W587" s="51"/>
      <c r="X587" s="51"/>
      <c r="Y587" s="51"/>
      <c r="Z587" s="51"/>
      <c r="AA587" s="51"/>
      <c r="AB587" s="51"/>
    </row>
    <row r="588" customFormat="false" ht="15.75" hidden="false" customHeight="false" outlineLevel="0" collapsed="false">
      <c r="A588" s="51"/>
      <c r="B588" s="51"/>
      <c r="C588" s="6"/>
      <c r="D588" s="49"/>
      <c r="E588" s="51"/>
      <c r="F588" s="6"/>
      <c r="G588" s="6"/>
      <c r="H588" s="6"/>
      <c r="I588" s="6"/>
      <c r="J588" s="6"/>
      <c r="K588" s="51"/>
      <c r="L588" s="51"/>
      <c r="M588" s="51"/>
      <c r="N588" s="51"/>
      <c r="O588" s="51"/>
      <c r="P588" s="51"/>
      <c r="Q588" s="51"/>
      <c r="R588" s="51"/>
      <c r="S588" s="51"/>
      <c r="T588" s="51"/>
      <c r="U588" s="51"/>
      <c r="V588" s="51"/>
      <c r="W588" s="51"/>
      <c r="X588" s="51"/>
      <c r="Y588" s="51"/>
      <c r="Z588" s="51"/>
      <c r="AA588" s="51"/>
      <c r="AB588" s="51"/>
    </row>
    <row r="589" customFormat="false" ht="15.75" hidden="false" customHeight="false" outlineLevel="0" collapsed="false">
      <c r="A589" s="51"/>
      <c r="B589" s="51"/>
      <c r="C589" s="6"/>
      <c r="D589" s="49"/>
      <c r="E589" s="51"/>
      <c r="F589" s="6"/>
      <c r="G589" s="6"/>
      <c r="H589" s="6"/>
      <c r="I589" s="6"/>
      <c r="J589" s="6"/>
      <c r="K589" s="51"/>
      <c r="L589" s="51"/>
      <c r="M589" s="51"/>
      <c r="N589" s="51"/>
      <c r="O589" s="51"/>
      <c r="P589" s="51"/>
      <c r="Q589" s="51"/>
      <c r="R589" s="51"/>
      <c r="S589" s="51"/>
      <c r="T589" s="51"/>
      <c r="U589" s="51"/>
      <c r="V589" s="51"/>
      <c r="W589" s="51"/>
      <c r="X589" s="51"/>
      <c r="Y589" s="51"/>
      <c r="Z589" s="51"/>
      <c r="AA589" s="51"/>
      <c r="AB589" s="51"/>
    </row>
    <row r="590" customFormat="false" ht="15.75" hidden="false" customHeight="false" outlineLevel="0" collapsed="false">
      <c r="A590" s="51"/>
      <c r="B590" s="51"/>
      <c r="C590" s="6"/>
      <c r="D590" s="49"/>
      <c r="E590" s="51"/>
      <c r="F590" s="6"/>
      <c r="G590" s="6"/>
      <c r="H590" s="6"/>
      <c r="I590" s="6"/>
      <c r="J590" s="6"/>
      <c r="K590" s="51"/>
      <c r="L590" s="51"/>
      <c r="M590" s="51"/>
      <c r="N590" s="51"/>
      <c r="O590" s="51"/>
      <c r="P590" s="51"/>
      <c r="Q590" s="51"/>
      <c r="R590" s="51"/>
      <c r="S590" s="51"/>
      <c r="T590" s="51"/>
      <c r="U590" s="51"/>
      <c r="V590" s="51"/>
      <c r="W590" s="51"/>
      <c r="X590" s="51"/>
      <c r="Y590" s="51"/>
      <c r="Z590" s="51"/>
      <c r="AA590" s="51"/>
      <c r="AB590" s="51"/>
    </row>
    <row r="591" customFormat="false" ht="15.75" hidden="false" customHeight="false" outlineLevel="0" collapsed="false">
      <c r="A591" s="51"/>
      <c r="B591" s="51"/>
      <c r="C591" s="6"/>
      <c r="D591" s="49"/>
      <c r="E591" s="51"/>
      <c r="F591" s="6"/>
      <c r="G591" s="6"/>
      <c r="H591" s="6"/>
      <c r="I591" s="6"/>
      <c r="J591" s="6"/>
      <c r="K591" s="51"/>
      <c r="L591" s="51"/>
      <c r="M591" s="51"/>
      <c r="N591" s="51"/>
      <c r="O591" s="51"/>
      <c r="P591" s="51"/>
      <c r="Q591" s="51"/>
      <c r="R591" s="51"/>
      <c r="S591" s="51"/>
      <c r="T591" s="51"/>
      <c r="U591" s="51"/>
      <c r="V591" s="51"/>
      <c r="W591" s="51"/>
      <c r="X591" s="51"/>
      <c r="Y591" s="51"/>
      <c r="Z591" s="51"/>
      <c r="AA591" s="51"/>
      <c r="AB591" s="51"/>
    </row>
    <row r="592" customFormat="false" ht="15.75" hidden="false" customHeight="false" outlineLevel="0" collapsed="false">
      <c r="A592" s="51"/>
      <c r="B592" s="51"/>
      <c r="C592" s="6"/>
      <c r="D592" s="49"/>
      <c r="E592" s="51"/>
      <c r="F592" s="6"/>
      <c r="G592" s="6"/>
      <c r="H592" s="6"/>
      <c r="I592" s="6"/>
      <c r="J592" s="6"/>
      <c r="K592" s="51"/>
      <c r="L592" s="51"/>
      <c r="M592" s="51"/>
      <c r="N592" s="51"/>
      <c r="O592" s="51"/>
      <c r="P592" s="51"/>
      <c r="Q592" s="51"/>
      <c r="R592" s="51"/>
      <c r="S592" s="51"/>
      <c r="T592" s="51"/>
      <c r="U592" s="51"/>
      <c r="V592" s="51"/>
      <c r="W592" s="51"/>
      <c r="X592" s="51"/>
      <c r="Y592" s="51"/>
      <c r="Z592" s="51"/>
      <c r="AA592" s="51"/>
      <c r="AB592" s="51"/>
    </row>
    <row r="593" customFormat="false" ht="15.75" hidden="false" customHeight="false" outlineLevel="0" collapsed="false">
      <c r="A593" s="51"/>
      <c r="B593" s="51"/>
      <c r="C593" s="6"/>
      <c r="D593" s="49"/>
      <c r="E593" s="51"/>
      <c r="F593" s="6"/>
      <c r="G593" s="6"/>
      <c r="H593" s="6"/>
      <c r="I593" s="6"/>
      <c r="J593" s="6"/>
      <c r="K593" s="51"/>
      <c r="L593" s="51"/>
      <c r="M593" s="51"/>
      <c r="N593" s="51"/>
      <c r="O593" s="51"/>
      <c r="P593" s="51"/>
      <c r="Q593" s="51"/>
      <c r="R593" s="51"/>
      <c r="S593" s="51"/>
      <c r="T593" s="51"/>
      <c r="U593" s="51"/>
      <c r="V593" s="51"/>
      <c r="W593" s="51"/>
      <c r="X593" s="51"/>
      <c r="Y593" s="51"/>
      <c r="Z593" s="51"/>
      <c r="AA593" s="51"/>
      <c r="AB593" s="51"/>
    </row>
    <row r="594" customFormat="false" ht="15.75" hidden="false" customHeight="false" outlineLevel="0" collapsed="false">
      <c r="A594" s="51"/>
      <c r="B594" s="51"/>
      <c r="C594" s="6"/>
      <c r="D594" s="49"/>
      <c r="E594" s="51"/>
      <c r="F594" s="6"/>
      <c r="G594" s="6"/>
      <c r="H594" s="6"/>
      <c r="I594" s="6"/>
      <c r="J594" s="6"/>
      <c r="K594" s="51"/>
      <c r="L594" s="51"/>
      <c r="M594" s="51"/>
      <c r="N594" s="51"/>
      <c r="O594" s="51"/>
      <c r="P594" s="51"/>
      <c r="Q594" s="51"/>
      <c r="R594" s="51"/>
      <c r="S594" s="51"/>
      <c r="T594" s="51"/>
      <c r="U594" s="51"/>
      <c r="V594" s="51"/>
      <c r="W594" s="51"/>
      <c r="X594" s="51"/>
      <c r="Y594" s="51"/>
      <c r="Z594" s="51"/>
      <c r="AA594" s="51"/>
      <c r="AB594" s="51"/>
    </row>
    <row r="595" customFormat="false" ht="15.75" hidden="false" customHeight="false" outlineLevel="0" collapsed="false">
      <c r="A595" s="51"/>
      <c r="B595" s="51"/>
      <c r="C595" s="6"/>
      <c r="D595" s="49"/>
      <c r="E595" s="51"/>
      <c r="F595" s="6"/>
      <c r="G595" s="6"/>
      <c r="H595" s="6"/>
      <c r="I595" s="6"/>
      <c r="J595" s="6"/>
      <c r="K595" s="51"/>
      <c r="L595" s="51"/>
      <c r="M595" s="51"/>
      <c r="N595" s="51"/>
      <c r="O595" s="51"/>
      <c r="P595" s="51"/>
      <c r="Q595" s="51"/>
      <c r="R595" s="51"/>
      <c r="S595" s="51"/>
      <c r="T595" s="51"/>
      <c r="U595" s="51"/>
      <c r="V595" s="51"/>
      <c r="W595" s="51"/>
      <c r="X595" s="51"/>
      <c r="Y595" s="51"/>
      <c r="Z595" s="51"/>
      <c r="AA595" s="51"/>
      <c r="AB595" s="51"/>
    </row>
    <row r="596" customFormat="false" ht="15.75" hidden="false" customHeight="false" outlineLevel="0" collapsed="false">
      <c r="A596" s="51"/>
      <c r="B596" s="51"/>
      <c r="C596" s="6"/>
      <c r="D596" s="49"/>
      <c r="E596" s="51"/>
      <c r="F596" s="6"/>
      <c r="G596" s="6"/>
      <c r="H596" s="6"/>
      <c r="I596" s="6"/>
      <c r="J596" s="6"/>
      <c r="K596" s="51"/>
      <c r="L596" s="51"/>
      <c r="M596" s="51"/>
      <c r="N596" s="51"/>
      <c r="O596" s="51"/>
      <c r="P596" s="51"/>
      <c r="Q596" s="51"/>
      <c r="R596" s="51"/>
      <c r="S596" s="51"/>
      <c r="T596" s="51"/>
      <c r="U596" s="51"/>
      <c r="V596" s="51"/>
      <c r="W596" s="51"/>
      <c r="X596" s="51"/>
      <c r="Y596" s="51"/>
      <c r="Z596" s="51"/>
      <c r="AA596" s="51"/>
      <c r="AB596" s="51"/>
    </row>
    <row r="597" customFormat="false" ht="15.75" hidden="false" customHeight="false" outlineLevel="0" collapsed="false">
      <c r="A597" s="51"/>
      <c r="B597" s="51"/>
      <c r="C597" s="6"/>
      <c r="D597" s="49"/>
      <c r="E597" s="51"/>
      <c r="F597" s="6"/>
      <c r="G597" s="6"/>
      <c r="H597" s="6"/>
      <c r="I597" s="6"/>
      <c r="J597" s="6"/>
      <c r="K597" s="51"/>
      <c r="L597" s="51"/>
      <c r="M597" s="51"/>
      <c r="N597" s="51"/>
      <c r="O597" s="51"/>
      <c r="P597" s="51"/>
      <c r="Q597" s="51"/>
      <c r="R597" s="51"/>
      <c r="S597" s="51"/>
      <c r="T597" s="51"/>
      <c r="U597" s="51"/>
      <c r="V597" s="51"/>
      <c r="W597" s="51"/>
      <c r="X597" s="51"/>
      <c r="Y597" s="51"/>
      <c r="Z597" s="51"/>
      <c r="AA597" s="51"/>
      <c r="AB597" s="51"/>
    </row>
    <row r="598" customFormat="false" ht="15.75" hidden="false" customHeight="false" outlineLevel="0" collapsed="false">
      <c r="A598" s="51"/>
      <c r="B598" s="51"/>
      <c r="C598" s="6"/>
      <c r="D598" s="49"/>
      <c r="E598" s="51"/>
      <c r="F598" s="6"/>
      <c r="G598" s="6"/>
      <c r="H598" s="6"/>
      <c r="I598" s="6"/>
      <c r="J598" s="6"/>
      <c r="K598" s="51"/>
      <c r="L598" s="51"/>
      <c r="M598" s="51"/>
      <c r="N598" s="51"/>
      <c r="O598" s="51"/>
      <c r="P598" s="51"/>
      <c r="Q598" s="51"/>
      <c r="R598" s="51"/>
      <c r="S598" s="51"/>
      <c r="T598" s="51"/>
      <c r="U598" s="51"/>
      <c r="V598" s="51"/>
      <c r="W598" s="51"/>
      <c r="X598" s="51"/>
      <c r="Y598" s="51"/>
      <c r="Z598" s="51"/>
      <c r="AA598" s="51"/>
      <c r="AB598" s="51"/>
    </row>
    <row r="599" customFormat="false" ht="15.75" hidden="false" customHeight="false" outlineLevel="0" collapsed="false">
      <c r="A599" s="51"/>
      <c r="B599" s="51"/>
      <c r="C599" s="6"/>
      <c r="D599" s="49"/>
      <c r="E599" s="51"/>
      <c r="F599" s="6"/>
      <c r="G599" s="6"/>
      <c r="H599" s="6"/>
      <c r="I599" s="6"/>
      <c r="J599" s="6"/>
      <c r="K599" s="51"/>
      <c r="L599" s="51"/>
      <c r="M599" s="51"/>
      <c r="N599" s="51"/>
      <c r="O599" s="51"/>
      <c r="P599" s="51"/>
      <c r="Q599" s="51"/>
      <c r="R599" s="51"/>
      <c r="S599" s="51"/>
      <c r="T599" s="51"/>
      <c r="U599" s="51"/>
      <c r="V599" s="51"/>
      <c r="W599" s="51"/>
      <c r="X599" s="51"/>
      <c r="Y599" s="51"/>
      <c r="Z599" s="51"/>
      <c r="AA599" s="51"/>
      <c r="AB599" s="51"/>
    </row>
    <row r="600" customFormat="false" ht="15.75" hidden="false" customHeight="false" outlineLevel="0" collapsed="false">
      <c r="A600" s="51"/>
      <c r="B600" s="51"/>
      <c r="C600" s="6"/>
      <c r="D600" s="49"/>
      <c r="E600" s="51"/>
      <c r="F600" s="6"/>
      <c r="G600" s="6"/>
      <c r="H600" s="6"/>
      <c r="I600" s="6"/>
      <c r="J600" s="6"/>
      <c r="K600" s="51"/>
      <c r="L600" s="51"/>
      <c r="M600" s="51"/>
      <c r="N600" s="51"/>
      <c r="O600" s="51"/>
      <c r="P600" s="51"/>
      <c r="Q600" s="51"/>
      <c r="R600" s="51"/>
      <c r="S600" s="51"/>
      <c r="T600" s="51"/>
      <c r="U600" s="51"/>
      <c r="V600" s="51"/>
      <c r="W600" s="51"/>
      <c r="X600" s="51"/>
      <c r="Y600" s="51"/>
      <c r="Z600" s="51"/>
      <c r="AA600" s="51"/>
      <c r="AB600" s="51"/>
    </row>
    <row r="601" customFormat="false" ht="15.75" hidden="false" customHeight="false" outlineLevel="0" collapsed="false">
      <c r="A601" s="51"/>
      <c r="B601" s="51"/>
      <c r="C601" s="6"/>
      <c r="D601" s="49"/>
      <c r="E601" s="51"/>
      <c r="F601" s="6"/>
      <c r="G601" s="6"/>
      <c r="H601" s="6"/>
      <c r="I601" s="6"/>
      <c r="J601" s="6"/>
      <c r="K601" s="51"/>
      <c r="L601" s="51"/>
      <c r="M601" s="51"/>
      <c r="N601" s="51"/>
      <c r="O601" s="51"/>
      <c r="P601" s="51"/>
      <c r="Q601" s="51"/>
      <c r="R601" s="51"/>
      <c r="S601" s="51"/>
      <c r="T601" s="51"/>
      <c r="U601" s="51"/>
      <c r="V601" s="51"/>
      <c r="W601" s="51"/>
      <c r="X601" s="51"/>
      <c r="Y601" s="51"/>
      <c r="Z601" s="51"/>
      <c r="AA601" s="51"/>
      <c r="AB601" s="51"/>
    </row>
    <row r="602" customFormat="false" ht="15.75" hidden="false" customHeight="false" outlineLevel="0" collapsed="false">
      <c r="A602" s="51"/>
      <c r="B602" s="51"/>
      <c r="C602" s="6"/>
      <c r="D602" s="49"/>
      <c r="E602" s="51"/>
      <c r="F602" s="6"/>
      <c r="G602" s="6"/>
      <c r="H602" s="6"/>
      <c r="I602" s="6"/>
      <c r="J602" s="6"/>
      <c r="K602" s="51"/>
      <c r="L602" s="51"/>
      <c r="M602" s="51"/>
      <c r="N602" s="51"/>
      <c r="O602" s="51"/>
      <c r="P602" s="51"/>
      <c r="Q602" s="51"/>
      <c r="R602" s="51"/>
      <c r="S602" s="51"/>
      <c r="T602" s="51"/>
      <c r="U602" s="51"/>
      <c r="V602" s="51"/>
      <c r="W602" s="51"/>
      <c r="X602" s="51"/>
      <c r="Y602" s="51"/>
      <c r="Z602" s="51"/>
      <c r="AA602" s="51"/>
      <c r="AB602" s="51"/>
    </row>
    <row r="603" customFormat="false" ht="15.75" hidden="false" customHeight="false" outlineLevel="0" collapsed="false">
      <c r="A603" s="51"/>
      <c r="B603" s="51"/>
      <c r="C603" s="6"/>
      <c r="D603" s="49"/>
      <c r="E603" s="51"/>
      <c r="F603" s="6"/>
      <c r="G603" s="6"/>
      <c r="H603" s="6"/>
      <c r="I603" s="6"/>
      <c r="J603" s="6"/>
      <c r="K603" s="51"/>
      <c r="L603" s="51"/>
      <c r="M603" s="51"/>
      <c r="N603" s="51"/>
      <c r="O603" s="51"/>
      <c r="P603" s="51"/>
      <c r="Q603" s="51"/>
      <c r="R603" s="51"/>
      <c r="S603" s="51"/>
      <c r="T603" s="51"/>
      <c r="U603" s="51"/>
      <c r="V603" s="51"/>
      <c r="W603" s="51"/>
      <c r="X603" s="51"/>
      <c r="Y603" s="51"/>
      <c r="Z603" s="51"/>
      <c r="AA603" s="51"/>
      <c r="AB603" s="51"/>
    </row>
    <row r="604" customFormat="false" ht="15.75" hidden="false" customHeight="false" outlineLevel="0" collapsed="false">
      <c r="A604" s="51"/>
      <c r="B604" s="51"/>
      <c r="C604" s="6"/>
      <c r="D604" s="49"/>
      <c r="E604" s="51"/>
      <c r="F604" s="6"/>
      <c r="G604" s="6"/>
      <c r="H604" s="6"/>
      <c r="I604" s="6"/>
      <c r="J604" s="6"/>
      <c r="K604" s="51"/>
      <c r="L604" s="51"/>
      <c r="M604" s="51"/>
      <c r="N604" s="51"/>
      <c r="O604" s="51"/>
      <c r="P604" s="51"/>
      <c r="Q604" s="51"/>
      <c r="R604" s="51"/>
      <c r="S604" s="51"/>
      <c r="T604" s="51"/>
      <c r="U604" s="51"/>
      <c r="V604" s="51"/>
      <c r="W604" s="51"/>
      <c r="X604" s="51"/>
      <c r="Y604" s="51"/>
      <c r="Z604" s="51"/>
      <c r="AA604" s="51"/>
      <c r="AB604" s="51"/>
    </row>
    <row r="605" customFormat="false" ht="15.75" hidden="false" customHeight="false" outlineLevel="0" collapsed="false">
      <c r="A605" s="51"/>
      <c r="B605" s="51"/>
      <c r="C605" s="6"/>
      <c r="D605" s="49"/>
      <c r="E605" s="51"/>
      <c r="F605" s="6"/>
      <c r="G605" s="6"/>
      <c r="H605" s="6"/>
      <c r="I605" s="6"/>
      <c r="J605" s="6"/>
      <c r="K605" s="51"/>
      <c r="L605" s="51"/>
      <c r="M605" s="51"/>
      <c r="N605" s="51"/>
      <c r="O605" s="51"/>
      <c r="P605" s="51"/>
      <c r="Q605" s="51"/>
      <c r="R605" s="51"/>
      <c r="S605" s="51"/>
      <c r="T605" s="51"/>
      <c r="U605" s="51"/>
      <c r="V605" s="51"/>
      <c r="W605" s="51"/>
      <c r="X605" s="51"/>
      <c r="Y605" s="51"/>
      <c r="Z605" s="51"/>
      <c r="AA605" s="51"/>
      <c r="AB605" s="51"/>
    </row>
    <row r="606" customFormat="false" ht="15.75" hidden="false" customHeight="false" outlineLevel="0" collapsed="false">
      <c r="A606" s="51"/>
      <c r="B606" s="51"/>
      <c r="C606" s="6"/>
      <c r="D606" s="49"/>
      <c r="E606" s="51"/>
      <c r="F606" s="6"/>
      <c r="G606" s="6"/>
      <c r="H606" s="6"/>
      <c r="I606" s="6"/>
      <c r="J606" s="6"/>
      <c r="K606" s="51"/>
      <c r="L606" s="51"/>
      <c r="M606" s="51"/>
      <c r="N606" s="51"/>
      <c r="O606" s="51"/>
      <c r="P606" s="51"/>
      <c r="Q606" s="51"/>
      <c r="R606" s="51"/>
      <c r="S606" s="51"/>
      <c r="T606" s="51"/>
      <c r="U606" s="51"/>
      <c r="V606" s="51"/>
      <c r="W606" s="51"/>
      <c r="X606" s="51"/>
      <c r="Y606" s="51"/>
      <c r="Z606" s="51"/>
      <c r="AA606" s="51"/>
      <c r="AB606" s="51"/>
    </row>
    <row r="607" customFormat="false" ht="15.75" hidden="false" customHeight="false" outlineLevel="0" collapsed="false">
      <c r="A607" s="51"/>
      <c r="B607" s="51"/>
      <c r="C607" s="6"/>
      <c r="D607" s="49"/>
      <c r="E607" s="51"/>
      <c r="F607" s="6"/>
      <c r="G607" s="6"/>
      <c r="H607" s="6"/>
      <c r="I607" s="6"/>
      <c r="J607" s="6"/>
      <c r="K607" s="51"/>
      <c r="L607" s="51"/>
      <c r="M607" s="51"/>
      <c r="N607" s="51"/>
      <c r="O607" s="51"/>
      <c r="P607" s="51"/>
      <c r="Q607" s="51"/>
      <c r="R607" s="51"/>
      <c r="S607" s="51"/>
      <c r="T607" s="51"/>
      <c r="U607" s="51"/>
      <c r="V607" s="51"/>
      <c r="W607" s="51"/>
      <c r="X607" s="51"/>
      <c r="Y607" s="51"/>
      <c r="Z607" s="51"/>
      <c r="AA607" s="51"/>
      <c r="AB607" s="51"/>
    </row>
    <row r="608" customFormat="false" ht="15.75" hidden="false" customHeight="false" outlineLevel="0" collapsed="false">
      <c r="A608" s="51"/>
      <c r="B608" s="51"/>
      <c r="C608" s="6"/>
      <c r="D608" s="49"/>
      <c r="E608" s="51"/>
      <c r="F608" s="6"/>
      <c r="G608" s="6"/>
      <c r="H608" s="6"/>
      <c r="I608" s="6"/>
      <c r="J608" s="6"/>
      <c r="K608" s="51"/>
      <c r="L608" s="51"/>
      <c r="M608" s="51"/>
      <c r="N608" s="51"/>
      <c r="O608" s="51"/>
      <c r="P608" s="51"/>
      <c r="Q608" s="51"/>
      <c r="R608" s="51"/>
      <c r="S608" s="51"/>
      <c r="T608" s="51"/>
      <c r="U608" s="51"/>
      <c r="V608" s="51"/>
      <c r="W608" s="51"/>
      <c r="X608" s="51"/>
      <c r="Y608" s="51"/>
      <c r="Z608" s="51"/>
      <c r="AA608" s="51"/>
      <c r="AB608" s="51"/>
    </row>
    <row r="609" customFormat="false" ht="15.75" hidden="false" customHeight="false" outlineLevel="0" collapsed="false">
      <c r="A609" s="51"/>
      <c r="B609" s="51"/>
      <c r="C609" s="6"/>
      <c r="D609" s="49"/>
      <c r="E609" s="51"/>
      <c r="F609" s="6"/>
      <c r="G609" s="6"/>
      <c r="H609" s="6"/>
      <c r="I609" s="6"/>
      <c r="J609" s="6"/>
      <c r="K609" s="51"/>
      <c r="L609" s="51"/>
      <c r="M609" s="51"/>
      <c r="N609" s="51"/>
      <c r="O609" s="51"/>
      <c r="P609" s="51"/>
      <c r="Q609" s="51"/>
      <c r="R609" s="51"/>
      <c r="S609" s="51"/>
      <c r="T609" s="51"/>
      <c r="U609" s="51"/>
      <c r="V609" s="51"/>
      <c r="W609" s="51"/>
      <c r="X609" s="51"/>
      <c r="Y609" s="51"/>
      <c r="Z609" s="51"/>
      <c r="AA609" s="51"/>
      <c r="AB609" s="51"/>
    </row>
    <row r="610" customFormat="false" ht="15.75" hidden="false" customHeight="false" outlineLevel="0" collapsed="false">
      <c r="A610" s="51"/>
      <c r="B610" s="51"/>
      <c r="C610" s="6"/>
      <c r="D610" s="49"/>
      <c r="E610" s="51"/>
      <c r="F610" s="6"/>
      <c r="G610" s="6"/>
      <c r="H610" s="6"/>
      <c r="I610" s="6"/>
      <c r="J610" s="6"/>
      <c r="K610" s="51"/>
      <c r="L610" s="51"/>
      <c r="M610" s="51"/>
      <c r="N610" s="51"/>
      <c r="O610" s="51"/>
      <c r="P610" s="51"/>
      <c r="Q610" s="51"/>
      <c r="R610" s="51"/>
      <c r="S610" s="51"/>
      <c r="T610" s="51"/>
      <c r="U610" s="51"/>
      <c r="V610" s="51"/>
      <c r="W610" s="51"/>
      <c r="X610" s="51"/>
      <c r="Y610" s="51"/>
      <c r="Z610" s="51"/>
      <c r="AA610" s="51"/>
      <c r="AB610" s="51"/>
    </row>
    <row r="611" customFormat="false" ht="15.75" hidden="false" customHeight="false" outlineLevel="0" collapsed="false">
      <c r="A611" s="51"/>
      <c r="B611" s="51"/>
      <c r="C611" s="6"/>
      <c r="D611" s="49"/>
      <c r="E611" s="51"/>
      <c r="F611" s="6"/>
      <c r="G611" s="6"/>
      <c r="H611" s="6"/>
      <c r="I611" s="6"/>
      <c r="J611" s="6"/>
      <c r="K611" s="51"/>
      <c r="L611" s="51"/>
      <c r="M611" s="51"/>
      <c r="N611" s="51"/>
      <c r="O611" s="51"/>
      <c r="P611" s="51"/>
      <c r="Q611" s="51"/>
      <c r="R611" s="51"/>
      <c r="S611" s="51"/>
      <c r="T611" s="51"/>
      <c r="U611" s="51"/>
      <c r="V611" s="51"/>
      <c r="W611" s="51"/>
      <c r="X611" s="51"/>
      <c r="Y611" s="51"/>
      <c r="Z611" s="51"/>
      <c r="AA611" s="51"/>
      <c r="AB611" s="51"/>
    </row>
    <row r="612" customFormat="false" ht="15.75" hidden="false" customHeight="false" outlineLevel="0" collapsed="false">
      <c r="A612" s="51"/>
      <c r="B612" s="51"/>
      <c r="C612" s="6"/>
      <c r="D612" s="49"/>
      <c r="E612" s="51"/>
      <c r="F612" s="6"/>
      <c r="G612" s="6"/>
      <c r="H612" s="6"/>
      <c r="I612" s="6"/>
      <c r="J612" s="6"/>
      <c r="K612" s="51"/>
      <c r="L612" s="51"/>
      <c r="M612" s="51"/>
      <c r="N612" s="51"/>
      <c r="O612" s="51"/>
      <c r="P612" s="51"/>
      <c r="Q612" s="51"/>
      <c r="R612" s="51"/>
      <c r="S612" s="51"/>
      <c r="T612" s="51"/>
      <c r="U612" s="51"/>
      <c r="V612" s="51"/>
      <c r="W612" s="51"/>
      <c r="X612" s="51"/>
      <c r="Y612" s="51"/>
      <c r="Z612" s="51"/>
      <c r="AA612" s="51"/>
      <c r="AB612" s="51"/>
    </row>
    <row r="613" customFormat="false" ht="15.75" hidden="false" customHeight="false" outlineLevel="0" collapsed="false">
      <c r="A613" s="51"/>
      <c r="B613" s="51"/>
      <c r="C613" s="6"/>
      <c r="D613" s="49"/>
      <c r="E613" s="51"/>
      <c r="F613" s="6"/>
      <c r="G613" s="6"/>
      <c r="H613" s="6"/>
      <c r="I613" s="6"/>
      <c r="J613" s="6"/>
      <c r="K613" s="51"/>
      <c r="L613" s="51"/>
      <c r="M613" s="51"/>
      <c r="N613" s="51"/>
      <c r="O613" s="51"/>
      <c r="P613" s="51"/>
      <c r="Q613" s="51"/>
      <c r="R613" s="51"/>
      <c r="S613" s="51"/>
      <c r="T613" s="51"/>
      <c r="U613" s="51"/>
      <c r="V613" s="51"/>
      <c r="W613" s="51"/>
      <c r="X613" s="51"/>
      <c r="Y613" s="51"/>
      <c r="Z613" s="51"/>
      <c r="AA613" s="51"/>
      <c r="AB613" s="51"/>
    </row>
    <row r="614" customFormat="false" ht="15.75" hidden="false" customHeight="false" outlineLevel="0" collapsed="false">
      <c r="A614" s="51"/>
      <c r="B614" s="51"/>
      <c r="C614" s="6"/>
      <c r="D614" s="49"/>
      <c r="E614" s="51"/>
      <c r="F614" s="6"/>
      <c r="G614" s="6"/>
      <c r="H614" s="6"/>
      <c r="I614" s="6"/>
      <c r="J614" s="6"/>
      <c r="K614" s="51"/>
      <c r="L614" s="51"/>
      <c r="M614" s="51"/>
      <c r="N614" s="51"/>
      <c r="O614" s="51"/>
      <c r="P614" s="51"/>
      <c r="Q614" s="51"/>
      <c r="R614" s="51"/>
      <c r="S614" s="51"/>
      <c r="T614" s="51"/>
      <c r="U614" s="51"/>
      <c r="V614" s="51"/>
      <c r="W614" s="51"/>
      <c r="X614" s="51"/>
      <c r="Y614" s="51"/>
      <c r="Z614" s="51"/>
      <c r="AA614" s="51"/>
      <c r="AB614" s="51"/>
    </row>
    <row r="615" customFormat="false" ht="15.75" hidden="false" customHeight="false" outlineLevel="0" collapsed="false">
      <c r="A615" s="51"/>
      <c r="B615" s="51"/>
      <c r="C615" s="6"/>
      <c r="D615" s="49"/>
      <c r="E615" s="51"/>
      <c r="F615" s="6"/>
      <c r="G615" s="6"/>
      <c r="H615" s="6"/>
      <c r="I615" s="6"/>
      <c r="J615" s="6"/>
      <c r="K615" s="51"/>
      <c r="L615" s="51"/>
      <c r="M615" s="51"/>
      <c r="N615" s="51"/>
      <c r="O615" s="51"/>
      <c r="P615" s="51"/>
      <c r="Q615" s="51"/>
      <c r="R615" s="51"/>
      <c r="S615" s="51"/>
      <c r="T615" s="51"/>
      <c r="U615" s="51"/>
      <c r="V615" s="51"/>
      <c r="W615" s="51"/>
      <c r="X615" s="51"/>
      <c r="Y615" s="51"/>
      <c r="Z615" s="51"/>
      <c r="AA615" s="51"/>
      <c r="AB615" s="51"/>
    </row>
    <row r="616" customFormat="false" ht="15.75" hidden="false" customHeight="false" outlineLevel="0" collapsed="false">
      <c r="A616" s="51"/>
      <c r="B616" s="51"/>
      <c r="C616" s="6"/>
      <c r="D616" s="49"/>
      <c r="E616" s="51"/>
      <c r="F616" s="6"/>
      <c r="G616" s="6"/>
      <c r="H616" s="6"/>
      <c r="I616" s="6"/>
      <c r="J616" s="6"/>
      <c r="K616" s="51"/>
      <c r="L616" s="51"/>
      <c r="M616" s="51"/>
      <c r="N616" s="51"/>
      <c r="O616" s="51"/>
      <c r="P616" s="51"/>
      <c r="Q616" s="51"/>
      <c r="R616" s="51"/>
      <c r="S616" s="51"/>
      <c r="T616" s="51"/>
      <c r="U616" s="51"/>
      <c r="V616" s="51"/>
      <c r="W616" s="51"/>
      <c r="X616" s="51"/>
      <c r="Y616" s="51"/>
      <c r="Z616" s="51"/>
      <c r="AA616" s="51"/>
      <c r="AB616" s="51"/>
    </row>
    <row r="617" customFormat="false" ht="15.75" hidden="false" customHeight="false" outlineLevel="0" collapsed="false">
      <c r="A617" s="51"/>
      <c r="B617" s="51"/>
      <c r="C617" s="6"/>
      <c r="D617" s="49"/>
      <c r="E617" s="51"/>
      <c r="F617" s="6"/>
      <c r="G617" s="6"/>
      <c r="H617" s="6"/>
      <c r="I617" s="6"/>
      <c r="J617" s="6"/>
      <c r="K617" s="51"/>
      <c r="L617" s="51"/>
      <c r="M617" s="51"/>
      <c r="N617" s="51"/>
      <c r="O617" s="51"/>
      <c r="P617" s="51"/>
      <c r="Q617" s="51"/>
      <c r="R617" s="51"/>
      <c r="S617" s="51"/>
      <c r="T617" s="51"/>
      <c r="U617" s="51"/>
      <c r="V617" s="51"/>
      <c r="W617" s="51"/>
      <c r="X617" s="51"/>
      <c r="Y617" s="51"/>
      <c r="Z617" s="51"/>
      <c r="AA617" s="51"/>
      <c r="AB617" s="51"/>
    </row>
    <row r="618" customFormat="false" ht="15.75" hidden="false" customHeight="false" outlineLevel="0" collapsed="false">
      <c r="A618" s="51"/>
      <c r="B618" s="51"/>
      <c r="C618" s="6"/>
      <c r="D618" s="49"/>
      <c r="E618" s="51"/>
      <c r="F618" s="6"/>
      <c r="G618" s="6"/>
      <c r="H618" s="6"/>
      <c r="I618" s="6"/>
      <c r="J618" s="6"/>
      <c r="K618" s="51"/>
      <c r="L618" s="51"/>
      <c r="M618" s="51"/>
      <c r="N618" s="51"/>
      <c r="O618" s="51"/>
      <c r="P618" s="51"/>
      <c r="Q618" s="51"/>
      <c r="R618" s="51"/>
      <c r="S618" s="51"/>
      <c r="T618" s="51"/>
      <c r="U618" s="51"/>
      <c r="V618" s="51"/>
      <c r="W618" s="51"/>
      <c r="X618" s="51"/>
      <c r="Y618" s="51"/>
      <c r="Z618" s="51"/>
      <c r="AA618" s="51"/>
      <c r="AB618" s="51"/>
    </row>
    <row r="619" customFormat="false" ht="15.75" hidden="false" customHeight="false" outlineLevel="0" collapsed="false">
      <c r="A619" s="51"/>
      <c r="B619" s="51"/>
      <c r="C619" s="6"/>
      <c r="D619" s="49"/>
      <c r="E619" s="51"/>
      <c r="F619" s="6"/>
      <c r="G619" s="6"/>
      <c r="H619" s="6"/>
      <c r="I619" s="6"/>
      <c r="J619" s="6"/>
      <c r="K619" s="51"/>
      <c r="L619" s="51"/>
      <c r="M619" s="51"/>
      <c r="N619" s="51"/>
      <c r="O619" s="51"/>
      <c r="P619" s="51"/>
      <c r="Q619" s="51"/>
      <c r="R619" s="51"/>
      <c r="S619" s="51"/>
      <c r="T619" s="51"/>
      <c r="U619" s="51"/>
      <c r="V619" s="51"/>
      <c r="W619" s="51"/>
      <c r="X619" s="51"/>
      <c r="Y619" s="51"/>
      <c r="Z619" s="51"/>
      <c r="AA619" s="51"/>
      <c r="AB619" s="51"/>
    </row>
    <row r="620" customFormat="false" ht="15.75" hidden="false" customHeight="false" outlineLevel="0" collapsed="false">
      <c r="A620" s="51"/>
      <c r="B620" s="51"/>
      <c r="C620" s="6"/>
      <c r="D620" s="49"/>
      <c r="E620" s="51"/>
      <c r="F620" s="6"/>
      <c r="G620" s="6"/>
      <c r="H620" s="6"/>
      <c r="I620" s="6"/>
      <c r="J620" s="6"/>
      <c r="K620" s="51"/>
      <c r="L620" s="51"/>
      <c r="M620" s="51"/>
      <c r="N620" s="51"/>
      <c r="O620" s="51"/>
      <c r="P620" s="51"/>
      <c r="Q620" s="51"/>
      <c r="R620" s="51"/>
      <c r="S620" s="51"/>
      <c r="T620" s="51"/>
      <c r="U620" s="51"/>
      <c r="V620" s="51"/>
      <c r="W620" s="51"/>
      <c r="X620" s="51"/>
      <c r="Y620" s="51"/>
      <c r="Z620" s="51"/>
      <c r="AA620" s="51"/>
      <c r="AB620" s="51"/>
    </row>
    <row r="621" customFormat="false" ht="15.75" hidden="false" customHeight="false" outlineLevel="0" collapsed="false">
      <c r="A621" s="51"/>
      <c r="B621" s="51"/>
      <c r="C621" s="6"/>
      <c r="D621" s="49"/>
      <c r="E621" s="51"/>
      <c r="F621" s="6"/>
      <c r="G621" s="6"/>
      <c r="H621" s="6"/>
      <c r="I621" s="6"/>
      <c r="J621" s="6"/>
      <c r="K621" s="51"/>
      <c r="L621" s="51"/>
      <c r="M621" s="51"/>
      <c r="N621" s="51"/>
      <c r="O621" s="51"/>
      <c r="P621" s="51"/>
      <c r="Q621" s="51"/>
      <c r="R621" s="51"/>
      <c r="S621" s="51"/>
      <c r="T621" s="51"/>
      <c r="U621" s="51"/>
      <c r="V621" s="51"/>
      <c r="W621" s="51"/>
      <c r="X621" s="51"/>
      <c r="Y621" s="51"/>
      <c r="Z621" s="51"/>
      <c r="AA621" s="51"/>
      <c r="AB621" s="51"/>
    </row>
    <row r="622" customFormat="false" ht="15.75" hidden="false" customHeight="false" outlineLevel="0" collapsed="false">
      <c r="A622" s="51"/>
      <c r="B622" s="51"/>
      <c r="C622" s="6"/>
      <c r="D622" s="49"/>
      <c r="E622" s="51"/>
      <c r="F622" s="6"/>
      <c r="G622" s="6"/>
      <c r="H622" s="6"/>
      <c r="I622" s="6"/>
      <c r="J622" s="6"/>
      <c r="K622" s="51"/>
      <c r="L622" s="51"/>
      <c r="M622" s="51"/>
      <c r="N622" s="51"/>
      <c r="O622" s="51"/>
      <c r="P622" s="51"/>
      <c r="Q622" s="51"/>
      <c r="R622" s="51"/>
      <c r="S622" s="51"/>
      <c r="T622" s="51"/>
      <c r="U622" s="51"/>
      <c r="V622" s="51"/>
      <c r="W622" s="51"/>
      <c r="X622" s="51"/>
      <c r="Y622" s="51"/>
      <c r="Z622" s="51"/>
      <c r="AA622" s="51"/>
      <c r="AB622" s="51"/>
    </row>
    <row r="623" customFormat="false" ht="15.75" hidden="false" customHeight="false" outlineLevel="0" collapsed="false">
      <c r="A623" s="51"/>
      <c r="B623" s="51"/>
      <c r="C623" s="6"/>
      <c r="D623" s="49"/>
      <c r="E623" s="51"/>
      <c r="F623" s="6"/>
      <c r="G623" s="6"/>
      <c r="H623" s="6"/>
      <c r="I623" s="6"/>
      <c r="J623" s="6"/>
      <c r="K623" s="51"/>
      <c r="L623" s="51"/>
      <c r="M623" s="51"/>
      <c r="N623" s="51"/>
      <c r="O623" s="51"/>
      <c r="P623" s="51"/>
      <c r="Q623" s="51"/>
      <c r="R623" s="51"/>
      <c r="S623" s="51"/>
      <c r="T623" s="51"/>
      <c r="U623" s="51"/>
      <c r="V623" s="51"/>
      <c r="W623" s="51"/>
      <c r="X623" s="51"/>
      <c r="Y623" s="51"/>
      <c r="Z623" s="51"/>
      <c r="AA623" s="51"/>
      <c r="AB623" s="51"/>
    </row>
    <row r="624" customFormat="false" ht="15.75" hidden="false" customHeight="false" outlineLevel="0" collapsed="false">
      <c r="A624" s="51"/>
      <c r="B624" s="51"/>
      <c r="C624" s="6"/>
      <c r="D624" s="49"/>
      <c r="E624" s="51"/>
      <c r="F624" s="6"/>
      <c r="G624" s="6"/>
      <c r="H624" s="6"/>
      <c r="I624" s="6"/>
      <c r="J624" s="6"/>
      <c r="K624" s="51"/>
      <c r="L624" s="51"/>
      <c r="M624" s="51"/>
      <c r="N624" s="51"/>
      <c r="O624" s="51"/>
      <c r="P624" s="51"/>
      <c r="Q624" s="51"/>
      <c r="R624" s="51"/>
      <c r="S624" s="51"/>
      <c r="T624" s="51"/>
      <c r="U624" s="51"/>
      <c r="V624" s="51"/>
      <c r="W624" s="51"/>
      <c r="X624" s="51"/>
      <c r="Y624" s="51"/>
      <c r="Z624" s="51"/>
      <c r="AA624" s="51"/>
      <c r="AB624" s="51"/>
    </row>
    <row r="625" customFormat="false" ht="15.75" hidden="false" customHeight="false" outlineLevel="0" collapsed="false">
      <c r="A625" s="51"/>
      <c r="B625" s="51"/>
      <c r="C625" s="6"/>
      <c r="D625" s="49"/>
      <c r="E625" s="51"/>
      <c r="F625" s="6"/>
      <c r="G625" s="6"/>
      <c r="H625" s="6"/>
      <c r="I625" s="6"/>
      <c r="J625" s="6"/>
      <c r="K625" s="51"/>
      <c r="L625" s="51"/>
      <c r="M625" s="51"/>
      <c r="N625" s="51"/>
      <c r="O625" s="51"/>
      <c r="P625" s="51"/>
      <c r="Q625" s="51"/>
      <c r="R625" s="51"/>
      <c r="S625" s="51"/>
      <c r="T625" s="51"/>
      <c r="U625" s="51"/>
      <c r="V625" s="51"/>
      <c r="W625" s="51"/>
      <c r="X625" s="51"/>
      <c r="Y625" s="51"/>
      <c r="Z625" s="51"/>
      <c r="AA625" s="51"/>
      <c r="AB625" s="51"/>
    </row>
    <row r="626" customFormat="false" ht="15.75" hidden="false" customHeight="false" outlineLevel="0" collapsed="false">
      <c r="A626" s="51"/>
      <c r="B626" s="51"/>
      <c r="C626" s="6"/>
      <c r="D626" s="49"/>
      <c r="E626" s="51"/>
      <c r="F626" s="6"/>
      <c r="G626" s="6"/>
      <c r="H626" s="6"/>
      <c r="I626" s="6"/>
      <c r="J626" s="6"/>
      <c r="K626" s="51"/>
      <c r="L626" s="51"/>
      <c r="M626" s="51"/>
      <c r="N626" s="51"/>
      <c r="O626" s="51"/>
      <c r="P626" s="51"/>
      <c r="Q626" s="51"/>
      <c r="R626" s="51"/>
      <c r="S626" s="51"/>
      <c r="T626" s="51"/>
      <c r="U626" s="51"/>
      <c r="V626" s="51"/>
      <c r="W626" s="51"/>
      <c r="X626" s="51"/>
      <c r="Y626" s="51"/>
      <c r="Z626" s="51"/>
      <c r="AA626" s="51"/>
      <c r="AB626" s="51"/>
    </row>
    <row r="627" customFormat="false" ht="15.75" hidden="false" customHeight="false" outlineLevel="0" collapsed="false">
      <c r="A627" s="51"/>
      <c r="B627" s="51"/>
      <c r="C627" s="6"/>
      <c r="D627" s="49"/>
      <c r="E627" s="51"/>
      <c r="F627" s="6"/>
      <c r="G627" s="6"/>
      <c r="H627" s="6"/>
      <c r="I627" s="6"/>
      <c r="J627" s="6"/>
      <c r="K627" s="51"/>
      <c r="L627" s="51"/>
      <c r="M627" s="51"/>
      <c r="N627" s="51"/>
      <c r="O627" s="51"/>
      <c r="P627" s="51"/>
      <c r="Q627" s="51"/>
      <c r="R627" s="51"/>
      <c r="S627" s="51"/>
      <c r="T627" s="51"/>
      <c r="U627" s="51"/>
      <c r="V627" s="51"/>
      <c r="W627" s="51"/>
      <c r="X627" s="51"/>
      <c r="Y627" s="51"/>
      <c r="Z627" s="51"/>
      <c r="AA627" s="51"/>
      <c r="AB627" s="51"/>
    </row>
    <row r="628" customFormat="false" ht="15.75" hidden="false" customHeight="false" outlineLevel="0" collapsed="false">
      <c r="A628" s="51"/>
      <c r="B628" s="51"/>
      <c r="C628" s="6"/>
      <c r="D628" s="49"/>
      <c r="E628" s="51"/>
      <c r="F628" s="6"/>
      <c r="G628" s="6"/>
      <c r="H628" s="6"/>
      <c r="I628" s="6"/>
      <c r="J628" s="6"/>
      <c r="K628" s="51"/>
      <c r="L628" s="51"/>
      <c r="M628" s="51"/>
      <c r="N628" s="51"/>
      <c r="O628" s="51"/>
      <c r="P628" s="51"/>
      <c r="Q628" s="51"/>
      <c r="R628" s="51"/>
      <c r="S628" s="51"/>
      <c r="T628" s="51"/>
      <c r="U628" s="51"/>
      <c r="V628" s="51"/>
      <c r="W628" s="51"/>
      <c r="X628" s="51"/>
      <c r="Y628" s="51"/>
      <c r="Z628" s="51"/>
      <c r="AA628" s="51"/>
      <c r="AB628" s="51"/>
    </row>
    <row r="629" customFormat="false" ht="15.75" hidden="false" customHeight="false" outlineLevel="0" collapsed="false">
      <c r="A629" s="51"/>
      <c r="B629" s="51"/>
      <c r="C629" s="6"/>
      <c r="D629" s="49"/>
      <c r="E629" s="51"/>
      <c r="F629" s="6"/>
      <c r="G629" s="6"/>
      <c r="H629" s="6"/>
      <c r="I629" s="6"/>
      <c r="J629" s="6"/>
      <c r="K629" s="51"/>
      <c r="L629" s="51"/>
      <c r="M629" s="51"/>
      <c r="N629" s="51"/>
      <c r="O629" s="51"/>
      <c r="P629" s="51"/>
      <c r="Q629" s="51"/>
      <c r="R629" s="51"/>
      <c r="S629" s="51"/>
      <c r="T629" s="51"/>
      <c r="U629" s="51"/>
      <c r="V629" s="51"/>
      <c r="W629" s="51"/>
      <c r="X629" s="51"/>
      <c r="Y629" s="51"/>
      <c r="Z629" s="51"/>
      <c r="AA629" s="51"/>
      <c r="AB629" s="51"/>
    </row>
    <row r="630" customFormat="false" ht="15.75" hidden="false" customHeight="false" outlineLevel="0" collapsed="false">
      <c r="A630" s="51"/>
      <c r="B630" s="51"/>
      <c r="C630" s="6"/>
      <c r="D630" s="49"/>
      <c r="E630" s="51"/>
      <c r="F630" s="6"/>
      <c r="G630" s="6"/>
      <c r="H630" s="6"/>
      <c r="I630" s="6"/>
      <c r="J630" s="6"/>
      <c r="K630" s="51"/>
      <c r="L630" s="51"/>
      <c r="M630" s="51"/>
      <c r="N630" s="51"/>
      <c r="O630" s="51"/>
      <c r="P630" s="51"/>
      <c r="Q630" s="51"/>
      <c r="R630" s="51"/>
      <c r="S630" s="51"/>
      <c r="T630" s="51"/>
      <c r="U630" s="51"/>
      <c r="V630" s="51"/>
      <c r="W630" s="51"/>
      <c r="X630" s="51"/>
      <c r="Y630" s="51"/>
      <c r="Z630" s="51"/>
      <c r="AA630" s="51"/>
      <c r="AB630" s="51"/>
    </row>
    <row r="631" customFormat="false" ht="15.75" hidden="false" customHeight="false" outlineLevel="0" collapsed="false">
      <c r="A631" s="51"/>
      <c r="B631" s="51"/>
      <c r="C631" s="6"/>
      <c r="D631" s="49"/>
      <c r="E631" s="51"/>
      <c r="F631" s="6"/>
      <c r="G631" s="6"/>
      <c r="H631" s="6"/>
      <c r="I631" s="6"/>
      <c r="J631" s="6"/>
      <c r="K631" s="51"/>
      <c r="L631" s="51"/>
      <c r="M631" s="51"/>
      <c r="N631" s="51"/>
      <c r="O631" s="51"/>
      <c r="P631" s="51"/>
      <c r="Q631" s="51"/>
      <c r="R631" s="51"/>
      <c r="S631" s="51"/>
      <c r="T631" s="51"/>
      <c r="U631" s="51"/>
      <c r="V631" s="51"/>
      <c r="W631" s="51"/>
      <c r="X631" s="51"/>
      <c r="Y631" s="51"/>
      <c r="Z631" s="51"/>
      <c r="AA631" s="51"/>
      <c r="AB631" s="51"/>
    </row>
    <row r="632" customFormat="false" ht="15.75" hidden="false" customHeight="false" outlineLevel="0" collapsed="false">
      <c r="A632" s="51"/>
      <c r="B632" s="51"/>
      <c r="C632" s="6"/>
      <c r="D632" s="49"/>
      <c r="E632" s="51"/>
      <c r="F632" s="6"/>
      <c r="G632" s="6"/>
      <c r="H632" s="6"/>
      <c r="I632" s="6"/>
      <c r="J632" s="6"/>
      <c r="K632" s="51"/>
      <c r="L632" s="51"/>
      <c r="M632" s="51"/>
      <c r="N632" s="51"/>
      <c r="O632" s="51"/>
      <c r="P632" s="51"/>
      <c r="Q632" s="51"/>
      <c r="R632" s="51"/>
      <c r="S632" s="51"/>
      <c r="T632" s="51"/>
      <c r="U632" s="51"/>
      <c r="V632" s="51"/>
      <c r="W632" s="51"/>
      <c r="X632" s="51"/>
      <c r="Y632" s="51"/>
      <c r="Z632" s="51"/>
      <c r="AA632" s="51"/>
      <c r="AB632" s="51"/>
    </row>
    <row r="633" customFormat="false" ht="15.75" hidden="false" customHeight="false" outlineLevel="0" collapsed="false">
      <c r="A633" s="51"/>
      <c r="B633" s="51"/>
      <c r="C633" s="6"/>
      <c r="D633" s="49"/>
      <c r="E633" s="51"/>
      <c r="F633" s="6"/>
      <c r="G633" s="6"/>
      <c r="H633" s="6"/>
      <c r="I633" s="6"/>
      <c r="J633" s="6"/>
      <c r="K633" s="51"/>
      <c r="L633" s="51"/>
      <c r="M633" s="51"/>
      <c r="N633" s="51"/>
      <c r="O633" s="51"/>
      <c r="P633" s="51"/>
      <c r="Q633" s="51"/>
      <c r="R633" s="51"/>
      <c r="S633" s="51"/>
      <c r="T633" s="51"/>
      <c r="U633" s="51"/>
      <c r="V633" s="51"/>
      <c r="W633" s="51"/>
      <c r="X633" s="51"/>
      <c r="Y633" s="51"/>
      <c r="Z633" s="51"/>
      <c r="AA633" s="51"/>
      <c r="AB633" s="51"/>
    </row>
    <row r="634" customFormat="false" ht="15.75" hidden="false" customHeight="false" outlineLevel="0" collapsed="false">
      <c r="A634" s="51"/>
      <c r="B634" s="51"/>
      <c r="C634" s="6"/>
      <c r="D634" s="49"/>
      <c r="E634" s="51"/>
      <c r="F634" s="6"/>
      <c r="G634" s="6"/>
      <c r="H634" s="6"/>
      <c r="I634" s="6"/>
      <c r="J634" s="6"/>
      <c r="K634" s="51"/>
      <c r="L634" s="51"/>
      <c r="M634" s="51"/>
      <c r="N634" s="51"/>
      <c r="O634" s="51"/>
      <c r="P634" s="51"/>
      <c r="Q634" s="51"/>
      <c r="R634" s="51"/>
      <c r="S634" s="51"/>
      <c r="T634" s="51"/>
      <c r="U634" s="51"/>
      <c r="V634" s="51"/>
      <c r="W634" s="51"/>
      <c r="X634" s="51"/>
      <c r="Y634" s="51"/>
      <c r="Z634" s="51"/>
      <c r="AA634" s="51"/>
      <c r="AB634" s="51"/>
    </row>
    <row r="635" customFormat="false" ht="15.75" hidden="false" customHeight="false" outlineLevel="0" collapsed="false">
      <c r="A635" s="51"/>
      <c r="B635" s="51"/>
      <c r="C635" s="6"/>
      <c r="D635" s="49"/>
      <c r="E635" s="51"/>
      <c r="F635" s="6"/>
      <c r="G635" s="6"/>
      <c r="H635" s="6"/>
      <c r="I635" s="6"/>
      <c r="J635" s="6"/>
      <c r="K635" s="51"/>
      <c r="L635" s="51"/>
      <c r="M635" s="51"/>
      <c r="N635" s="51"/>
      <c r="O635" s="51"/>
      <c r="P635" s="51"/>
      <c r="Q635" s="51"/>
      <c r="R635" s="51"/>
      <c r="S635" s="51"/>
      <c r="T635" s="51"/>
      <c r="U635" s="51"/>
      <c r="V635" s="51"/>
      <c r="W635" s="51"/>
      <c r="X635" s="51"/>
      <c r="Y635" s="51"/>
      <c r="Z635" s="51"/>
      <c r="AA635" s="51"/>
      <c r="AB635" s="51"/>
    </row>
    <row r="636" customFormat="false" ht="15.75" hidden="false" customHeight="false" outlineLevel="0" collapsed="false">
      <c r="A636" s="51"/>
      <c r="B636" s="51"/>
      <c r="C636" s="6"/>
      <c r="D636" s="49"/>
      <c r="E636" s="51"/>
      <c r="F636" s="6"/>
      <c r="G636" s="6"/>
      <c r="H636" s="6"/>
      <c r="I636" s="6"/>
      <c r="J636" s="6"/>
      <c r="K636" s="51"/>
      <c r="L636" s="51"/>
      <c r="M636" s="51"/>
      <c r="N636" s="51"/>
      <c r="O636" s="51"/>
      <c r="P636" s="51"/>
      <c r="Q636" s="51"/>
      <c r="R636" s="51"/>
      <c r="S636" s="51"/>
      <c r="T636" s="51"/>
      <c r="U636" s="51"/>
      <c r="V636" s="51"/>
      <c r="W636" s="51"/>
      <c r="X636" s="51"/>
      <c r="Y636" s="51"/>
      <c r="Z636" s="51"/>
      <c r="AA636" s="51"/>
      <c r="AB636" s="51"/>
    </row>
    <row r="637" customFormat="false" ht="15.75" hidden="false" customHeight="false" outlineLevel="0" collapsed="false">
      <c r="A637" s="51"/>
      <c r="B637" s="51"/>
      <c r="C637" s="6"/>
      <c r="D637" s="49"/>
      <c r="E637" s="51"/>
      <c r="F637" s="6"/>
      <c r="G637" s="6"/>
      <c r="H637" s="6"/>
      <c r="I637" s="6"/>
      <c r="J637" s="6"/>
      <c r="K637" s="51"/>
      <c r="L637" s="51"/>
      <c r="M637" s="51"/>
      <c r="N637" s="51"/>
      <c r="O637" s="51"/>
      <c r="P637" s="51"/>
      <c r="Q637" s="51"/>
      <c r="R637" s="51"/>
      <c r="S637" s="51"/>
      <c r="T637" s="51"/>
      <c r="U637" s="51"/>
      <c r="V637" s="51"/>
      <c r="W637" s="51"/>
      <c r="X637" s="51"/>
      <c r="Y637" s="51"/>
      <c r="Z637" s="51"/>
      <c r="AA637" s="51"/>
      <c r="AB637" s="51"/>
    </row>
    <row r="638" customFormat="false" ht="15.75" hidden="false" customHeight="false" outlineLevel="0" collapsed="false">
      <c r="A638" s="51"/>
      <c r="B638" s="51"/>
      <c r="C638" s="6"/>
      <c r="D638" s="49"/>
      <c r="E638" s="51"/>
      <c r="F638" s="6"/>
      <c r="G638" s="6"/>
      <c r="H638" s="6"/>
      <c r="I638" s="6"/>
      <c r="J638" s="6"/>
      <c r="K638" s="51"/>
      <c r="L638" s="51"/>
      <c r="M638" s="51"/>
      <c r="N638" s="51"/>
      <c r="O638" s="51"/>
      <c r="P638" s="51"/>
      <c r="Q638" s="51"/>
      <c r="R638" s="51"/>
      <c r="S638" s="51"/>
      <c r="T638" s="51"/>
      <c r="U638" s="51"/>
      <c r="V638" s="51"/>
      <c r="W638" s="51"/>
      <c r="X638" s="51"/>
      <c r="Y638" s="51"/>
      <c r="Z638" s="51"/>
      <c r="AA638" s="51"/>
      <c r="AB638" s="51"/>
    </row>
    <row r="639" customFormat="false" ht="15.75" hidden="false" customHeight="false" outlineLevel="0" collapsed="false">
      <c r="A639" s="51"/>
      <c r="B639" s="51"/>
      <c r="C639" s="6"/>
      <c r="D639" s="49"/>
      <c r="E639" s="51"/>
      <c r="F639" s="6"/>
      <c r="G639" s="6"/>
      <c r="H639" s="6"/>
      <c r="I639" s="6"/>
      <c r="J639" s="6"/>
      <c r="K639" s="51"/>
      <c r="L639" s="51"/>
      <c r="M639" s="51"/>
      <c r="N639" s="51"/>
      <c r="O639" s="51"/>
      <c r="P639" s="51"/>
      <c r="Q639" s="51"/>
      <c r="R639" s="51"/>
      <c r="S639" s="51"/>
      <c r="T639" s="51"/>
      <c r="U639" s="51"/>
      <c r="V639" s="51"/>
      <c r="W639" s="51"/>
      <c r="X639" s="51"/>
      <c r="Y639" s="51"/>
      <c r="Z639" s="51"/>
      <c r="AA639" s="51"/>
      <c r="AB639" s="51"/>
    </row>
    <row r="640" customFormat="false" ht="15.75" hidden="false" customHeight="false" outlineLevel="0" collapsed="false">
      <c r="A640" s="51"/>
      <c r="B640" s="51"/>
      <c r="C640" s="6"/>
      <c r="D640" s="49"/>
      <c r="E640" s="51"/>
      <c r="F640" s="6"/>
      <c r="G640" s="6"/>
      <c r="H640" s="6"/>
      <c r="I640" s="6"/>
      <c r="J640" s="6"/>
      <c r="K640" s="51"/>
      <c r="L640" s="51"/>
      <c r="M640" s="51"/>
      <c r="N640" s="51"/>
      <c r="O640" s="51"/>
      <c r="P640" s="51"/>
      <c r="Q640" s="51"/>
      <c r="R640" s="51"/>
      <c r="S640" s="51"/>
      <c r="T640" s="51"/>
      <c r="U640" s="51"/>
      <c r="V640" s="51"/>
      <c r="W640" s="51"/>
      <c r="X640" s="51"/>
      <c r="Y640" s="51"/>
      <c r="Z640" s="51"/>
      <c r="AA640" s="51"/>
      <c r="AB640" s="51"/>
    </row>
    <row r="641" customFormat="false" ht="15.75" hidden="false" customHeight="false" outlineLevel="0" collapsed="false">
      <c r="A641" s="51"/>
      <c r="B641" s="51"/>
      <c r="C641" s="6"/>
      <c r="D641" s="49"/>
      <c r="E641" s="51"/>
      <c r="F641" s="6"/>
      <c r="G641" s="6"/>
      <c r="H641" s="6"/>
      <c r="I641" s="6"/>
      <c r="J641" s="6"/>
      <c r="K641" s="51"/>
      <c r="L641" s="51"/>
      <c r="M641" s="51"/>
      <c r="N641" s="51"/>
      <c r="O641" s="51"/>
      <c r="P641" s="51"/>
      <c r="Q641" s="51"/>
      <c r="R641" s="51"/>
      <c r="S641" s="51"/>
      <c r="T641" s="51"/>
      <c r="U641" s="51"/>
      <c r="V641" s="51"/>
      <c r="W641" s="51"/>
      <c r="X641" s="51"/>
      <c r="Y641" s="51"/>
      <c r="Z641" s="51"/>
      <c r="AA641" s="51"/>
      <c r="AB641" s="51"/>
    </row>
    <row r="642" customFormat="false" ht="15.75" hidden="false" customHeight="false" outlineLevel="0" collapsed="false">
      <c r="A642" s="51"/>
      <c r="B642" s="51"/>
      <c r="C642" s="6"/>
      <c r="D642" s="49"/>
      <c r="E642" s="51"/>
      <c r="F642" s="6"/>
      <c r="G642" s="6"/>
      <c r="H642" s="6"/>
      <c r="I642" s="6"/>
      <c r="J642" s="6"/>
      <c r="K642" s="51"/>
      <c r="L642" s="51"/>
      <c r="M642" s="51"/>
      <c r="N642" s="51"/>
      <c r="O642" s="51"/>
      <c r="P642" s="51"/>
      <c r="Q642" s="51"/>
      <c r="R642" s="51"/>
      <c r="S642" s="51"/>
      <c r="T642" s="51"/>
      <c r="U642" s="51"/>
      <c r="V642" s="51"/>
      <c r="W642" s="51"/>
      <c r="X642" s="51"/>
      <c r="Y642" s="51"/>
      <c r="Z642" s="51"/>
      <c r="AA642" s="51"/>
      <c r="AB642" s="51"/>
    </row>
    <row r="643" customFormat="false" ht="15.75" hidden="false" customHeight="false" outlineLevel="0" collapsed="false">
      <c r="A643" s="51"/>
      <c r="B643" s="51"/>
      <c r="C643" s="6"/>
      <c r="D643" s="49"/>
      <c r="E643" s="51"/>
      <c r="F643" s="6"/>
      <c r="G643" s="6"/>
      <c r="H643" s="6"/>
      <c r="I643" s="6"/>
      <c r="J643" s="6"/>
      <c r="K643" s="51"/>
      <c r="L643" s="51"/>
      <c r="M643" s="51"/>
      <c r="N643" s="51"/>
      <c r="O643" s="51"/>
      <c r="P643" s="51"/>
      <c r="Q643" s="51"/>
      <c r="R643" s="51"/>
      <c r="S643" s="51"/>
      <c r="T643" s="51"/>
      <c r="U643" s="51"/>
      <c r="V643" s="51"/>
      <c r="W643" s="51"/>
      <c r="X643" s="51"/>
      <c r="Y643" s="51"/>
      <c r="Z643" s="51"/>
      <c r="AA643" s="51"/>
      <c r="AB643" s="51"/>
    </row>
    <row r="644" customFormat="false" ht="15.75" hidden="false" customHeight="false" outlineLevel="0" collapsed="false">
      <c r="A644" s="51"/>
      <c r="B644" s="51"/>
      <c r="C644" s="6"/>
      <c r="D644" s="49"/>
      <c r="E644" s="51"/>
      <c r="F644" s="6"/>
      <c r="G644" s="6"/>
      <c r="H644" s="6"/>
      <c r="I644" s="6"/>
      <c r="J644" s="6"/>
      <c r="K644" s="51"/>
      <c r="L644" s="51"/>
      <c r="M644" s="51"/>
      <c r="N644" s="51"/>
      <c r="O644" s="51"/>
      <c r="P644" s="51"/>
      <c r="Q644" s="51"/>
      <c r="R644" s="51"/>
      <c r="S644" s="51"/>
      <c r="T644" s="51"/>
      <c r="U644" s="51"/>
      <c r="V644" s="51"/>
      <c r="W644" s="51"/>
      <c r="X644" s="51"/>
      <c r="Y644" s="51"/>
      <c r="Z644" s="51"/>
      <c r="AA644" s="51"/>
      <c r="AB644" s="51"/>
    </row>
    <row r="645" customFormat="false" ht="15.75" hidden="false" customHeight="false" outlineLevel="0" collapsed="false">
      <c r="A645" s="51"/>
      <c r="B645" s="51"/>
      <c r="C645" s="6"/>
      <c r="D645" s="49"/>
      <c r="E645" s="51"/>
      <c r="F645" s="6"/>
      <c r="G645" s="6"/>
      <c r="H645" s="6"/>
      <c r="I645" s="6"/>
      <c r="J645" s="6"/>
      <c r="K645" s="51"/>
      <c r="L645" s="51"/>
      <c r="M645" s="51"/>
      <c r="N645" s="51"/>
      <c r="O645" s="51"/>
      <c r="P645" s="51"/>
      <c r="Q645" s="51"/>
      <c r="R645" s="51"/>
      <c r="S645" s="51"/>
      <c r="T645" s="51"/>
      <c r="U645" s="51"/>
      <c r="V645" s="51"/>
      <c r="W645" s="51"/>
      <c r="X645" s="51"/>
      <c r="Y645" s="51"/>
      <c r="Z645" s="51"/>
      <c r="AA645" s="51"/>
      <c r="AB645" s="51"/>
    </row>
    <row r="646" customFormat="false" ht="15.75" hidden="false" customHeight="false" outlineLevel="0" collapsed="false">
      <c r="A646" s="51"/>
      <c r="B646" s="51"/>
      <c r="C646" s="6"/>
      <c r="D646" s="49"/>
      <c r="E646" s="51"/>
      <c r="F646" s="6"/>
      <c r="G646" s="6"/>
      <c r="H646" s="6"/>
      <c r="I646" s="6"/>
      <c r="J646" s="6"/>
      <c r="K646" s="51"/>
      <c r="L646" s="51"/>
      <c r="M646" s="51"/>
      <c r="N646" s="51"/>
      <c r="O646" s="51"/>
      <c r="P646" s="51"/>
      <c r="Q646" s="51"/>
      <c r="R646" s="51"/>
      <c r="S646" s="51"/>
      <c r="T646" s="51"/>
      <c r="U646" s="51"/>
      <c r="V646" s="51"/>
      <c r="W646" s="51"/>
      <c r="X646" s="51"/>
      <c r="Y646" s="51"/>
      <c r="Z646" s="51"/>
      <c r="AA646" s="51"/>
      <c r="AB646" s="51"/>
    </row>
    <row r="647" customFormat="false" ht="15.75" hidden="false" customHeight="false" outlineLevel="0" collapsed="false">
      <c r="A647" s="51"/>
      <c r="B647" s="51"/>
      <c r="C647" s="6"/>
      <c r="D647" s="49"/>
      <c r="E647" s="51"/>
      <c r="F647" s="6"/>
      <c r="G647" s="6"/>
      <c r="H647" s="6"/>
      <c r="I647" s="6"/>
      <c r="J647" s="6"/>
      <c r="K647" s="51"/>
      <c r="L647" s="51"/>
      <c r="M647" s="51"/>
      <c r="N647" s="51"/>
      <c r="O647" s="51"/>
      <c r="P647" s="51"/>
      <c r="Q647" s="51"/>
      <c r="R647" s="51"/>
      <c r="S647" s="51"/>
      <c r="T647" s="51"/>
      <c r="U647" s="51"/>
      <c r="V647" s="51"/>
      <c r="W647" s="51"/>
      <c r="X647" s="51"/>
      <c r="Y647" s="51"/>
      <c r="Z647" s="51"/>
      <c r="AA647" s="51"/>
      <c r="AB647" s="51"/>
    </row>
    <row r="648" customFormat="false" ht="15.75" hidden="false" customHeight="false" outlineLevel="0" collapsed="false">
      <c r="A648" s="51"/>
      <c r="B648" s="51"/>
      <c r="C648" s="6"/>
      <c r="D648" s="49"/>
      <c r="E648" s="51"/>
      <c r="F648" s="6"/>
      <c r="G648" s="6"/>
      <c r="H648" s="6"/>
      <c r="I648" s="6"/>
      <c r="J648" s="6"/>
      <c r="K648" s="51"/>
      <c r="L648" s="51"/>
      <c r="M648" s="51"/>
      <c r="N648" s="51"/>
      <c r="O648" s="51"/>
      <c r="P648" s="51"/>
      <c r="Q648" s="51"/>
      <c r="R648" s="51"/>
      <c r="S648" s="51"/>
      <c r="T648" s="51"/>
      <c r="U648" s="51"/>
      <c r="V648" s="51"/>
      <c r="W648" s="51"/>
      <c r="X648" s="51"/>
      <c r="Y648" s="51"/>
      <c r="Z648" s="51"/>
      <c r="AA648" s="51"/>
      <c r="AB648" s="51"/>
    </row>
    <row r="649" customFormat="false" ht="15.75" hidden="false" customHeight="false" outlineLevel="0" collapsed="false">
      <c r="A649" s="51"/>
      <c r="B649" s="51"/>
      <c r="C649" s="6"/>
      <c r="D649" s="49"/>
      <c r="E649" s="51"/>
      <c r="F649" s="6"/>
      <c r="G649" s="6"/>
      <c r="H649" s="6"/>
      <c r="I649" s="6"/>
      <c r="J649" s="6"/>
      <c r="K649" s="51"/>
      <c r="L649" s="51"/>
      <c r="M649" s="51"/>
      <c r="N649" s="51"/>
      <c r="O649" s="51"/>
      <c r="P649" s="51"/>
      <c r="Q649" s="51"/>
      <c r="R649" s="51"/>
      <c r="S649" s="51"/>
      <c r="T649" s="51"/>
      <c r="U649" s="51"/>
      <c r="V649" s="51"/>
      <c r="W649" s="51"/>
      <c r="X649" s="51"/>
      <c r="Y649" s="51"/>
      <c r="Z649" s="51"/>
      <c r="AA649" s="51"/>
      <c r="AB649" s="51"/>
    </row>
    <row r="650" customFormat="false" ht="15.75" hidden="false" customHeight="false" outlineLevel="0" collapsed="false">
      <c r="A650" s="51"/>
      <c r="B650" s="51"/>
      <c r="C650" s="6"/>
      <c r="D650" s="49"/>
      <c r="E650" s="51"/>
      <c r="F650" s="6"/>
      <c r="G650" s="6"/>
      <c r="H650" s="6"/>
      <c r="I650" s="6"/>
      <c r="J650" s="6"/>
      <c r="K650" s="51"/>
      <c r="L650" s="51"/>
      <c r="M650" s="51"/>
      <c r="N650" s="51"/>
      <c r="O650" s="51"/>
      <c r="P650" s="51"/>
      <c r="Q650" s="51"/>
      <c r="R650" s="51"/>
      <c r="S650" s="51"/>
      <c r="T650" s="51"/>
      <c r="U650" s="51"/>
      <c r="V650" s="51"/>
      <c r="W650" s="51"/>
      <c r="X650" s="51"/>
      <c r="Y650" s="51"/>
      <c r="Z650" s="51"/>
      <c r="AA650" s="51"/>
      <c r="AB650" s="51"/>
    </row>
    <row r="651" customFormat="false" ht="15.75" hidden="false" customHeight="false" outlineLevel="0" collapsed="false">
      <c r="A651" s="51"/>
      <c r="B651" s="51"/>
      <c r="C651" s="6"/>
      <c r="D651" s="49"/>
      <c r="E651" s="51"/>
      <c r="F651" s="6"/>
      <c r="G651" s="6"/>
      <c r="H651" s="6"/>
      <c r="I651" s="6"/>
      <c r="J651" s="6"/>
      <c r="K651" s="51"/>
      <c r="L651" s="51"/>
      <c r="M651" s="51"/>
      <c r="N651" s="51"/>
      <c r="O651" s="51"/>
      <c r="P651" s="51"/>
      <c r="Q651" s="51"/>
      <c r="R651" s="51"/>
      <c r="S651" s="51"/>
      <c r="T651" s="51"/>
      <c r="U651" s="51"/>
      <c r="V651" s="51"/>
      <c r="W651" s="51"/>
      <c r="X651" s="51"/>
      <c r="Y651" s="51"/>
      <c r="Z651" s="51"/>
      <c r="AA651" s="51"/>
      <c r="AB651" s="51"/>
    </row>
    <row r="652" customFormat="false" ht="15.75" hidden="false" customHeight="false" outlineLevel="0" collapsed="false">
      <c r="A652" s="51"/>
      <c r="B652" s="51"/>
      <c r="C652" s="6"/>
      <c r="D652" s="49"/>
      <c r="E652" s="51"/>
      <c r="F652" s="6"/>
      <c r="G652" s="6"/>
      <c r="H652" s="6"/>
      <c r="I652" s="6"/>
      <c r="J652" s="6"/>
      <c r="K652" s="51"/>
      <c r="L652" s="51"/>
      <c r="M652" s="51"/>
      <c r="N652" s="51"/>
      <c r="O652" s="51"/>
      <c r="P652" s="51"/>
      <c r="Q652" s="51"/>
      <c r="R652" s="51"/>
      <c r="S652" s="51"/>
      <c r="T652" s="51"/>
      <c r="U652" s="51"/>
      <c r="V652" s="51"/>
      <c r="W652" s="51"/>
      <c r="X652" s="51"/>
      <c r="Y652" s="51"/>
      <c r="Z652" s="51"/>
      <c r="AA652" s="51"/>
      <c r="AB652" s="51"/>
    </row>
    <row r="653" customFormat="false" ht="15.75" hidden="false" customHeight="false" outlineLevel="0" collapsed="false">
      <c r="A653" s="51"/>
      <c r="B653" s="51"/>
      <c r="C653" s="6"/>
      <c r="D653" s="49"/>
      <c r="E653" s="51"/>
      <c r="F653" s="6"/>
      <c r="G653" s="6"/>
      <c r="H653" s="6"/>
      <c r="I653" s="6"/>
      <c r="J653" s="6"/>
      <c r="K653" s="51"/>
      <c r="L653" s="51"/>
      <c r="M653" s="51"/>
      <c r="N653" s="51"/>
      <c r="O653" s="51"/>
      <c r="P653" s="51"/>
      <c r="Q653" s="51"/>
      <c r="R653" s="51"/>
      <c r="S653" s="51"/>
      <c r="T653" s="51"/>
      <c r="U653" s="51"/>
      <c r="V653" s="51"/>
      <c r="W653" s="51"/>
      <c r="X653" s="51"/>
      <c r="Y653" s="51"/>
      <c r="Z653" s="51"/>
      <c r="AA653" s="51"/>
      <c r="AB653" s="51"/>
    </row>
    <row r="654" customFormat="false" ht="15.75" hidden="false" customHeight="false" outlineLevel="0" collapsed="false">
      <c r="A654" s="51"/>
      <c r="B654" s="51"/>
      <c r="C654" s="6"/>
      <c r="D654" s="49"/>
      <c r="E654" s="51"/>
      <c r="F654" s="6"/>
      <c r="G654" s="6"/>
      <c r="H654" s="6"/>
      <c r="I654" s="6"/>
      <c r="J654" s="6"/>
      <c r="K654" s="51"/>
      <c r="L654" s="51"/>
      <c r="M654" s="51"/>
      <c r="N654" s="51"/>
      <c r="O654" s="51"/>
      <c r="P654" s="51"/>
      <c r="Q654" s="51"/>
      <c r="R654" s="51"/>
      <c r="S654" s="51"/>
      <c r="T654" s="51"/>
      <c r="U654" s="51"/>
      <c r="V654" s="51"/>
      <c r="W654" s="51"/>
      <c r="X654" s="51"/>
      <c r="Y654" s="51"/>
      <c r="Z654" s="51"/>
      <c r="AA654" s="51"/>
      <c r="AB654" s="51"/>
    </row>
    <row r="655" customFormat="false" ht="15.75" hidden="false" customHeight="false" outlineLevel="0" collapsed="false">
      <c r="A655" s="51"/>
      <c r="B655" s="51"/>
      <c r="C655" s="6"/>
      <c r="D655" s="49"/>
      <c r="E655" s="51"/>
      <c r="F655" s="6"/>
      <c r="G655" s="6"/>
      <c r="H655" s="6"/>
      <c r="I655" s="6"/>
      <c r="J655" s="6"/>
      <c r="K655" s="51"/>
      <c r="L655" s="51"/>
      <c r="M655" s="51"/>
      <c r="N655" s="51"/>
      <c r="O655" s="51"/>
      <c r="P655" s="51"/>
      <c r="Q655" s="51"/>
      <c r="R655" s="51"/>
      <c r="S655" s="51"/>
      <c r="T655" s="51"/>
      <c r="U655" s="51"/>
      <c r="V655" s="51"/>
      <c r="W655" s="51"/>
      <c r="X655" s="51"/>
      <c r="Y655" s="51"/>
      <c r="Z655" s="51"/>
      <c r="AA655" s="51"/>
      <c r="AB655" s="51"/>
    </row>
    <row r="656" customFormat="false" ht="15.75" hidden="false" customHeight="false" outlineLevel="0" collapsed="false">
      <c r="A656" s="51"/>
      <c r="B656" s="51"/>
      <c r="C656" s="6"/>
      <c r="D656" s="49"/>
      <c r="E656" s="51"/>
      <c r="F656" s="6"/>
      <c r="G656" s="6"/>
      <c r="H656" s="6"/>
      <c r="I656" s="6"/>
      <c r="J656" s="6"/>
      <c r="K656" s="51"/>
      <c r="L656" s="51"/>
      <c r="M656" s="51"/>
      <c r="N656" s="51"/>
      <c r="O656" s="51"/>
      <c r="P656" s="51"/>
      <c r="Q656" s="51"/>
      <c r="R656" s="51"/>
      <c r="S656" s="51"/>
      <c r="T656" s="51"/>
      <c r="U656" s="51"/>
      <c r="V656" s="51"/>
      <c r="W656" s="51"/>
      <c r="X656" s="51"/>
      <c r="Y656" s="51"/>
      <c r="Z656" s="51"/>
      <c r="AA656" s="51"/>
      <c r="AB656" s="51"/>
    </row>
    <row r="657" customFormat="false" ht="15.75" hidden="false" customHeight="false" outlineLevel="0" collapsed="false">
      <c r="A657" s="51"/>
      <c r="B657" s="51"/>
      <c r="C657" s="6"/>
      <c r="D657" s="49"/>
      <c r="E657" s="51"/>
      <c r="F657" s="6"/>
      <c r="G657" s="6"/>
      <c r="H657" s="6"/>
      <c r="I657" s="6"/>
      <c r="J657" s="6"/>
      <c r="K657" s="51"/>
      <c r="L657" s="51"/>
      <c r="M657" s="51"/>
      <c r="N657" s="51"/>
      <c r="O657" s="51"/>
      <c r="P657" s="51"/>
      <c r="Q657" s="51"/>
      <c r="R657" s="51"/>
      <c r="S657" s="51"/>
      <c r="T657" s="51"/>
      <c r="U657" s="51"/>
      <c r="V657" s="51"/>
      <c r="W657" s="51"/>
      <c r="X657" s="51"/>
      <c r="Y657" s="51"/>
      <c r="Z657" s="51"/>
      <c r="AA657" s="51"/>
      <c r="AB657" s="51"/>
    </row>
    <row r="658" customFormat="false" ht="15.75" hidden="false" customHeight="false" outlineLevel="0" collapsed="false">
      <c r="A658" s="51"/>
      <c r="B658" s="51"/>
      <c r="C658" s="6"/>
      <c r="D658" s="49"/>
      <c r="E658" s="51"/>
      <c r="F658" s="6"/>
      <c r="G658" s="6"/>
      <c r="H658" s="6"/>
      <c r="I658" s="6"/>
      <c r="J658" s="6"/>
      <c r="K658" s="51"/>
      <c r="L658" s="51"/>
      <c r="M658" s="51"/>
      <c r="N658" s="51"/>
      <c r="O658" s="51"/>
      <c r="P658" s="51"/>
      <c r="Q658" s="51"/>
      <c r="R658" s="51"/>
      <c r="S658" s="51"/>
      <c r="T658" s="51"/>
      <c r="U658" s="51"/>
      <c r="V658" s="51"/>
      <c r="W658" s="51"/>
      <c r="X658" s="51"/>
      <c r="Y658" s="51"/>
      <c r="Z658" s="51"/>
      <c r="AA658" s="51"/>
      <c r="AB658" s="51"/>
    </row>
    <row r="659" customFormat="false" ht="15.75" hidden="false" customHeight="false" outlineLevel="0" collapsed="false">
      <c r="A659" s="51"/>
      <c r="B659" s="51"/>
      <c r="C659" s="6"/>
      <c r="D659" s="49"/>
      <c r="E659" s="51"/>
      <c r="F659" s="6"/>
      <c r="G659" s="6"/>
      <c r="H659" s="6"/>
      <c r="I659" s="6"/>
      <c r="J659" s="6"/>
      <c r="K659" s="51"/>
      <c r="L659" s="51"/>
      <c r="M659" s="51"/>
      <c r="N659" s="51"/>
      <c r="O659" s="51"/>
      <c r="P659" s="51"/>
      <c r="Q659" s="51"/>
      <c r="R659" s="51"/>
      <c r="S659" s="51"/>
      <c r="T659" s="51"/>
      <c r="U659" s="51"/>
      <c r="V659" s="51"/>
      <c r="W659" s="51"/>
      <c r="X659" s="51"/>
      <c r="Y659" s="51"/>
      <c r="Z659" s="51"/>
      <c r="AA659" s="51"/>
      <c r="AB659" s="51"/>
    </row>
    <row r="660" customFormat="false" ht="15.75" hidden="false" customHeight="false" outlineLevel="0" collapsed="false">
      <c r="A660" s="51"/>
      <c r="B660" s="51"/>
      <c r="C660" s="6"/>
      <c r="D660" s="49"/>
      <c r="E660" s="51"/>
      <c r="F660" s="6"/>
      <c r="G660" s="6"/>
      <c r="H660" s="6"/>
      <c r="I660" s="6"/>
      <c r="J660" s="6"/>
      <c r="K660" s="51"/>
      <c r="L660" s="51"/>
      <c r="M660" s="51"/>
      <c r="N660" s="51"/>
      <c r="O660" s="51"/>
      <c r="P660" s="51"/>
      <c r="Q660" s="51"/>
      <c r="R660" s="51"/>
      <c r="S660" s="51"/>
      <c r="T660" s="51"/>
      <c r="U660" s="51"/>
      <c r="V660" s="51"/>
      <c r="W660" s="51"/>
      <c r="X660" s="51"/>
      <c r="Y660" s="51"/>
      <c r="Z660" s="51"/>
      <c r="AA660" s="51"/>
      <c r="AB660" s="51"/>
    </row>
    <row r="661" customFormat="false" ht="15.75" hidden="false" customHeight="false" outlineLevel="0" collapsed="false">
      <c r="A661" s="51"/>
      <c r="B661" s="51"/>
      <c r="C661" s="6"/>
      <c r="D661" s="49"/>
      <c r="E661" s="51"/>
      <c r="F661" s="6"/>
      <c r="G661" s="6"/>
      <c r="H661" s="6"/>
      <c r="I661" s="6"/>
      <c r="J661" s="6"/>
      <c r="K661" s="51"/>
      <c r="L661" s="51"/>
      <c r="M661" s="51"/>
      <c r="N661" s="51"/>
      <c r="O661" s="51"/>
      <c r="P661" s="51"/>
      <c r="Q661" s="51"/>
      <c r="R661" s="51"/>
      <c r="S661" s="51"/>
      <c r="T661" s="51"/>
      <c r="U661" s="51"/>
      <c r="V661" s="51"/>
      <c r="W661" s="51"/>
      <c r="X661" s="51"/>
      <c r="Y661" s="51"/>
      <c r="Z661" s="51"/>
      <c r="AA661" s="51"/>
      <c r="AB661" s="51"/>
    </row>
    <row r="662" customFormat="false" ht="15.75" hidden="false" customHeight="false" outlineLevel="0" collapsed="false">
      <c r="A662" s="51"/>
      <c r="B662" s="51"/>
      <c r="C662" s="6"/>
      <c r="D662" s="49"/>
      <c r="E662" s="51"/>
      <c r="F662" s="6"/>
      <c r="G662" s="6"/>
      <c r="H662" s="6"/>
      <c r="I662" s="6"/>
      <c r="J662" s="6"/>
      <c r="K662" s="51"/>
      <c r="L662" s="51"/>
      <c r="M662" s="51"/>
      <c r="N662" s="51"/>
      <c r="O662" s="51"/>
      <c r="P662" s="51"/>
      <c r="Q662" s="51"/>
      <c r="R662" s="51"/>
      <c r="S662" s="51"/>
      <c r="T662" s="51"/>
      <c r="U662" s="51"/>
      <c r="V662" s="51"/>
      <c r="W662" s="51"/>
      <c r="X662" s="51"/>
      <c r="Y662" s="51"/>
      <c r="Z662" s="51"/>
      <c r="AA662" s="51"/>
      <c r="AB662" s="51"/>
    </row>
    <row r="663" customFormat="false" ht="15.75" hidden="false" customHeight="false" outlineLevel="0" collapsed="false">
      <c r="A663" s="51"/>
      <c r="B663" s="51"/>
      <c r="C663" s="6"/>
      <c r="D663" s="49"/>
      <c r="E663" s="51"/>
      <c r="F663" s="6"/>
      <c r="G663" s="6"/>
      <c r="H663" s="6"/>
      <c r="I663" s="6"/>
      <c r="J663" s="6"/>
      <c r="K663" s="51"/>
      <c r="L663" s="51"/>
      <c r="M663" s="51"/>
      <c r="N663" s="51"/>
      <c r="O663" s="51"/>
      <c r="P663" s="51"/>
      <c r="Q663" s="51"/>
      <c r="R663" s="51"/>
      <c r="S663" s="51"/>
      <c r="T663" s="51"/>
      <c r="U663" s="51"/>
      <c r="V663" s="51"/>
      <c r="W663" s="51"/>
      <c r="X663" s="51"/>
      <c r="Y663" s="51"/>
      <c r="Z663" s="51"/>
      <c r="AA663" s="51"/>
      <c r="AB663" s="51"/>
    </row>
    <row r="664" customFormat="false" ht="15.75" hidden="false" customHeight="false" outlineLevel="0" collapsed="false">
      <c r="A664" s="51"/>
      <c r="B664" s="51"/>
      <c r="C664" s="6"/>
      <c r="D664" s="49"/>
      <c r="E664" s="51"/>
      <c r="F664" s="6"/>
      <c r="G664" s="6"/>
      <c r="H664" s="6"/>
      <c r="I664" s="6"/>
      <c r="J664" s="6"/>
      <c r="K664" s="51"/>
      <c r="L664" s="51"/>
      <c r="M664" s="51"/>
      <c r="N664" s="51"/>
      <c r="O664" s="51"/>
      <c r="P664" s="51"/>
      <c r="Q664" s="51"/>
      <c r="R664" s="51"/>
      <c r="S664" s="51"/>
      <c r="T664" s="51"/>
      <c r="U664" s="51"/>
      <c r="V664" s="51"/>
      <c r="W664" s="51"/>
      <c r="X664" s="51"/>
      <c r="Y664" s="51"/>
      <c r="Z664" s="51"/>
      <c r="AA664" s="51"/>
      <c r="AB664" s="51"/>
    </row>
    <row r="665" customFormat="false" ht="15.75" hidden="false" customHeight="false" outlineLevel="0" collapsed="false">
      <c r="A665" s="51"/>
      <c r="B665" s="51"/>
      <c r="C665" s="6"/>
      <c r="D665" s="49"/>
      <c r="E665" s="51"/>
      <c r="F665" s="6"/>
      <c r="G665" s="6"/>
      <c r="H665" s="6"/>
      <c r="I665" s="6"/>
      <c r="J665" s="6"/>
      <c r="K665" s="51"/>
      <c r="L665" s="51"/>
      <c r="M665" s="51"/>
      <c r="N665" s="51"/>
      <c r="O665" s="51"/>
      <c r="P665" s="51"/>
      <c r="Q665" s="51"/>
      <c r="R665" s="51"/>
      <c r="S665" s="51"/>
      <c r="T665" s="51"/>
      <c r="U665" s="51"/>
      <c r="V665" s="51"/>
      <c r="W665" s="51"/>
      <c r="X665" s="51"/>
      <c r="Y665" s="51"/>
      <c r="Z665" s="51"/>
      <c r="AA665" s="51"/>
      <c r="AB665" s="51"/>
    </row>
    <row r="666" customFormat="false" ht="15.75" hidden="false" customHeight="false" outlineLevel="0" collapsed="false">
      <c r="A666" s="51"/>
      <c r="B666" s="51"/>
      <c r="C666" s="6"/>
      <c r="D666" s="49"/>
      <c r="E666" s="51"/>
      <c r="F666" s="6"/>
      <c r="G666" s="6"/>
      <c r="H666" s="6"/>
      <c r="I666" s="6"/>
      <c r="J666" s="6"/>
      <c r="K666" s="51"/>
      <c r="L666" s="51"/>
      <c r="M666" s="51"/>
      <c r="N666" s="51"/>
      <c r="O666" s="51"/>
      <c r="P666" s="51"/>
      <c r="Q666" s="51"/>
      <c r="R666" s="51"/>
      <c r="S666" s="51"/>
      <c r="T666" s="51"/>
      <c r="U666" s="51"/>
      <c r="V666" s="51"/>
      <c r="W666" s="51"/>
      <c r="X666" s="51"/>
      <c r="Y666" s="51"/>
      <c r="Z666" s="51"/>
      <c r="AA666" s="51"/>
      <c r="AB666" s="51"/>
    </row>
    <row r="667" customFormat="false" ht="15.75" hidden="false" customHeight="false" outlineLevel="0" collapsed="false">
      <c r="A667" s="51"/>
      <c r="B667" s="51"/>
      <c r="C667" s="6"/>
      <c r="D667" s="49"/>
      <c r="E667" s="51"/>
      <c r="F667" s="6"/>
      <c r="G667" s="6"/>
      <c r="H667" s="6"/>
      <c r="I667" s="6"/>
      <c r="J667" s="6"/>
      <c r="K667" s="51"/>
      <c r="L667" s="51"/>
      <c r="M667" s="51"/>
      <c r="N667" s="51"/>
      <c r="O667" s="51"/>
      <c r="P667" s="51"/>
      <c r="Q667" s="51"/>
      <c r="R667" s="51"/>
      <c r="S667" s="51"/>
      <c r="T667" s="51"/>
      <c r="U667" s="51"/>
      <c r="V667" s="51"/>
      <c r="W667" s="51"/>
      <c r="X667" s="51"/>
      <c r="Y667" s="51"/>
      <c r="Z667" s="51"/>
      <c r="AA667" s="51"/>
      <c r="AB667" s="51"/>
    </row>
    <row r="668" customFormat="false" ht="15.75" hidden="false" customHeight="false" outlineLevel="0" collapsed="false">
      <c r="A668" s="51"/>
      <c r="B668" s="51"/>
      <c r="C668" s="6"/>
      <c r="D668" s="49"/>
      <c r="E668" s="51"/>
      <c r="F668" s="6"/>
      <c r="G668" s="6"/>
      <c r="H668" s="6"/>
      <c r="I668" s="6"/>
      <c r="J668" s="6"/>
      <c r="K668" s="51"/>
      <c r="L668" s="51"/>
      <c r="M668" s="51"/>
      <c r="N668" s="51"/>
      <c r="O668" s="51"/>
      <c r="P668" s="51"/>
      <c r="Q668" s="51"/>
      <c r="R668" s="51"/>
      <c r="S668" s="51"/>
      <c r="T668" s="51"/>
      <c r="U668" s="51"/>
      <c r="V668" s="51"/>
      <c r="W668" s="51"/>
      <c r="X668" s="51"/>
      <c r="Y668" s="51"/>
      <c r="Z668" s="51"/>
      <c r="AA668" s="51"/>
      <c r="AB668" s="51"/>
    </row>
    <row r="669" customFormat="false" ht="15.75" hidden="false" customHeight="false" outlineLevel="0" collapsed="false">
      <c r="A669" s="51"/>
      <c r="B669" s="51"/>
      <c r="C669" s="6"/>
      <c r="D669" s="49"/>
      <c r="E669" s="51"/>
      <c r="F669" s="6"/>
      <c r="G669" s="6"/>
      <c r="H669" s="6"/>
      <c r="I669" s="6"/>
      <c r="J669" s="6"/>
      <c r="K669" s="51"/>
      <c r="L669" s="51"/>
      <c r="M669" s="51"/>
      <c r="N669" s="51"/>
      <c r="O669" s="51"/>
      <c r="P669" s="51"/>
      <c r="Q669" s="51"/>
      <c r="R669" s="51"/>
      <c r="S669" s="51"/>
      <c r="T669" s="51"/>
      <c r="U669" s="51"/>
      <c r="V669" s="51"/>
      <c r="W669" s="51"/>
      <c r="X669" s="51"/>
      <c r="Y669" s="51"/>
      <c r="Z669" s="51"/>
      <c r="AA669" s="51"/>
      <c r="AB669" s="51"/>
    </row>
    <row r="670" customFormat="false" ht="15.75" hidden="false" customHeight="false" outlineLevel="0" collapsed="false">
      <c r="A670" s="51"/>
      <c r="B670" s="51"/>
      <c r="C670" s="6"/>
      <c r="D670" s="49"/>
      <c r="E670" s="51"/>
      <c r="F670" s="6"/>
      <c r="G670" s="6"/>
      <c r="H670" s="6"/>
      <c r="I670" s="6"/>
      <c r="J670" s="6"/>
      <c r="K670" s="51"/>
      <c r="L670" s="51"/>
      <c r="M670" s="51"/>
      <c r="N670" s="51"/>
      <c r="O670" s="51"/>
      <c r="P670" s="51"/>
      <c r="Q670" s="51"/>
      <c r="R670" s="51"/>
      <c r="S670" s="51"/>
      <c r="T670" s="51"/>
      <c r="U670" s="51"/>
      <c r="V670" s="51"/>
      <c r="W670" s="51"/>
      <c r="X670" s="51"/>
      <c r="Y670" s="51"/>
      <c r="Z670" s="51"/>
      <c r="AA670" s="51"/>
      <c r="AB670" s="51"/>
    </row>
    <row r="671" customFormat="false" ht="15.75" hidden="false" customHeight="false" outlineLevel="0" collapsed="false">
      <c r="A671" s="51"/>
      <c r="B671" s="51"/>
      <c r="C671" s="6"/>
      <c r="D671" s="49"/>
      <c r="E671" s="51"/>
      <c r="F671" s="6"/>
      <c r="G671" s="6"/>
      <c r="H671" s="6"/>
      <c r="I671" s="6"/>
      <c r="J671" s="6"/>
      <c r="K671" s="51"/>
      <c r="L671" s="51"/>
      <c r="M671" s="51"/>
      <c r="N671" s="51"/>
      <c r="O671" s="51"/>
      <c r="P671" s="51"/>
      <c r="Q671" s="51"/>
      <c r="R671" s="51"/>
      <c r="S671" s="51"/>
      <c r="T671" s="51"/>
      <c r="U671" s="51"/>
      <c r="V671" s="51"/>
      <c r="W671" s="51"/>
      <c r="X671" s="51"/>
      <c r="Y671" s="51"/>
      <c r="Z671" s="51"/>
      <c r="AA671" s="51"/>
      <c r="AB671" s="51"/>
    </row>
    <row r="672" customFormat="false" ht="15.75" hidden="false" customHeight="false" outlineLevel="0" collapsed="false">
      <c r="A672" s="51"/>
      <c r="B672" s="51"/>
      <c r="C672" s="6"/>
      <c r="D672" s="49"/>
      <c r="E672" s="51"/>
      <c r="F672" s="6"/>
      <c r="G672" s="6"/>
      <c r="H672" s="6"/>
      <c r="I672" s="6"/>
      <c r="J672" s="6"/>
      <c r="K672" s="51"/>
      <c r="L672" s="51"/>
      <c r="M672" s="51"/>
      <c r="N672" s="51"/>
      <c r="O672" s="51"/>
      <c r="P672" s="51"/>
      <c r="Q672" s="51"/>
      <c r="R672" s="51"/>
      <c r="S672" s="51"/>
      <c r="T672" s="51"/>
      <c r="U672" s="51"/>
      <c r="V672" s="51"/>
      <c r="W672" s="51"/>
      <c r="X672" s="51"/>
      <c r="Y672" s="51"/>
      <c r="Z672" s="51"/>
      <c r="AA672" s="51"/>
      <c r="AB672" s="51"/>
    </row>
    <row r="673" customFormat="false" ht="15.75" hidden="false" customHeight="false" outlineLevel="0" collapsed="false">
      <c r="A673" s="51"/>
      <c r="B673" s="51"/>
      <c r="C673" s="6"/>
      <c r="D673" s="49"/>
      <c r="E673" s="51"/>
      <c r="F673" s="6"/>
      <c r="G673" s="6"/>
      <c r="H673" s="6"/>
      <c r="I673" s="6"/>
      <c r="J673" s="6"/>
      <c r="K673" s="51"/>
      <c r="L673" s="51"/>
      <c r="M673" s="51"/>
      <c r="N673" s="51"/>
      <c r="O673" s="51"/>
      <c r="P673" s="51"/>
      <c r="Q673" s="51"/>
      <c r="R673" s="51"/>
      <c r="S673" s="51"/>
      <c r="T673" s="51"/>
      <c r="U673" s="51"/>
      <c r="V673" s="51"/>
      <c r="W673" s="51"/>
      <c r="X673" s="51"/>
      <c r="Y673" s="51"/>
      <c r="Z673" s="51"/>
      <c r="AA673" s="51"/>
      <c r="AB673" s="51"/>
    </row>
    <row r="674" customFormat="false" ht="15.75" hidden="false" customHeight="false" outlineLevel="0" collapsed="false">
      <c r="A674" s="51"/>
      <c r="B674" s="51"/>
      <c r="C674" s="6"/>
      <c r="D674" s="49"/>
      <c r="E674" s="51"/>
      <c r="F674" s="6"/>
      <c r="G674" s="6"/>
      <c r="H674" s="6"/>
      <c r="I674" s="6"/>
      <c r="J674" s="6"/>
      <c r="K674" s="51"/>
      <c r="L674" s="51"/>
      <c r="M674" s="51"/>
      <c r="N674" s="51"/>
      <c r="O674" s="51"/>
      <c r="P674" s="51"/>
      <c r="Q674" s="51"/>
      <c r="R674" s="51"/>
      <c r="S674" s="51"/>
      <c r="T674" s="51"/>
      <c r="U674" s="51"/>
      <c r="V674" s="51"/>
      <c r="W674" s="51"/>
      <c r="X674" s="51"/>
      <c r="Y674" s="51"/>
      <c r="Z674" s="51"/>
      <c r="AA674" s="51"/>
      <c r="AB674" s="51"/>
    </row>
    <row r="675" customFormat="false" ht="15.75" hidden="false" customHeight="false" outlineLevel="0" collapsed="false">
      <c r="A675" s="51"/>
      <c r="B675" s="51"/>
      <c r="C675" s="6"/>
      <c r="D675" s="49"/>
      <c r="E675" s="51"/>
      <c r="F675" s="6"/>
      <c r="G675" s="6"/>
      <c r="H675" s="6"/>
      <c r="I675" s="6"/>
      <c r="J675" s="6"/>
      <c r="K675" s="51"/>
      <c r="L675" s="51"/>
      <c r="M675" s="51"/>
      <c r="N675" s="51"/>
      <c r="O675" s="51"/>
      <c r="P675" s="51"/>
      <c r="Q675" s="51"/>
      <c r="R675" s="51"/>
      <c r="S675" s="51"/>
      <c r="T675" s="51"/>
      <c r="U675" s="51"/>
      <c r="V675" s="51"/>
      <c r="W675" s="51"/>
      <c r="X675" s="51"/>
      <c r="Y675" s="51"/>
      <c r="Z675" s="51"/>
      <c r="AA675" s="51"/>
      <c r="AB675" s="51"/>
    </row>
    <row r="676" customFormat="false" ht="15.75" hidden="false" customHeight="false" outlineLevel="0" collapsed="false">
      <c r="A676" s="51"/>
      <c r="B676" s="51"/>
      <c r="C676" s="6"/>
      <c r="D676" s="49"/>
      <c r="E676" s="51"/>
      <c r="F676" s="6"/>
      <c r="G676" s="6"/>
      <c r="H676" s="6"/>
      <c r="I676" s="6"/>
      <c r="J676" s="6"/>
      <c r="K676" s="51"/>
      <c r="L676" s="51"/>
      <c r="M676" s="51"/>
      <c r="N676" s="51"/>
      <c r="O676" s="51"/>
      <c r="P676" s="51"/>
      <c r="Q676" s="51"/>
      <c r="R676" s="51"/>
      <c r="S676" s="51"/>
      <c r="T676" s="51"/>
      <c r="U676" s="51"/>
      <c r="V676" s="51"/>
      <c r="W676" s="51"/>
      <c r="X676" s="51"/>
      <c r="Y676" s="51"/>
      <c r="Z676" s="51"/>
      <c r="AA676" s="51"/>
      <c r="AB676" s="51"/>
    </row>
    <row r="677" customFormat="false" ht="15.75" hidden="false" customHeight="false" outlineLevel="0" collapsed="false">
      <c r="A677" s="51"/>
      <c r="B677" s="51"/>
      <c r="C677" s="6"/>
      <c r="D677" s="49"/>
      <c r="E677" s="51"/>
      <c r="F677" s="6"/>
      <c r="G677" s="6"/>
      <c r="H677" s="6"/>
      <c r="I677" s="6"/>
      <c r="J677" s="6"/>
      <c r="K677" s="51"/>
      <c r="L677" s="51"/>
      <c r="M677" s="51"/>
      <c r="N677" s="51"/>
      <c r="O677" s="51"/>
      <c r="P677" s="51"/>
      <c r="Q677" s="51"/>
      <c r="R677" s="51"/>
      <c r="S677" s="51"/>
      <c r="T677" s="51"/>
      <c r="U677" s="51"/>
      <c r="V677" s="51"/>
      <c r="W677" s="51"/>
      <c r="X677" s="51"/>
      <c r="Y677" s="51"/>
      <c r="Z677" s="51"/>
      <c r="AA677" s="51"/>
      <c r="AB677" s="51"/>
    </row>
    <row r="678" customFormat="false" ht="15.75" hidden="false" customHeight="false" outlineLevel="0" collapsed="false">
      <c r="A678" s="51"/>
      <c r="B678" s="51"/>
      <c r="C678" s="6"/>
      <c r="D678" s="49"/>
      <c r="E678" s="51"/>
      <c r="F678" s="6"/>
      <c r="G678" s="6"/>
      <c r="H678" s="6"/>
      <c r="I678" s="6"/>
      <c r="J678" s="6"/>
      <c r="K678" s="51"/>
      <c r="L678" s="51"/>
      <c r="M678" s="51"/>
      <c r="N678" s="51"/>
      <c r="O678" s="51"/>
      <c r="P678" s="51"/>
      <c r="Q678" s="51"/>
      <c r="R678" s="51"/>
      <c r="S678" s="51"/>
      <c r="T678" s="51"/>
      <c r="U678" s="51"/>
      <c r="V678" s="51"/>
      <c r="W678" s="51"/>
      <c r="X678" s="51"/>
      <c r="Y678" s="51"/>
      <c r="Z678" s="51"/>
      <c r="AA678" s="51"/>
      <c r="AB678" s="51"/>
    </row>
    <row r="679" customFormat="false" ht="15.75" hidden="false" customHeight="false" outlineLevel="0" collapsed="false">
      <c r="A679" s="51"/>
      <c r="B679" s="51"/>
      <c r="C679" s="6"/>
      <c r="D679" s="49"/>
      <c r="E679" s="51"/>
      <c r="F679" s="6"/>
      <c r="G679" s="6"/>
      <c r="H679" s="6"/>
      <c r="I679" s="6"/>
      <c r="J679" s="6"/>
      <c r="K679" s="51"/>
      <c r="L679" s="51"/>
      <c r="M679" s="51"/>
      <c r="N679" s="51"/>
      <c r="O679" s="51"/>
      <c r="P679" s="51"/>
      <c r="Q679" s="51"/>
      <c r="R679" s="51"/>
      <c r="S679" s="51"/>
      <c r="T679" s="51"/>
      <c r="U679" s="51"/>
      <c r="V679" s="51"/>
      <c r="W679" s="51"/>
      <c r="X679" s="51"/>
      <c r="Y679" s="51"/>
      <c r="Z679" s="51"/>
      <c r="AA679" s="51"/>
      <c r="AB679" s="51"/>
    </row>
    <row r="680" customFormat="false" ht="15.75" hidden="false" customHeight="false" outlineLevel="0" collapsed="false">
      <c r="A680" s="51"/>
      <c r="B680" s="51"/>
      <c r="C680" s="6"/>
      <c r="D680" s="49"/>
      <c r="E680" s="51"/>
      <c r="F680" s="6"/>
      <c r="G680" s="6"/>
      <c r="H680" s="6"/>
      <c r="I680" s="6"/>
      <c r="J680" s="6"/>
      <c r="K680" s="51"/>
      <c r="L680" s="51"/>
      <c r="M680" s="51"/>
      <c r="N680" s="51"/>
      <c r="O680" s="51"/>
      <c r="P680" s="51"/>
      <c r="Q680" s="51"/>
      <c r="R680" s="51"/>
      <c r="S680" s="51"/>
      <c r="T680" s="51"/>
      <c r="U680" s="51"/>
      <c r="V680" s="51"/>
      <c r="W680" s="51"/>
      <c r="X680" s="51"/>
      <c r="Y680" s="51"/>
      <c r="Z680" s="51"/>
      <c r="AA680" s="51"/>
      <c r="AB680" s="51"/>
    </row>
    <row r="681" customFormat="false" ht="15.75" hidden="false" customHeight="false" outlineLevel="0" collapsed="false">
      <c r="A681" s="51"/>
      <c r="B681" s="51"/>
      <c r="C681" s="6"/>
      <c r="D681" s="49"/>
      <c r="E681" s="51"/>
      <c r="F681" s="6"/>
      <c r="G681" s="6"/>
      <c r="H681" s="6"/>
      <c r="I681" s="6"/>
      <c r="J681" s="6"/>
      <c r="K681" s="51"/>
      <c r="L681" s="51"/>
      <c r="M681" s="51"/>
      <c r="N681" s="51"/>
      <c r="O681" s="51"/>
      <c r="P681" s="51"/>
      <c r="Q681" s="51"/>
      <c r="R681" s="51"/>
      <c r="S681" s="51"/>
      <c r="T681" s="51"/>
      <c r="U681" s="51"/>
      <c r="V681" s="51"/>
      <c r="W681" s="51"/>
      <c r="X681" s="51"/>
      <c r="Y681" s="51"/>
      <c r="Z681" s="51"/>
      <c r="AA681" s="51"/>
      <c r="AB681" s="51"/>
    </row>
    <row r="682" customFormat="false" ht="15.75" hidden="false" customHeight="false" outlineLevel="0" collapsed="false">
      <c r="A682" s="51"/>
      <c r="B682" s="51"/>
      <c r="C682" s="6"/>
      <c r="D682" s="49"/>
      <c r="E682" s="51"/>
      <c r="F682" s="6"/>
      <c r="G682" s="6"/>
      <c r="H682" s="6"/>
      <c r="I682" s="6"/>
      <c r="J682" s="6"/>
      <c r="K682" s="51"/>
      <c r="L682" s="51"/>
      <c r="M682" s="51"/>
      <c r="N682" s="51"/>
      <c r="O682" s="51"/>
      <c r="P682" s="51"/>
      <c r="Q682" s="51"/>
      <c r="R682" s="51"/>
      <c r="S682" s="51"/>
      <c r="T682" s="51"/>
      <c r="U682" s="51"/>
      <c r="V682" s="51"/>
      <c r="W682" s="51"/>
      <c r="X682" s="51"/>
      <c r="Y682" s="51"/>
      <c r="Z682" s="51"/>
      <c r="AA682" s="51"/>
      <c r="AB682" s="51"/>
    </row>
    <row r="683" customFormat="false" ht="15.75" hidden="false" customHeight="false" outlineLevel="0" collapsed="false">
      <c r="A683" s="51"/>
      <c r="B683" s="51"/>
      <c r="C683" s="6"/>
      <c r="D683" s="49"/>
      <c r="E683" s="51"/>
      <c r="F683" s="6"/>
      <c r="G683" s="6"/>
      <c r="H683" s="6"/>
      <c r="I683" s="6"/>
      <c r="J683" s="6"/>
      <c r="K683" s="51"/>
      <c r="L683" s="51"/>
      <c r="M683" s="51"/>
      <c r="N683" s="51"/>
      <c r="O683" s="51"/>
      <c r="P683" s="51"/>
      <c r="Q683" s="51"/>
      <c r="R683" s="51"/>
      <c r="S683" s="51"/>
      <c r="T683" s="51"/>
      <c r="U683" s="51"/>
      <c r="V683" s="51"/>
      <c r="W683" s="51"/>
      <c r="X683" s="51"/>
      <c r="Y683" s="51"/>
      <c r="Z683" s="51"/>
      <c r="AA683" s="51"/>
      <c r="AB683" s="51"/>
    </row>
    <row r="684" customFormat="false" ht="15.75" hidden="false" customHeight="false" outlineLevel="0" collapsed="false">
      <c r="A684" s="51"/>
      <c r="B684" s="51"/>
      <c r="C684" s="6"/>
      <c r="D684" s="49"/>
      <c r="E684" s="51"/>
      <c r="F684" s="6"/>
      <c r="G684" s="6"/>
      <c r="H684" s="6"/>
      <c r="I684" s="6"/>
      <c r="J684" s="6"/>
      <c r="K684" s="51"/>
      <c r="L684" s="51"/>
      <c r="M684" s="51"/>
      <c r="N684" s="51"/>
      <c r="O684" s="51"/>
      <c r="P684" s="51"/>
      <c r="Q684" s="51"/>
      <c r="R684" s="51"/>
      <c r="S684" s="51"/>
      <c r="T684" s="51"/>
      <c r="U684" s="51"/>
      <c r="V684" s="51"/>
      <c r="W684" s="51"/>
      <c r="X684" s="51"/>
      <c r="Y684" s="51"/>
      <c r="Z684" s="51"/>
      <c r="AA684" s="51"/>
      <c r="AB684" s="51"/>
    </row>
    <row r="685" customFormat="false" ht="15.75" hidden="false" customHeight="false" outlineLevel="0" collapsed="false">
      <c r="A685" s="51"/>
      <c r="B685" s="51"/>
      <c r="C685" s="6"/>
      <c r="D685" s="49"/>
      <c r="E685" s="51"/>
      <c r="F685" s="6"/>
      <c r="G685" s="6"/>
      <c r="H685" s="6"/>
      <c r="I685" s="6"/>
      <c r="J685" s="6"/>
      <c r="K685" s="51"/>
      <c r="L685" s="51"/>
      <c r="M685" s="51"/>
      <c r="N685" s="51"/>
      <c r="O685" s="51"/>
      <c r="P685" s="51"/>
      <c r="Q685" s="51"/>
      <c r="R685" s="51"/>
      <c r="S685" s="51"/>
      <c r="T685" s="51"/>
      <c r="U685" s="51"/>
      <c r="V685" s="51"/>
      <c r="W685" s="51"/>
      <c r="X685" s="51"/>
      <c r="Y685" s="51"/>
      <c r="Z685" s="51"/>
      <c r="AA685" s="51"/>
      <c r="AB685" s="51"/>
    </row>
    <row r="686" customFormat="false" ht="15.75" hidden="false" customHeight="false" outlineLevel="0" collapsed="false">
      <c r="A686" s="51"/>
      <c r="B686" s="51"/>
      <c r="C686" s="6"/>
      <c r="D686" s="49"/>
      <c r="E686" s="51"/>
      <c r="F686" s="6"/>
      <c r="G686" s="6"/>
      <c r="H686" s="6"/>
      <c r="I686" s="6"/>
      <c r="J686" s="6"/>
      <c r="K686" s="51"/>
      <c r="L686" s="51"/>
      <c r="M686" s="51"/>
      <c r="N686" s="51"/>
      <c r="O686" s="51"/>
      <c r="P686" s="51"/>
      <c r="Q686" s="51"/>
      <c r="R686" s="51"/>
      <c r="S686" s="51"/>
      <c r="T686" s="51"/>
      <c r="U686" s="51"/>
      <c r="V686" s="51"/>
      <c r="W686" s="51"/>
      <c r="X686" s="51"/>
      <c r="Y686" s="51"/>
      <c r="Z686" s="51"/>
      <c r="AA686" s="51"/>
      <c r="AB686" s="51"/>
    </row>
    <row r="687" customFormat="false" ht="15.75" hidden="false" customHeight="false" outlineLevel="0" collapsed="false">
      <c r="A687" s="51"/>
      <c r="B687" s="51"/>
      <c r="C687" s="6"/>
      <c r="D687" s="49"/>
      <c r="E687" s="51"/>
      <c r="F687" s="6"/>
      <c r="G687" s="6"/>
      <c r="H687" s="6"/>
      <c r="I687" s="6"/>
      <c r="J687" s="6"/>
      <c r="K687" s="51"/>
      <c r="L687" s="51"/>
      <c r="M687" s="51"/>
      <c r="N687" s="51"/>
      <c r="O687" s="51"/>
      <c r="P687" s="51"/>
      <c r="Q687" s="51"/>
      <c r="R687" s="51"/>
      <c r="S687" s="51"/>
      <c r="T687" s="51"/>
      <c r="U687" s="51"/>
      <c r="V687" s="51"/>
      <c r="W687" s="51"/>
      <c r="X687" s="51"/>
      <c r="Y687" s="51"/>
      <c r="Z687" s="51"/>
      <c r="AA687" s="51"/>
      <c r="AB687" s="51"/>
    </row>
    <row r="688" customFormat="false" ht="15.75" hidden="false" customHeight="false" outlineLevel="0" collapsed="false">
      <c r="A688" s="51"/>
      <c r="B688" s="51"/>
      <c r="C688" s="6"/>
      <c r="D688" s="49"/>
      <c r="E688" s="51"/>
      <c r="F688" s="6"/>
      <c r="G688" s="6"/>
      <c r="H688" s="6"/>
      <c r="I688" s="6"/>
      <c r="J688" s="6"/>
      <c r="K688" s="51"/>
      <c r="L688" s="51"/>
      <c r="M688" s="51"/>
      <c r="N688" s="51"/>
      <c r="O688" s="51"/>
      <c r="P688" s="51"/>
      <c r="Q688" s="51"/>
      <c r="R688" s="51"/>
      <c r="S688" s="51"/>
      <c r="T688" s="51"/>
      <c r="U688" s="51"/>
      <c r="V688" s="51"/>
      <c r="W688" s="51"/>
      <c r="X688" s="51"/>
      <c r="Y688" s="51"/>
      <c r="Z688" s="51"/>
      <c r="AA688" s="51"/>
      <c r="AB688" s="51"/>
    </row>
    <row r="689" customFormat="false" ht="15.75" hidden="false" customHeight="false" outlineLevel="0" collapsed="false">
      <c r="A689" s="51"/>
      <c r="B689" s="51"/>
      <c r="C689" s="6"/>
      <c r="D689" s="49"/>
      <c r="E689" s="51"/>
      <c r="F689" s="6"/>
      <c r="G689" s="6"/>
      <c r="H689" s="6"/>
      <c r="I689" s="6"/>
      <c r="J689" s="6"/>
      <c r="K689" s="51"/>
      <c r="L689" s="51"/>
      <c r="M689" s="51"/>
      <c r="N689" s="51"/>
      <c r="O689" s="51"/>
      <c r="P689" s="51"/>
      <c r="Q689" s="51"/>
      <c r="R689" s="51"/>
      <c r="S689" s="51"/>
      <c r="T689" s="51"/>
      <c r="U689" s="51"/>
      <c r="V689" s="51"/>
      <c r="W689" s="51"/>
      <c r="X689" s="51"/>
      <c r="Y689" s="51"/>
      <c r="Z689" s="51"/>
      <c r="AA689" s="51"/>
      <c r="AB689" s="51"/>
    </row>
    <row r="690" customFormat="false" ht="15.75" hidden="false" customHeight="false" outlineLevel="0" collapsed="false">
      <c r="A690" s="51"/>
      <c r="B690" s="51"/>
      <c r="C690" s="6"/>
      <c r="D690" s="49"/>
      <c r="E690" s="51"/>
      <c r="F690" s="6"/>
      <c r="G690" s="6"/>
      <c r="H690" s="6"/>
      <c r="I690" s="6"/>
      <c r="J690" s="6"/>
      <c r="K690" s="51"/>
      <c r="L690" s="51"/>
      <c r="M690" s="51"/>
      <c r="N690" s="51"/>
      <c r="O690" s="51"/>
      <c r="P690" s="51"/>
      <c r="Q690" s="51"/>
      <c r="R690" s="51"/>
      <c r="S690" s="51"/>
      <c r="T690" s="51"/>
      <c r="U690" s="51"/>
      <c r="V690" s="51"/>
      <c r="W690" s="51"/>
      <c r="X690" s="51"/>
      <c r="Y690" s="51"/>
      <c r="Z690" s="51"/>
      <c r="AA690" s="51"/>
      <c r="AB690" s="51"/>
    </row>
    <row r="691" customFormat="false" ht="15.75" hidden="false" customHeight="false" outlineLevel="0" collapsed="false">
      <c r="A691" s="51"/>
      <c r="B691" s="51"/>
      <c r="C691" s="6"/>
      <c r="D691" s="49"/>
      <c r="E691" s="51"/>
      <c r="F691" s="6"/>
      <c r="G691" s="6"/>
      <c r="H691" s="6"/>
      <c r="I691" s="6"/>
      <c r="J691" s="6"/>
      <c r="K691" s="51"/>
      <c r="L691" s="51"/>
      <c r="M691" s="51"/>
      <c r="N691" s="51"/>
      <c r="O691" s="51"/>
      <c r="P691" s="51"/>
      <c r="Q691" s="51"/>
      <c r="R691" s="51"/>
      <c r="S691" s="51"/>
      <c r="T691" s="51"/>
      <c r="U691" s="51"/>
      <c r="V691" s="51"/>
      <c r="W691" s="51"/>
      <c r="X691" s="51"/>
      <c r="Y691" s="51"/>
      <c r="Z691" s="51"/>
      <c r="AA691" s="51"/>
      <c r="AB691" s="51"/>
    </row>
    <row r="692" customFormat="false" ht="15.75" hidden="false" customHeight="false" outlineLevel="0" collapsed="false">
      <c r="A692" s="51"/>
      <c r="B692" s="51"/>
      <c r="C692" s="6"/>
      <c r="D692" s="49"/>
      <c r="E692" s="51"/>
      <c r="F692" s="6"/>
      <c r="G692" s="6"/>
      <c r="H692" s="6"/>
      <c r="I692" s="6"/>
      <c r="J692" s="6"/>
      <c r="K692" s="51"/>
      <c r="L692" s="51"/>
      <c r="M692" s="51"/>
      <c r="N692" s="51"/>
      <c r="O692" s="51"/>
      <c r="P692" s="51"/>
      <c r="Q692" s="51"/>
      <c r="R692" s="51"/>
      <c r="S692" s="51"/>
      <c r="T692" s="51"/>
      <c r="U692" s="51"/>
      <c r="V692" s="51"/>
      <c r="W692" s="51"/>
      <c r="X692" s="51"/>
      <c r="Y692" s="51"/>
      <c r="Z692" s="51"/>
      <c r="AA692" s="51"/>
      <c r="AB692" s="51"/>
    </row>
    <row r="693" customFormat="false" ht="15.75" hidden="false" customHeight="false" outlineLevel="0" collapsed="false">
      <c r="A693" s="51"/>
      <c r="B693" s="51"/>
      <c r="C693" s="6"/>
      <c r="D693" s="49"/>
      <c r="E693" s="51"/>
      <c r="F693" s="6"/>
      <c r="G693" s="6"/>
      <c r="H693" s="6"/>
      <c r="I693" s="6"/>
      <c r="J693" s="6"/>
      <c r="K693" s="51"/>
      <c r="L693" s="51"/>
      <c r="M693" s="51"/>
      <c r="N693" s="51"/>
      <c r="O693" s="51"/>
      <c r="P693" s="51"/>
      <c r="Q693" s="51"/>
      <c r="R693" s="51"/>
      <c r="S693" s="51"/>
      <c r="T693" s="51"/>
      <c r="U693" s="51"/>
      <c r="V693" s="51"/>
      <c r="W693" s="51"/>
      <c r="X693" s="51"/>
      <c r="Y693" s="51"/>
      <c r="Z693" s="51"/>
      <c r="AA693" s="51"/>
      <c r="AB693" s="51"/>
    </row>
    <row r="694" customFormat="false" ht="15.75" hidden="false" customHeight="false" outlineLevel="0" collapsed="false">
      <c r="A694" s="51"/>
      <c r="B694" s="51"/>
      <c r="C694" s="6"/>
      <c r="D694" s="49"/>
      <c r="E694" s="51"/>
      <c r="F694" s="6"/>
      <c r="G694" s="6"/>
      <c r="H694" s="6"/>
      <c r="I694" s="6"/>
      <c r="J694" s="6"/>
      <c r="K694" s="51"/>
      <c r="L694" s="51"/>
      <c r="M694" s="51"/>
      <c r="N694" s="51"/>
      <c r="O694" s="51"/>
      <c r="P694" s="51"/>
      <c r="Q694" s="51"/>
      <c r="R694" s="51"/>
      <c r="S694" s="51"/>
      <c r="T694" s="51"/>
      <c r="U694" s="51"/>
      <c r="V694" s="51"/>
      <c r="W694" s="51"/>
      <c r="X694" s="51"/>
      <c r="Y694" s="51"/>
      <c r="Z694" s="51"/>
      <c r="AA694" s="51"/>
      <c r="AB694" s="51"/>
    </row>
    <row r="695" customFormat="false" ht="15.75" hidden="false" customHeight="false" outlineLevel="0" collapsed="false">
      <c r="A695" s="51"/>
      <c r="B695" s="51"/>
      <c r="C695" s="6"/>
      <c r="D695" s="49"/>
      <c r="E695" s="51"/>
      <c r="F695" s="6"/>
      <c r="G695" s="6"/>
      <c r="H695" s="6"/>
      <c r="I695" s="6"/>
      <c r="J695" s="6"/>
      <c r="K695" s="51"/>
      <c r="L695" s="51"/>
      <c r="M695" s="51"/>
      <c r="N695" s="51"/>
      <c r="O695" s="51"/>
      <c r="P695" s="51"/>
      <c r="Q695" s="51"/>
      <c r="R695" s="51"/>
      <c r="S695" s="51"/>
      <c r="T695" s="51"/>
      <c r="U695" s="51"/>
      <c r="V695" s="51"/>
      <c r="W695" s="51"/>
      <c r="X695" s="51"/>
      <c r="Y695" s="51"/>
      <c r="Z695" s="51"/>
      <c r="AA695" s="51"/>
      <c r="AB695" s="51"/>
    </row>
    <row r="696" customFormat="false" ht="15.75" hidden="false" customHeight="false" outlineLevel="0" collapsed="false">
      <c r="A696" s="51"/>
      <c r="B696" s="51"/>
      <c r="C696" s="6"/>
      <c r="D696" s="49"/>
      <c r="E696" s="51"/>
      <c r="F696" s="6"/>
      <c r="G696" s="6"/>
      <c r="H696" s="6"/>
      <c r="I696" s="6"/>
      <c r="J696" s="6"/>
      <c r="K696" s="51"/>
      <c r="L696" s="51"/>
      <c r="M696" s="51"/>
      <c r="N696" s="51"/>
      <c r="O696" s="51"/>
      <c r="P696" s="51"/>
      <c r="Q696" s="51"/>
      <c r="R696" s="51"/>
      <c r="S696" s="51"/>
      <c r="T696" s="51"/>
      <c r="U696" s="51"/>
      <c r="V696" s="51"/>
      <c r="W696" s="51"/>
      <c r="X696" s="51"/>
      <c r="Y696" s="51"/>
      <c r="Z696" s="51"/>
      <c r="AA696" s="51"/>
      <c r="AB696" s="51"/>
    </row>
    <row r="697" customFormat="false" ht="15.75" hidden="false" customHeight="false" outlineLevel="0" collapsed="false">
      <c r="A697" s="51"/>
      <c r="B697" s="51"/>
      <c r="C697" s="6"/>
      <c r="D697" s="49"/>
      <c r="E697" s="51"/>
      <c r="F697" s="6"/>
      <c r="G697" s="6"/>
      <c r="H697" s="6"/>
      <c r="I697" s="6"/>
      <c r="J697" s="6"/>
      <c r="K697" s="51"/>
      <c r="L697" s="51"/>
      <c r="M697" s="51"/>
      <c r="N697" s="51"/>
      <c r="O697" s="51"/>
      <c r="P697" s="51"/>
      <c r="Q697" s="51"/>
      <c r="R697" s="51"/>
      <c r="S697" s="51"/>
      <c r="T697" s="51"/>
      <c r="U697" s="51"/>
      <c r="V697" s="51"/>
      <c r="W697" s="51"/>
      <c r="X697" s="51"/>
      <c r="Y697" s="51"/>
      <c r="Z697" s="51"/>
      <c r="AA697" s="51"/>
      <c r="AB697" s="51"/>
    </row>
    <row r="698" customFormat="false" ht="15.75" hidden="false" customHeight="false" outlineLevel="0" collapsed="false">
      <c r="A698" s="51"/>
      <c r="B698" s="51"/>
      <c r="C698" s="6"/>
      <c r="D698" s="49"/>
      <c r="E698" s="51"/>
      <c r="F698" s="6"/>
      <c r="G698" s="6"/>
      <c r="H698" s="6"/>
      <c r="I698" s="6"/>
      <c r="J698" s="6"/>
      <c r="K698" s="51"/>
      <c r="L698" s="51"/>
      <c r="M698" s="51"/>
      <c r="N698" s="51"/>
      <c r="O698" s="51"/>
      <c r="P698" s="51"/>
      <c r="Q698" s="51"/>
      <c r="R698" s="51"/>
      <c r="S698" s="51"/>
      <c r="T698" s="51"/>
      <c r="U698" s="51"/>
      <c r="V698" s="51"/>
      <c r="W698" s="51"/>
      <c r="X698" s="51"/>
      <c r="Y698" s="51"/>
      <c r="Z698" s="51"/>
      <c r="AA698" s="51"/>
      <c r="AB698" s="51"/>
    </row>
    <row r="699" customFormat="false" ht="15.75" hidden="false" customHeight="false" outlineLevel="0" collapsed="false">
      <c r="A699" s="51"/>
      <c r="B699" s="51"/>
      <c r="C699" s="6"/>
      <c r="D699" s="49"/>
      <c r="E699" s="51"/>
      <c r="F699" s="6"/>
      <c r="G699" s="6"/>
      <c r="H699" s="6"/>
      <c r="I699" s="6"/>
      <c r="J699" s="6"/>
      <c r="K699" s="51"/>
      <c r="L699" s="51"/>
      <c r="M699" s="51"/>
      <c r="N699" s="51"/>
      <c r="O699" s="51"/>
      <c r="P699" s="51"/>
      <c r="Q699" s="51"/>
      <c r="R699" s="51"/>
      <c r="S699" s="51"/>
      <c r="T699" s="51"/>
      <c r="U699" s="51"/>
      <c r="V699" s="51"/>
      <c r="W699" s="51"/>
      <c r="X699" s="51"/>
      <c r="Y699" s="51"/>
      <c r="Z699" s="51"/>
      <c r="AA699" s="51"/>
      <c r="AB699" s="51"/>
    </row>
    <row r="700" customFormat="false" ht="15.75" hidden="false" customHeight="false" outlineLevel="0" collapsed="false">
      <c r="A700" s="51"/>
      <c r="B700" s="51"/>
      <c r="C700" s="6"/>
      <c r="D700" s="49"/>
      <c r="E700" s="51"/>
      <c r="F700" s="6"/>
      <c r="G700" s="6"/>
      <c r="H700" s="6"/>
      <c r="I700" s="6"/>
      <c r="J700" s="6"/>
      <c r="K700" s="51"/>
      <c r="L700" s="51"/>
      <c r="M700" s="51"/>
      <c r="N700" s="51"/>
      <c r="O700" s="51"/>
      <c r="P700" s="51"/>
      <c r="Q700" s="51"/>
      <c r="R700" s="51"/>
      <c r="S700" s="51"/>
      <c r="T700" s="51"/>
      <c r="U700" s="51"/>
      <c r="V700" s="51"/>
      <c r="W700" s="51"/>
      <c r="X700" s="51"/>
      <c r="Y700" s="51"/>
      <c r="Z700" s="51"/>
      <c r="AA700" s="51"/>
      <c r="AB700" s="51"/>
    </row>
    <row r="701" customFormat="false" ht="15.75" hidden="false" customHeight="false" outlineLevel="0" collapsed="false">
      <c r="A701" s="51"/>
      <c r="B701" s="51"/>
      <c r="C701" s="6"/>
      <c r="D701" s="49"/>
      <c r="E701" s="51"/>
      <c r="F701" s="6"/>
      <c r="G701" s="6"/>
      <c r="H701" s="6"/>
      <c r="I701" s="6"/>
      <c r="J701" s="6"/>
      <c r="K701" s="51"/>
      <c r="L701" s="51"/>
      <c r="M701" s="51"/>
      <c r="N701" s="51"/>
      <c r="O701" s="51"/>
      <c r="P701" s="51"/>
      <c r="Q701" s="51"/>
      <c r="R701" s="51"/>
      <c r="S701" s="51"/>
      <c r="T701" s="51"/>
      <c r="U701" s="51"/>
      <c r="V701" s="51"/>
      <c r="W701" s="51"/>
      <c r="X701" s="51"/>
      <c r="Y701" s="51"/>
      <c r="Z701" s="51"/>
      <c r="AA701" s="51"/>
      <c r="AB701" s="51"/>
    </row>
    <row r="702" customFormat="false" ht="15.75" hidden="false" customHeight="false" outlineLevel="0" collapsed="false">
      <c r="A702" s="51"/>
      <c r="B702" s="51"/>
      <c r="C702" s="6"/>
      <c r="D702" s="49"/>
      <c r="E702" s="51"/>
      <c r="F702" s="6"/>
      <c r="G702" s="6"/>
      <c r="H702" s="6"/>
      <c r="I702" s="6"/>
      <c r="J702" s="6"/>
      <c r="K702" s="51"/>
      <c r="L702" s="51"/>
      <c r="M702" s="51"/>
      <c r="N702" s="51"/>
      <c r="O702" s="51"/>
      <c r="P702" s="51"/>
      <c r="Q702" s="51"/>
      <c r="R702" s="51"/>
      <c r="S702" s="51"/>
      <c r="T702" s="51"/>
      <c r="U702" s="51"/>
      <c r="V702" s="51"/>
      <c r="W702" s="51"/>
      <c r="X702" s="51"/>
      <c r="Y702" s="51"/>
      <c r="Z702" s="51"/>
      <c r="AA702" s="51"/>
      <c r="AB702" s="51"/>
    </row>
    <row r="703" customFormat="false" ht="15.75" hidden="false" customHeight="false" outlineLevel="0" collapsed="false">
      <c r="A703" s="51"/>
      <c r="B703" s="51"/>
      <c r="C703" s="6"/>
      <c r="D703" s="49"/>
      <c r="E703" s="51"/>
      <c r="F703" s="6"/>
      <c r="G703" s="6"/>
      <c r="H703" s="6"/>
      <c r="I703" s="6"/>
      <c r="J703" s="6"/>
      <c r="K703" s="51"/>
      <c r="L703" s="51"/>
      <c r="M703" s="51"/>
      <c r="N703" s="51"/>
      <c r="O703" s="51"/>
      <c r="P703" s="51"/>
      <c r="Q703" s="51"/>
      <c r="R703" s="51"/>
      <c r="S703" s="51"/>
      <c r="T703" s="51"/>
      <c r="U703" s="51"/>
      <c r="V703" s="51"/>
      <c r="W703" s="51"/>
      <c r="X703" s="51"/>
      <c r="Y703" s="51"/>
      <c r="Z703" s="51"/>
      <c r="AA703" s="51"/>
      <c r="AB703" s="51"/>
    </row>
    <row r="704" customFormat="false" ht="15.75" hidden="false" customHeight="false" outlineLevel="0" collapsed="false">
      <c r="A704" s="51"/>
      <c r="B704" s="51"/>
      <c r="C704" s="6"/>
      <c r="D704" s="49"/>
      <c r="E704" s="51"/>
      <c r="F704" s="6"/>
      <c r="G704" s="6"/>
      <c r="H704" s="6"/>
      <c r="I704" s="6"/>
      <c r="J704" s="6"/>
      <c r="K704" s="51"/>
      <c r="L704" s="51"/>
      <c r="M704" s="51"/>
      <c r="N704" s="51"/>
      <c r="O704" s="51"/>
      <c r="P704" s="51"/>
      <c r="Q704" s="51"/>
      <c r="R704" s="51"/>
      <c r="S704" s="51"/>
      <c r="T704" s="51"/>
      <c r="U704" s="51"/>
      <c r="V704" s="51"/>
      <c r="W704" s="51"/>
      <c r="X704" s="51"/>
      <c r="Y704" s="51"/>
      <c r="Z704" s="51"/>
      <c r="AA704" s="51"/>
      <c r="AB704" s="51"/>
    </row>
    <row r="705" customFormat="false" ht="15.75" hidden="false" customHeight="false" outlineLevel="0" collapsed="false">
      <c r="A705" s="51"/>
      <c r="B705" s="51"/>
      <c r="C705" s="6"/>
      <c r="D705" s="49"/>
      <c r="E705" s="51"/>
      <c r="F705" s="6"/>
      <c r="G705" s="6"/>
      <c r="H705" s="6"/>
      <c r="I705" s="6"/>
      <c r="J705" s="6"/>
      <c r="K705" s="51"/>
      <c r="L705" s="51"/>
      <c r="M705" s="51"/>
      <c r="N705" s="51"/>
      <c r="O705" s="51"/>
      <c r="P705" s="51"/>
      <c r="Q705" s="51"/>
      <c r="R705" s="51"/>
      <c r="S705" s="51"/>
      <c r="T705" s="51"/>
      <c r="U705" s="51"/>
      <c r="V705" s="51"/>
      <c r="W705" s="51"/>
      <c r="X705" s="51"/>
      <c r="Y705" s="51"/>
      <c r="Z705" s="51"/>
      <c r="AA705" s="51"/>
      <c r="AB705" s="51"/>
    </row>
    <row r="706" customFormat="false" ht="15.75" hidden="false" customHeight="false" outlineLevel="0" collapsed="false">
      <c r="A706" s="51"/>
      <c r="B706" s="51"/>
      <c r="C706" s="6"/>
      <c r="D706" s="49"/>
      <c r="E706" s="51"/>
      <c r="F706" s="6"/>
      <c r="G706" s="6"/>
      <c r="H706" s="6"/>
      <c r="I706" s="6"/>
      <c r="J706" s="6"/>
      <c r="K706" s="51"/>
      <c r="L706" s="51"/>
      <c r="M706" s="51"/>
      <c r="N706" s="51"/>
      <c r="O706" s="51"/>
      <c r="P706" s="51"/>
      <c r="Q706" s="51"/>
      <c r="R706" s="51"/>
      <c r="S706" s="51"/>
      <c r="T706" s="51"/>
      <c r="U706" s="51"/>
      <c r="V706" s="51"/>
      <c r="W706" s="51"/>
      <c r="X706" s="51"/>
      <c r="Y706" s="51"/>
      <c r="Z706" s="51"/>
      <c r="AA706" s="51"/>
      <c r="AB706" s="51"/>
    </row>
    <row r="707" customFormat="false" ht="15.75" hidden="false" customHeight="false" outlineLevel="0" collapsed="false">
      <c r="A707" s="51"/>
      <c r="B707" s="51"/>
      <c r="C707" s="6"/>
      <c r="D707" s="49"/>
      <c r="E707" s="51"/>
      <c r="F707" s="6"/>
      <c r="G707" s="6"/>
      <c r="H707" s="6"/>
      <c r="I707" s="6"/>
      <c r="J707" s="6"/>
      <c r="K707" s="51"/>
      <c r="L707" s="51"/>
      <c r="M707" s="51"/>
      <c r="N707" s="51"/>
      <c r="O707" s="51"/>
      <c r="P707" s="51"/>
      <c r="Q707" s="51"/>
      <c r="R707" s="51"/>
      <c r="S707" s="51"/>
      <c r="T707" s="51"/>
      <c r="U707" s="51"/>
      <c r="V707" s="51"/>
      <c r="W707" s="51"/>
      <c r="X707" s="51"/>
      <c r="Y707" s="51"/>
      <c r="Z707" s="51"/>
      <c r="AA707" s="51"/>
      <c r="AB707" s="51"/>
    </row>
    <row r="708" customFormat="false" ht="15.75" hidden="false" customHeight="false" outlineLevel="0" collapsed="false">
      <c r="A708" s="51"/>
      <c r="B708" s="51"/>
      <c r="C708" s="6"/>
      <c r="D708" s="49"/>
      <c r="E708" s="51"/>
      <c r="F708" s="6"/>
      <c r="G708" s="6"/>
      <c r="H708" s="6"/>
      <c r="I708" s="6"/>
      <c r="J708" s="6"/>
      <c r="K708" s="51"/>
      <c r="L708" s="51"/>
      <c r="M708" s="51"/>
      <c r="N708" s="51"/>
      <c r="O708" s="51"/>
      <c r="P708" s="51"/>
      <c r="Q708" s="51"/>
      <c r="R708" s="51"/>
      <c r="S708" s="51"/>
      <c r="T708" s="51"/>
      <c r="U708" s="51"/>
      <c r="V708" s="51"/>
      <c r="W708" s="51"/>
      <c r="X708" s="51"/>
      <c r="Y708" s="51"/>
      <c r="Z708" s="51"/>
      <c r="AA708" s="51"/>
      <c r="AB708" s="51"/>
    </row>
    <row r="709" customFormat="false" ht="15.75" hidden="false" customHeight="false" outlineLevel="0" collapsed="false">
      <c r="A709" s="51"/>
      <c r="B709" s="51"/>
      <c r="C709" s="6"/>
      <c r="D709" s="49"/>
      <c r="E709" s="51"/>
      <c r="F709" s="6"/>
      <c r="G709" s="6"/>
      <c r="H709" s="6"/>
      <c r="I709" s="6"/>
      <c r="J709" s="6"/>
      <c r="K709" s="51"/>
      <c r="L709" s="51"/>
      <c r="M709" s="51"/>
      <c r="N709" s="51"/>
      <c r="O709" s="51"/>
      <c r="P709" s="51"/>
      <c r="Q709" s="51"/>
      <c r="R709" s="51"/>
      <c r="S709" s="51"/>
      <c r="T709" s="51"/>
      <c r="U709" s="51"/>
      <c r="V709" s="51"/>
      <c r="W709" s="51"/>
      <c r="X709" s="51"/>
      <c r="Y709" s="51"/>
      <c r="Z709" s="51"/>
      <c r="AA709" s="51"/>
      <c r="AB709" s="51"/>
    </row>
    <row r="710" customFormat="false" ht="15.75" hidden="false" customHeight="false" outlineLevel="0" collapsed="false">
      <c r="A710" s="51"/>
      <c r="B710" s="51"/>
      <c r="C710" s="6"/>
      <c r="D710" s="49"/>
      <c r="E710" s="51"/>
      <c r="F710" s="6"/>
      <c r="G710" s="6"/>
      <c r="H710" s="6"/>
      <c r="I710" s="6"/>
      <c r="J710" s="6"/>
      <c r="K710" s="51"/>
      <c r="L710" s="51"/>
      <c r="M710" s="51"/>
      <c r="N710" s="51"/>
      <c r="O710" s="51"/>
      <c r="P710" s="51"/>
      <c r="Q710" s="51"/>
      <c r="R710" s="51"/>
      <c r="S710" s="51"/>
      <c r="T710" s="51"/>
      <c r="U710" s="51"/>
      <c r="V710" s="51"/>
      <c r="W710" s="51"/>
      <c r="X710" s="51"/>
      <c r="Y710" s="51"/>
      <c r="Z710" s="51"/>
      <c r="AA710" s="51"/>
      <c r="AB710" s="51"/>
    </row>
    <row r="711" customFormat="false" ht="15.75" hidden="false" customHeight="false" outlineLevel="0" collapsed="false">
      <c r="A711" s="51"/>
      <c r="B711" s="51"/>
      <c r="C711" s="6"/>
      <c r="D711" s="49"/>
      <c r="E711" s="51"/>
      <c r="F711" s="6"/>
      <c r="G711" s="6"/>
      <c r="H711" s="6"/>
      <c r="I711" s="6"/>
      <c r="J711" s="6"/>
      <c r="K711" s="51"/>
      <c r="L711" s="51"/>
      <c r="M711" s="51"/>
      <c r="N711" s="51"/>
      <c r="O711" s="51"/>
      <c r="P711" s="51"/>
      <c r="Q711" s="51"/>
      <c r="R711" s="51"/>
      <c r="S711" s="51"/>
      <c r="T711" s="51"/>
      <c r="U711" s="51"/>
      <c r="V711" s="51"/>
      <c r="W711" s="51"/>
      <c r="X711" s="51"/>
      <c r="Y711" s="51"/>
      <c r="Z711" s="51"/>
      <c r="AA711" s="51"/>
      <c r="AB711" s="51"/>
    </row>
    <row r="712" customFormat="false" ht="15.75" hidden="false" customHeight="false" outlineLevel="0" collapsed="false">
      <c r="A712" s="51"/>
      <c r="B712" s="51"/>
      <c r="C712" s="6"/>
      <c r="D712" s="49"/>
      <c r="E712" s="51"/>
      <c r="F712" s="6"/>
      <c r="G712" s="6"/>
      <c r="H712" s="6"/>
      <c r="I712" s="6"/>
      <c r="J712" s="6"/>
      <c r="K712" s="51"/>
      <c r="L712" s="51"/>
      <c r="M712" s="51"/>
      <c r="N712" s="51"/>
      <c r="O712" s="51"/>
      <c r="P712" s="51"/>
      <c r="Q712" s="51"/>
      <c r="R712" s="51"/>
      <c r="S712" s="51"/>
      <c r="T712" s="51"/>
      <c r="U712" s="51"/>
      <c r="V712" s="51"/>
      <c r="W712" s="51"/>
      <c r="X712" s="51"/>
      <c r="Y712" s="51"/>
      <c r="Z712" s="51"/>
      <c r="AA712" s="51"/>
      <c r="AB712" s="51"/>
    </row>
    <row r="713" customFormat="false" ht="15.75" hidden="false" customHeight="false" outlineLevel="0" collapsed="false">
      <c r="A713" s="51"/>
      <c r="B713" s="51"/>
      <c r="C713" s="6"/>
      <c r="D713" s="49"/>
      <c r="E713" s="51"/>
      <c r="F713" s="6"/>
      <c r="G713" s="6"/>
      <c r="H713" s="6"/>
      <c r="I713" s="6"/>
      <c r="J713" s="6"/>
      <c r="K713" s="51"/>
      <c r="L713" s="51"/>
      <c r="M713" s="51"/>
      <c r="N713" s="51"/>
      <c r="O713" s="51"/>
      <c r="P713" s="51"/>
      <c r="Q713" s="51"/>
      <c r="R713" s="51"/>
      <c r="S713" s="51"/>
      <c r="T713" s="51"/>
      <c r="U713" s="51"/>
      <c r="V713" s="51"/>
      <c r="W713" s="51"/>
      <c r="X713" s="51"/>
      <c r="Y713" s="51"/>
      <c r="Z713" s="51"/>
      <c r="AA713" s="51"/>
      <c r="AB713" s="51"/>
    </row>
    <row r="714" customFormat="false" ht="15.75" hidden="false" customHeight="false" outlineLevel="0" collapsed="false">
      <c r="A714" s="51"/>
      <c r="B714" s="51"/>
      <c r="C714" s="6"/>
      <c r="D714" s="49"/>
      <c r="E714" s="51"/>
      <c r="F714" s="6"/>
      <c r="G714" s="6"/>
      <c r="H714" s="6"/>
      <c r="I714" s="6"/>
      <c r="J714" s="6"/>
      <c r="K714" s="51"/>
      <c r="L714" s="51"/>
      <c r="M714" s="51"/>
      <c r="N714" s="51"/>
      <c r="O714" s="51"/>
      <c r="P714" s="51"/>
      <c r="Q714" s="51"/>
      <c r="R714" s="51"/>
      <c r="S714" s="51"/>
      <c r="T714" s="51"/>
      <c r="U714" s="51"/>
      <c r="V714" s="51"/>
      <c r="W714" s="51"/>
      <c r="X714" s="51"/>
      <c r="Y714" s="51"/>
      <c r="Z714" s="51"/>
      <c r="AA714" s="51"/>
      <c r="AB714" s="51"/>
    </row>
    <row r="715" customFormat="false" ht="15.75" hidden="false" customHeight="false" outlineLevel="0" collapsed="false">
      <c r="A715" s="51"/>
      <c r="B715" s="51"/>
      <c r="C715" s="6"/>
      <c r="D715" s="49"/>
      <c r="E715" s="51"/>
      <c r="F715" s="6"/>
      <c r="G715" s="6"/>
      <c r="H715" s="6"/>
      <c r="I715" s="6"/>
      <c r="J715" s="6"/>
      <c r="K715" s="51"/>
      <c r="L715" s="51"/>
      <c r="M715" s="51"/>
      <c r="N715" s="51"/>
      <c r="O715" s="51"/>
      <c r="P715" s="51"/>
      <c r="Q715" s="51"/>
      <c r="R715" s="51"/>
      <c r="S715" s="51"/>
      <c r="T715" s="51"/>
      <c r="U715" s="51"/>
      <c r="V715" s="51"/>
      <c r="W715" s="51"/>
      <c r="X715" s="51"/>
      <c r="Y715" s="51"/>
      <c r="Z715" s="51"/>
      <c r="AA715" s="51"/>
      <c r="AB715" s="51"/>
    </row>
    <row r="716" customFormat="false" ht="15.75" hidden="false" customHeight="false" outlineLevel="0" collapsed="false">
      <c r="A716" s="51"/>
      <c r="B716" s="51"/>
      <c r="C716" s="6"/>
      <c r="D716" s="49"/>
      <c r="E716" s="51"/>
      <c r="F716" s="6"/>
      <c r="G716" s="6"/>
      <c r="H716" s="6"/>
      <c r="I716" s="6"/>
      <c r="J716" s="6"/>
      <c r="K716" s="51"/>
      <c r="L716" s="51"/>
      <c r="M716" s="51"/>
      <c r="N716" s="51"/>
      <c r="O716" s="51"/>
      <c r="P716" s="51"/>
      <c r="Q716" s="51"/>
      <c r="R716" s="51"/>
      <c r="S716" s="51"/>
      <c r="T716" s="51"/>
      <c r="U716" s="51"/>
      <c r="V716" s="51"/>
      <c r="W716" s="51"/>
      <c r="X716" s="51"/>
      <c r="Y716" s="51"/>
      <c r="Z716" s="51"/>
      <c r="AA716" s="51"/>
      <c r="AB716" s="51"/>
    </row>
    <row r="717" customFormat="false" ht="15.75" hidden="false" customHeight="false" outlineLevel="0" collapsed="false">
      <c r="A717" s="51"/>
      <c r="B717" s="51"/>
      <c r="C717" s="6"/>
      <c r="D717" s="49"/>
      <c r="E717" s="51"/>
      <c r="F717" s="6"/>
      <c r="G717" s="6"/>
      <c r="H717" s="6"/>
      <c r="I717" s="6"/>
      <c r="J717" s="6"/>
      <c r="K717" s="51"/>
      <c r="L717" s="51"/>
      <c r="M717" s="51"/>
      <c r="N717" s="51"/>
      <c r="O717" s="51"/>
      <c r="P717" s="51"/>
      <c r="Q717" s="51"/>
      <c r="R717" s="51"/>
      <c r="S717" s="51"/>
      <c r="T717" s="51"/>
      <c r="U717" s="51"/>
      <c r="V717" s="51"/>
      <c r="W717" s="51"/>
      <c r="X717" s="51"/>
      <c r="Y717" s="51"/>
      <c r="Z717" s="51"/>
      <c r="AA717" s="51"/>
      <c r="AB717" s="51"/>
    </row>
    <row r="718" customFormat="false" ht="15.75" hidden="false" customHeight="false" outlineLevel="0" collapsed="false">
      <c r="A718" s="51"/>
      <c r="B718" s="51"/>
      <c r="C718" s="6"/>
      <c r="D718" s="49"/>
      <c r="E718" s="51"/>
      <c r="F718" s="6"/>
      <c r="G718" s="6"/>
      <c r="H718" s="6"/>
      <c r="I718" s="6"/>
      <c r="J718" s="6"/>
      <c r="K718" s="51"/>
      <c r="L718" s="51"/>
      <c r="M718" s="51"/>
      <c r="N718" s="51"/>
      <c r="O718" s="51"/>
      <c r="P718" s="51"/>
      <c r="Q718" s="51"/>
      <c r="R718" s="51"/>
      <c r="S718" s="51"/>
      <c r="T718" s="51"/>
      <c r="U718" s="51"/>
      <c r="V718" s="51"/>
      <c r="W718" s="51"/>
      <c r="X718" s="51"/>
      <c r="Y718" s="51"/>
      <c r="Z718" s="51"/>
      <c r="AA718" s="51"/>
      <c r="AB718" s="51"/>
    </row>
    <row r="719" customFormat="false" ht="15.75" hidden="false" customHeight="false" outlineLevel="0" collapsed="false">
      <c r="A719" s="51"/>
      <c r="B719" s="51"/>
      <c r="C719" s="6"/>
      <c r="D719" s="49"/>
      <c r="E719" s="51"/>
      <c r="F719" s="6"/>
      <c r="G719" s="6"/>
      <c r="H719" s="6"/>
      <c r="I719" s="6"/>
      <c r="J719" s="6"/>
      <c r="K719" s="51"/>
      <c r="L719" s="51"/>
      <c r="M719" s="51"/>
      <c r="N719" s="51"/>
      <c r="O719" s="51"/>
      <c r="P719" s="51"/>
      <c r="Q719" s="51"/>
      <c r="R719" s="51"/>
      <c r="S719" s="51"/>
      <c r="T719" s="51"/>
      <c r="U719" s="51"/>
      <c r="V719" s="51"/>
      <c r="W719" s="51"/>
      <c r="X719" s="51"/>
      <c r="Y719" s="51"/>
      <c r="Z719" s="51"/>
      <c r="AA719" s="51"/>
      <c r="AB719" s="51"/>
    </row>
    <row r="720" customFormat="false" ht="15.75" hidden="false" customHeight="false" outlineLevel="0" collapsed="false">
      <c r="A720" s="51"/>
      <c r="B720" s="51"/>
      <c r="C720" s="6"/>
      <c r="D720" s="49"/>
      <c r="E720" s="51"/>
      <c r="F720" s="6"/>
      <c r="G720" s="6"/>
      <c r="H720" s="6"/>
      <c r="I720" s="6"/>
      <c r="J720" s="6"/>
      <c r="K720" s="51"/>
      <c r="L720" s="51"/>
      <c r="M720" s="51"/>
      <c r="N720" s="51"/>
      <c r="O720" s="51"/>
      <c r="P720" s="51"/>
      <c r="Q720" s="51"/>
      <c r="R720" s="51"/>
      <c r="S720" s="51"/>
      <c r="T720" s="51"/>
      <c r="U720" s="51"/>
      <c r="V720" s="51"/>
      <c r="W720" s="51"/>
      <c r="X720" s="51"/>
      <c r="Y720" s="51"/>
      <c r="Z720" s="51"/>
      <c r="AA720" s="51"/>
      <c r="AB720" s="51"/>
    </row>
    <row r="721" customFormat="false" ht="15.75" hidden="false" customHeight="false" outlineLevel="0" collapsed="false">
      <c r="A721" s="51"/>
      <c r="B721" s="51"/>
      <c r="C721" s="6"/>
      <c r="D721" s="49"/>
      <c r="E721" s="51"/>
      <c r="F721" s="6"/>
      <c r="G721" s="6"/>
      <c r="H721" s="6"/>
      <c r="I721" s="6"/>
      <c r="J721" s="6"/>
      <c r="K721" s="51"/>
      <c r="L721" s="51"/>
      <c r="M721" s="51"/>
      <c r="N721" s="51"/>
      <c r="O721" s="51"/>
      <c r="P721" s="51"/>
      <c r="Q721" s="51"/>
      <c r="R721" s="51"/>
      <c r="S721" s="51"/>
      <c r="T721" s="51"/>
      <c r="U721" s="51"/>
      <c r="V721" s="51"/>
      <c r="W721" s="51"/>
      <c r="X721" s="51"/>
      <c r="Y721" s="51"/>
      <c r="Z721" s="51"/>
      <c r="AA721" s="51"/>
      <c r="AB721" s="51"/>
    </row>
    <row r="722" customFormat="false" ht="15.75" hidden="false" customHeight="false" outlineLevel="0" collapsed="false">
      <c r="A722" s="51"/>
      <c r="B722" s="51"/>
      <c r="C722" s="6"/>
      <c r="D722" s="49"/>
      <c r="E722" s="51"/>
      <c r="F722" s="6"/>
      <c r="G722" s="6"/>
      <c r="H722" s="6"/>
      <c r="I722" s="6"/>
      <c r="J722" s="6"/>
      <c r="K722" s="51"/>
      <c r="L722" s="51"/>
      <c r="M722" s="51"/>
      <c r="N722" s="51"/>
      <c r="O722" s="51"/>
      <c r="P722" s="51"/>
      <c r="Q722" s="51"/>
      <c r="R722" s="51"/>
      <c r="S722" s="51"/>
      <c r="T722" s="51"/>
      <c r="U722" s="51"/>
      <c r="V722" s="51"/>
      <c r="W722" s="51"/>
      <c r="X722" s="51"/>
      <c r="Y722" s="51"/>
      <c r="Z722" s="51"/>
      <c r="AA722" s="51"/>
      <c r="AB722" s="51"/>
    </row>
    <row r="723" customFormat="false" ht="15.75" hidden="false" customHeight="false" outlineLevel="0" collapsed="false">
      <c r="A723" s="51"/>
      <c r="B723" s="51"/>
      <c r="C723" s="6"/>
      <c r="D723" s="49"/>
      <c r="E723" s="51"/>
      <c r="F723" s="6"/>
      <c r="G723" s="6"/>
      <c r="H723" s="6"/>
      <c r="I723" s="6"/>
      <c r="J723" s="6"/>
      <c r="K723" s="51"/>
      <c r="L723" s="51"/>
      <c r="M723" s="51"/>
      <c r="N723" s="51"/>
      <c r="O723" s="51"/>
      <c r="P723" s="51"/>
      <c r="Q723" s="51"/>
      <c r="R723" s="51"/>
      <c r="S723" s="51"/>
      <c r="T723" s="51"/>
      <c r="U723" s="51"/>
      <c r="V723" s="51"/>
      <c r="W723" s="51"/>
      <c r="X723" s="51"/>
      <c r="Y723" s="51"/>
      <c r="Z723" s="51"/>
      <c r="AA723" s="51"/>
      <c r="AB723" s="51"/>
    </row>
    <row r="724" customFormat="false" ht="15.75" hidden="false" customHeight="false" outlineLevel="0" collapsed="false">
      <c r="A724" s="51"/>
      <c r="B724" s="51"/>
      <c r="C724" s="6"/>
      <c r="D724" s="49"/>
      <c r="E724" s="51"/>
      <c r="F724" s="6"/>
      <c r="G724" s="6"/>
      <c r="H724" s="6"/>
      <c r="I724" s="6"/>
      <c r="J724" s="6"/>
      <c r="K724" s="51"/>
      <c r="L724" s="51"/>
      <c r="M724" s="51"/>
      <c r="N724" s="51"/>
      <c r="O724" s="51"/>
      <c r="P724" s="51"/>
      <c r="Q724" s="51"/>
      <c r="R724" s="51"/>
      <c r="S724" s="51"/>
      <c r="T724" s="51"/>
      <c r="U724" s="51"/>
      <c r="V724" s="51"/>
      <c r="W724" s="51"/>
      <c r="X724" s="51"/>
      <c r="Y724" s="51"/>
      <c r="Z724" s="51"/>
      <c r="AA724" s="51"/>
      <c r="AB724" s="51"/>
    </row>
    <row r="725" customFormat="false" ht="15.75" hidden="false" customHeight="false" outlineLevel="0" collapsed="false">
      <c r="A725" s="51"/>
      <c r="B725" s="51"/>
      <c r="C725" s="6"/>
      <c r="D725" s="49"/>
      <c r="E725" s="51"/>
      <c r="F725" s="6"/>
      <c r="G725" s="6"/>
      <c r="H725" s="6"/>
      <c r="I725" s="6"/>
      <c r="J725" s="6"/>
      <c r="K725" s="51"/>
      <c r="L725" s="51"/>
      <c r="M725" s="51"/>
      <c r="N725" s="51"/>
      <c r="O725" s="51"/>
      <c r="P725" s="51"/>
      <c r="Q725" s="51"/>
      <c r="R725" s="51"/>
      <c r="S725" s="51"/>
      <c r="T725" s="51"/>
      <c r="U725" s="51"/>
      <c r="V725" s="51"/>
      <c r="W725" s="51"/>
      <c r="X725" s="51"/>
      <c r="Y725" s="51"/>
      <c r="Z725" s="51"/>
      <c r="AA725" s="51"/>
      <c r="AB725" s="51"/>
    </row>
    <row r="726" customFormat="false" ht="15.75" hidden="false" customHeight="false" outlineLevel="0" collapsed="false">
      <c r="A726" s="51"/>
      <c r="B726" s="51"/>
      <c r="C726" s="6"/>
      <c r="D726" s="49"/>
      <c r="E726" s="51"/>
      <c r="F726" s="6"/>
      <c r="G726" s="6"/>
      <c r="H726" s="6"/>
      <c r="I726" s="6"/>
      <c r="J726" s="6"/>
      <c r="K726" s="51"/>
      <c r="L726" s="51"/>
      <c r="M726" s="51"/>
      <c r="N726" s="51"/>
      <c r="O726" s="51"/>
      <c r="P726" s="51"/>
      <c r="Q726" s="51"/>
      <c r="R726" s="51"/>
      <c r="S726" s="51"/>
      <c r="T726" s="51"/>
      <c r="U726" s="51"/>
      <c r="V726" s="51"/>
      <c r="W726" s="51"/>
      <c r="X726" s="51"/>
      <c r="Y726" s="51"/>
      <c r="Z726" s="51"/>
      <c r="AA726" s="51"/>
      <c r="AB726" s="51"/>
    </row>
    <row r="727" customFormat="false" ht="15.75" hidden="false" customHeight="false" outlineLevel="0" collapsed="false">
      <c r="A727" s="51"/>
      <c r="B727" s="51"/>
      <c r="C727" s="6"/>
      <c r="D727" s="49"/>
      <c r="E727" s="51"/>
      <c r="F727" s="6"/>
      <c r="G727" s="6"/>
      <c r="H727" s="6"/>
      <c r="I727" s="6"/>
      <c r="J727" s="6"/>
      <c r="K727" s="51"/>
      <c r="L727" s="51"/>
      <c r="M727" s="51"/>
      <c r="N727" s="51"/>
      <c r="O727" s="51"/>
      <c r="P727" s="51"/>
      <c r="Q727" s="51"/>
      <c r="R727" s="51"/>
      <c r="S727" s="51"/>
      <c r="T727" s="51"/>
      <c r="U727" s="51"/>
      <c r="V727" s="51"/>
      <c r="W727" s="51"/>
      <c r="X727" s="51"/>
      <c r="Y727" s="51"/>
      <c r="Z727" s="51"/>
      <c r="AA727" s="51"/>
      <c r="AB727" s="51"/>
    </row>
    <row r="728" customFormat="false" ht="15.75" hidden="false" customHeight="false" outlineLevel="0" collapsed="false">
      <c r="A728" s="51"/>
      <c r="B728" s="51"/>
      <c r="C728" s="6"/>
      <c r="D728" s="49"/>
      <c r="E728" s="51"/>
      <c r="F728" s="6"/>
      <c r="G728" s="6"/>
      <c r="H728" s="6"/>
      <c r="I728" s="6"/>
      <c r="J728" s="6"/>
      <c r="K728" s="51"/>
      <c r="L728" s="51"/>
      <c r="M728" s="51"/>
      <c r="N728" s="51"/>
      <c r="O728" s="51"/>
      <c r="P728" s="51"/>
      <c r="Q728" s="51"/>
      <c r="R728" s="51"/>
      <c r="S728" s="51"/>
      <c r="T728" s="51"/>
      <c r="U728" s="51"/>
      <c r="V728" s="51"/>
      <c r="W728" s="51"/>
      <c r="X728" s="51"/>
      <c r="Y728" s="51"/>
      <c r="Z728" s="51"/>
      <c r="AA728" s="51"/>
      <c r="AB728" s="51"/>
    </row>
    <row r="729" customFormat="false" ht="15.75" hidden="false" customHeight="false" outlineLevel="0" collapsed="false">
      <c r="A729" s="51"/>
      <c r="B729" s="51"/>
      <c r="C729" s="6"/>
      <c r="D729" s="49"/>
      <c r="E729" s="51"/>
      <c r="F729" s="6"/>
      <c r="G729" s="6"/>
      <c r="H729" s="6"/>
      <c r="I729" s="6"/>
      <c r="J729" s="6"/>
      <c r="K729" s="51"/>
      <c r="L729" s="51"/>
      <c r="M729" s="51"/>
      <c r="N729" s="51"/>
      <c r="O729" s="51"/>
      <c r="P729" s="51"/>
      <c r="Q729" s="51"/>
      <c r="R729" s="51"/>
      <c r="S729" s="51"/>
      <c r="T729" s="51"/>
      <c r="U729" s="51"/>
      <c r="V729" s="51"/>
      <c r="W729" s="51"/>
      <c r="X729" s="51"/>
      <c r="Y729" s="51"/>
      <c r="Z729" s="51"/>
      <c r="AA729" s="51"/>
      <c r="AB729" s="51"/>
    </row>
    <row r="730" customFormat="false" ht="15.75" hidden="false" customHeight="false" outlineLevel="0" collapsed="false">
      <c r="A730" s="51"/>
      <c r="B730" s="51"/>
      <c r="C730" s="6"/>
      <c r="D730" s="49"/>
      <c r="E730" s="51"/>
      <c r="F730" s="6"/>
      <c r="G730" s="6"/>
      <c r="H730" s="6"/>
      <c r="I730" s="6"/>
      <c r="J730" s="6"/>
      <c r="K730" s="51"/>
      <c r="L730" s="51"/>
      <c r="M730" s="51"/>
      <c r="N730" s="51"/>
      <c r="O730" s="51"/>
      <c r="P730" s="51"/>
      <c r="Q730" s="51"/>
      <c r="R730" s="51"/>
      <c r="S730" s="51"/>
      <c r="T730" s="51"/>
      <c r="U730" s="51"/>
      <c r="V730" s="51"/>
      <c r="W730" s="51"/>
      <c r="X730" s="51"/>
      <c r="Y730" s="51"/>
      <c r="Z730" s="51"/>
      <c r="AA730" s="51"/>
      <c r="AB730" s="51"/>
    </row>
    <row r="731" customFormat="false" ht="15.75" hidden="false" customHeight="false" outlineLevel="0" collapsed="false">
      <c r="A731" s="51"/>
      <c r="B731" s="51"/>
      <c r="C731" s="6"/>
      <c r="D731" s="49"/>
      <c r="E731" s="51"/>
      <c r="F731" s="6"/>
      <c r="G731" s="6"/>
      <c r="H731" s="6"/>
      <c r="I731" s="6"/>
      <c r="J731" s="6"/>
      <c r="K731" s="51"/>
      <c r="L731" s="51"/>
      <c r="M731" s="51"/>
      <c r="N731" s="51"/>
      <c r="O731" s="51"/>
      <c r="P731" s="51"/>
      <c r="Q731" s="51"/>
      <c r="R731" s="51"/>
      <c r="S731" s="51"/>
      <c r="T731" s="51"/>
      <c r="U731" s="51"/>
      <c r="V731" s="51"/>
      <c r="W731" s="51"/>
      <c r="X731" s="51"/>
      <c r="Y731" s="51"/>
      <c r="Z731" s="51"/>
      <c r="AA731" s="51"/>
      <c r="AB731" s="51"/>
    </row>
    <row r="732" customFormat="false" ht="15.75" hidden="false" customHeight="false" outlineLevel="0" collapsed="false">
      <c r="A732" s="51"/>
      <c r="B732" s="51"/>
      <c r="C732" s="6"/>
      <c r="D732" s="49"/>
      <c r="E732" s="51"/>
      <c r="F732" s="6"/>
      <c r="G732" s="6"/>
      <c r="H732" s="6"/>
      <c r="I732" s="6"/>
      <c r="J732" s="6"/>
      <c r="K732" s="51"/>
      <c r="L732" s="51"/>
      <c r="M732" s="51"/>
      <c r="N732" s="51"/>
      <c r="O732" s="51"/>
      <c r="P732" s="51"/>
      <c r="Q732" s="51"/>
      <c r="R732" s="51"/>
      <c r="S732" s="51"/>
      <c r="T732" s="51"/>
      <c r="U732" s="51"/>
      <c r="V732" s="51"/>
      <c r="W732" s="51"/>
      <c r="X732" s="51"/>
      <c r="Y732" s="51"/>
      <c r="Z732" s="51"/>
      <c r="AA732" s="51"/>
      <c r="AB732" s="51"/>
    </row>
    <row r="733" customFormat="false" ht="15.75" hidden="false" customHeight="false" outlineLevel="0" collapsed="false">
      <c r="A733" s="51"/>
      <c r="B733" s="51"/>
      <c r="C733" s="6"/>
      <c r="D733" s="49"/>
      <c r="E733" s="51"/>
      <c r="F733" s="6"/>
      <c r="G733" s="6"/>
      <c r="H733" s="6"/>
      <c r="I733" s="6"/>
      <c r="J733" s="6"/>
      <c r="K733" s="51"/>
      <c r="L733" s="51"/>
      <c r="M733" s="51"/>
      <c r="N733" s="51"/>
      <c r="O733" s="51"/>
      <c r="P733" s="51"/>
      <c r="Q733" s="51"/>
      <c r="R733" s="51"/>
      <c r="S733" s="51"/>
      <c r="T733" s="51"/>
      <c r="U733" s="51"/>
      <c r="V733" s="51"/>
      <c r="W733" s="51"/>
      <c r="X733" s="51"/>
      <c r="Y733" s="51"/>
      <c r="Z733" s="51"/>
      <c r="AA733" s="51"/>
      <c r="AB733" s="51"/>
    </row>
    <row r="734" customFormat="false" ht="15.75" hidden="false" customHeight="false" outlineLevel="0" collapsed="false">
      <c r="A734" s="51"/>
      <c r="B734" s="51"/>
      <c r="C734" s="6"/>
      <c r="D734" s="49"/>
      <c r="E734" s="51"/>
      <c r="F734" s="6"/>
      <c r="G734" s="6"/>
      <c r="H734" s="6"/>
      <c r="I734" s="6"/>
      <c r="J734" s="6"/>
      <c r="K734" s="51"/>
      <c r="L734" s="51"/>
      <c r="M734" s="51"/>
      <c r="N734" s="51"/>
      <c r="O734" s="51"/>
      <c r="P734" s="51"/>
      <c r="Q734" s="51"/>
      <c r="R734" s="51"/>
      <c r="S734" s="51"/>
      <c r="T734" s="51"/>
      <c r="U734" s="51"/>
      <c r="V734" s="51"/>
      <c r="W734" s="51"/>
      <c r="X734" s="51"/>
      <c r="Y734" s="51"/>
      <c r="Z734" s="51"/>
      <c r="AA734" s="51"/>
      <c r="AB734" s="51"/>
    </row>
    <row r="735" customFormat="false" ht="15.75" hidden="false" customHeight="false" outlineLevel="0" collapsed="false">
      <c r="A735" s="51"/>
      <c r="B735" s="51"/>
      <c r="C735" s="6"/>
      <c r="D735" s="49"/>
      <c r="E735" s="51"/>
      <c r="F735" s="6"/>
      <c r="G735" s="6"/>
      <c r="H735" s="6"/>
      <c r="I735" s="6"/>
      <c r="J735" s="6"/>
      <c r="K735" s="51"/>
      <c r="L735" s="51"/>
      <c r="M735" s="51"/>
      <c r="N735" s="51"/>
      <c r="O735" s="51"/>
      <c r="P735" s="51"/>
      <c r="Q735" s="51"/>
      <c r="R735" s="51"/>
      <c r="S735" s="51"/>
      <c r="T735" s="51"/>
      <c r="U735" s="51"/>
      <c r="V735" s="51"/>
      <c r="W735" s="51"/>
      <c r="X735" s="51"/>
      <c r="Y735" s="51"/>
      <c r="Z735" s="51"/>
      <c r="AA735" s="51"/>
      <c r="AB735" s="51"/>
    </row>
    <row r="736" customFormat="false" ht="15.75" hidden="false" customHeight="false" outlineLevel="0" collapsed="false">
      <c r="A736" s="51"/>
      <c r="B736" s="51"/>
      <c r="C736" s="6"/>
      <c r="D736" s="49"/>
      <c r="E736" s="51"/>
      <c r="F736" s="6"/>
      <c r="G736" s="6"/>
      <c r="H736" s="6"/>
      <c r="I736" s="6"/>
      <c r="J736" s="6"/>
      <c r="K736" s="51"/>
      <c r="L736" s="51"/>
      <c r="M736" s="51"/>
      <c r="N736" s="51"/>
      <c r="O736" s="51"/>
      <c r="P736" s="51"/>
      <c r="Q736" s="51"/>
      <c r="R736" s="51"/>
      <c r="S736" s="51"/>
      <c r="T736" s="51"/>
      <c r="U736" s="51"/>
      <c r="V736" s="51"/>
      <c r="W736" s="51"/>
      <c r="X736" s="51"/>
      <c r="Y736" s="51"/>
      <c r="Z736" s="51"/>
      <c r="AA736" s="51"/>
      <c r="AB736" s="51"/>
    </row>
    <row r="737" customFormat="false" ht="15.75" hidden="false" customHeight="false" outlineLevel="0" collapsed="false">
      <c r="A737" s="51"/>
      <c r="B737" s="51"/>
      <c r="C737" s="6"/>
      <c r="D737" s="49"/>
      <c r="E737" s="51"/>
      <c r="F737" s="6"/>
      <c r="G737" s="6"/>
      <c r="H737" s="6"/>
      <c r="I737" s="6"/>
      <c r="J737" s="6"/>
      <c r="K737" s="51"/>
      <c r="L737" s="51"/>
      <c r="M737" s="51"/>
      <c r="N737" s="51"/>
      <c r="O737" s="51"/>
      <c r="P737" s="51"/>
      <c r="Q737" s="51"/>
      <c r="R737" s="51"/>
      <c r="S737" s="51"/>
      <c r="T737" s="51"/>
      <c r="U737" s="51"/>
      <c r="V737" s="51"/>
      <c r="W737" s="51"/>
      <c r="X737" s="51"/>
      <c r="Y737" s="51"/>
      <c r="Z737" s="51"/>
      <c r="AA737" s="51"/>
      <c r="AB737" s="51"/>
    </row>
    <row r="738" customFormat="false" ht="15.75" hidden="false" customHeight="false" outlineLevel="0" collapsed="false">
      <c r="A738" s="51"/>
      <c r="B738" s="51"/>
      <c r="C738" s="6"/>
      <c r="D738" s="49"/>
      <c r="E738" s="51"/>
      <c r="F738" s="6"/>
      <c r="G738" s="6"/>
      <c r="H738" s="6"/>
      <c r="I738" s="6"/>
      <c r="J738" s="6"/>
      <c r="K738" s="51"/>
      <c r="L738" s="51"/>
      <c r="M738" s="51"/>
      <c r="N738" s="51"/>
      <c r="O738" s="51"/>
      <c r="P738" s="51"/>
      <c r="Q738" s="51"/>
      <c r="R738" s="51"/>
      <c r="S738" s="51"/>
      <c r="T738" s="51"/>
      <c r="U738" s="51"/>
      <c r="V738" s="51"/>
      <c r="W738" s="51"/>
      <c r="X738" s="51"/>
      <c r="Y738" s="51"/>
      <c r="Z738" s="51"/>
      <c r="AA738" s="51"/>
      <c r="AB738" s="51"/>
    </row>
    <row r="739" customFormat="false" ht="15.75" hidden="false" customHeight="false" outlineLevel="0" collapsed="false">
      <c r="A739" s="51"/>
      <c r="B739" s="51"/>
      <c r="C739" s="6"/>
      <c r="D739" s="49"/>
      <c r="E739" s="51"/>
      <c r="F739" s="6"/>
      <c r="G739" s="6"/>
      <c r="H739" s="6"/>
      <c r="I739" s="6"/>
      <c r="J739" s="6"/>
      <c r="K739" s="51"/>
      <c r="L739" s="51"/>
      <c r="M739" s="51"/>
      <c r="N739" s="51"/>
      <c r="O739" s="51"/>
      <c r="P739" s="51"/>
      <c r="Q739" s="51"/>
      <c r="R739" s="51"/>
      <c r="S739" s="51"/>
      <c r="T739" s="51"/>
      <c r="U739" s="51"/>
      <c r="V739" s="51"/>
      <c r="W739" s="51"/>
      <c r="X739" s="51"/>
      <c r="Y739" s="51"/>
      <c r="Z739" s="51"/>
      <c r="AA739" s="51"/>
      <c r="AB739" s="51"/>
    </row>
    <row r="740" customFormat="false" ht="15.75" hidden="false" customHeight="false" outlineLevel="0" collapsed="false">
      <c r="A740" s="51"/>
      <c r="B740" s="51"/>
      <c r="C740" s="6"/>
      <c r="D740" s="49"/>
      <c r="E740" s="51"/>
      <c r="F740" s="6"/>
      <c r="G740" s="6"/>
      <c r="H740" s="6"/>
      <c r="I740" s="6"/>
      <c r="J740" s="6"/>
      <c r="K740" s="51"/>
      <c r="L740" s="51"/>
      <c r="M740" s="51"/>
      <c r="N740" s="51"/>
      <c r="O740" s="51"/>
      <c r="P740" s="51"/>
      <c r="Q740" s="51"/>
      <c r="R740" s="51"/>
      <c r="S740" s="51"/>
      <c r="T740" s="51"/>
      <c r="U740" s="51"/>
      <c r="V740" s="51"/>
      <c r="W740" s="51"/>
      <c r="X740" s="51"/>
      <c r="Y740" s="51"/>
      <c r="Z740" s="51"/>
      <c r="AA740" s="51"/>
      <c r="AB740" s="51"/>
    </row>
    <row r="741" customFormat="false" ht="15.75" hidden="false" customHeight="false" outlineLevel="0" collapsed="false">
      <c r="A741" s="51"/>
      <c r="B741" s="51"/>
      <c r="C741" s="6"/>
      <c r="D741" s="49"/>
      <c r="E741" s="51"/>
      <c r="F741" s="6"/>
      <c r="G741" s="6"/>
      <c r="H741" s="6"/>
      <c r="I741" s="6"/>
      <c r="J741" s="6"/>
      <c r="K741" s="51"/>
      <c r="L741" s="51"/>
      <c r="M741" s="51"/>
      <c r="N741" s="51"/>
      <c r="O741" s="51"/>
      <c r="P741" s="51"/>
      <c r="Q741" s="51"/>
      <c r="R741" s="51"/>
      <c r="S741" s="51"/>
      <c r="T741" s="51"/>
      <c r="U741" s="51"/>
      <c r="V741" s="51"/>
      <c r="W741" s="51"/>
      <c r="X741" s="51"/>
      <c r="Y741" s="51"/>
      <c r="Z741" s="51"/>
      <c r="AA741" s="51"/>
      <c r="AB741" s="51"/>
    </row>
    <row r="742" customFormat="false" ht="15.75" hidden="false" customHeight="false" outlineLevel="0" collapsed="false">
      <c r="A742" s="51"/>
      <c r="B742" s="51"/>
      <c r="C742" s="6"/>
      <c r="D742" s="49"/>
      <c r="E742" s="51"/>
      <c r="F742" s="6"/>
      <c r="G742" s="6"/>
      <c r="H742" s="6"/>
      <c r="I742" s="6"/>
      <c r="J742" s="6"/>
      <c r="K742" s="51"/>
      <c r="L742" s="51"/>
      <c r="M742" s="51"/>
      <c r="N742" s="51"/>
      <c r="O742" s="51"/>
      <c r="P742" s="51"/>
      <c r="Q742" s="51"/>
      <c r="R742" s="51"/>
      <c r="S742" s="51"/>
      <c r="T742" s="51"/>
      <c r="U742" s="51"/>
      <c r="V742" s="51"/>
      <c r="W742" s="51"/>
      <c r="X742" s="51"/>
      <c r="Y742" s="51"/>
      <c r="Z742" s="51"/>
      <c r="AA742" s="51"/>
      <c r="AB742" s="51"/>
    </row>
    <row r="743" customFormat="false" ht="15.75" hidden="false" customHeight="false" outlineLevel="0" collapsed="false">
      <c r="A743" s="51"/>
      <c r="B743" s="51"/>
      <c r="C743" s="6"/>
      <c r="D743" s="49"/>
      <c r="E743" s="51"/>
      <c r="F743" s="6"/>
      <c r="G743" s="6"/>
      <c r="H743" s="6"/>
      <c r="I743" s="6"/>
      <c r="J743" s="6"/>
      <c r="K743" s="51"/>
      <c r="L743" s="51"/>
      <c r="M743" s="51"/>
      <c r="N743" s="51"/>
      <c r="O743" s="51"/>
      <c r="P743" s="51"/>
      <c r="Q743" s="51"/>
      <c r="R743" s="51"/>
      <c r="S743" s="51"/>
      <c r="T743" s="51"/>
      <c r="U743" s="51"/>
      <c r="V743" s="51"/>
      <c r="W743" s="51"/>
      <c r="X743" s="51"/>
      <c r="Y743" s="51"/>
      <c r="Z743" s="51"/>
      <c r="AA743" s="51"/>
      <c r="AB743" s="51"/>
    </row>
    <row r="744" customFormat="false" ht="15.75" hidden="false" customHeight="false" outlineLevel="0" collapsed="false">
      <c r="A744" s="51"/>
      <c r="B744" s="51"/>
      <c r="C744" s="6"/>
      <c r="D744" s="49"/>
      <c r="E744" s="51"/>
      <c r="F744" s="6"/>
      <c r="G744" s="6"/>
      <c r="H744" s="6"/>
      <c r="I744" s="6"/>
      <c r="J744" s="6"/>
      <c r="K744" s="51"/>
      <c r="L744" s="51"/>
      <c r="M744" s="51"/>
      <c r="N744" s="51"/>
      <c r="O744" s="51"/>
      <c r="P744" s="51"/>
      <c r="Q744" s="51"/>
      <c r="R744" s="51"/>
      <c r="S744" s="51"/>
      <c r="T744" s="51"/>
      <c r="U744" s="51"/>
      <c r="V744" s="51"/>
      <c r="W744" s="51"/>
      <c r="X744" s="51"/>
      <c r="Y744" s="51"/>
      <c r="Z744" s="51"/>
      <c r="AA744" s="51"/>
      <c r="AB744" s="51"/>
    </row>
    <row r="745" customFormat="false" ht="15.75" hidden="false" customHeight="false" outlineLevel="0" collapsed="false">
      <c r="A745" s="51"/>
      <c r="B745" s="51"/>
      <c r="C745" s="6"/>
      <c r="D745" s="49"/>
      <c r="E745" s="51"/>
      <c r="F745" s="6"/>
      <c r="G745" s="6"/>
      <c r="H745" s="6"/>
      <c r="I745" s="6"/>
      <c r="J745" s="6"/>
      <c r="K745" s="51"/>
      <c r="L745" s="51"/>
      <c r="M745" s="51"/>
      <c r="N745" s="51"/>
      <c r="O745" s="51"/>
      <c r="P745" s="51"/>
      <c r="Q745" s="51"/>
      <c r="R745" s="51"/>
      <c r="S745" s="51"/>
      <c r="T745" s="51"/>
      <c r="U745" s="51"/>
      <c r="V745" s="51"/>
      <c r="W745" s="51"/>
      <c r="X745" s="51"/>
      <c r="Y745" s="51"/>
      <c r="Z745" s="51"/>
      <c r="AA745" s="51"/>
      <c r="AB745" s="51"/>
    </row>
    <row r="746" customFormat="false" ht="15.75" hidden="false" customHeight="false" outlineLevel="0" collapsed="false">
      <c r="A746" s="51"/>
      <c r="B746" s="51"/>
      <c r="C746" s="6"/>
      <c r="D746" s="49"/>
      <c r="E746" s="51"/>
      <c r="F746" s="6"/>
      <c r="G746" s="6"/>
      <c r="H746" s="6"/>
      <c r="I746" s="6"/>
      <c r="J746" s="6"/>
      <c r="K746" s="51"/>
      <c r="L746" s="51"/>
      <c r="M746" s="51"/>
      <c r="N746" s="51"/>
      <c r="O746" s="51"/>
      <c r="P746" s="51"/>
      <c r="Q746" s="51"/>
      <c r="R746" s="51"/>
      <c r="S746" s="51"/>
      <c r="T746" s="51"/>
      <c r="U746" s="51"/>
      <c r="V746" s="51"/>
      <c r="W746" s="51"/>
      <c r="X746" s="51"/>
      <c r="Y746" s="51"/>
      <c r="Z746" s="51"/>
      <c r="AA746" s="51"/>
      <c r="AB746" s="51"/>
    </row>
    <row r="747" customFormat="false" ht="15.75" hidden="false" customHeight="false" outlineLevel="0" collapsed="false">
      <c r="A747" s="51"/>
      <c r="B747" s="51"/>
      <c r="C747" s="6"/>
      <c r="D747" s="49"/>
      <c r="E747" s="51"/>
      <c r="F747" s="6"/>
      <c r="G747" s="6"/>
      <c r="H747" s="6"/>
      <c r="I747" s="6"/>
      <c r="J747" s="6"/>
      <c r="K747" s="51"/>
      <c r="L747" s="51"/>
      <c r="M747" s="51"/>
      <c r="N747" s="51"/>
      <c r="O747" s="51"/>
      <c r="P747" s="51"/>
      <c r="Q747" s="51"/>
      <c r="R747" s="51"/>
      <c r="S747" s="51"/>
      <c r="T747" s="51"/>
      <c r="U747" s="51"/>
      <c r="V747" s="51"/>
      <c r="W747" s="51"/>
      <c r="X747" s="51"/>
      <c r="Y747" s="51"/>
      <c r="Z747" s="51"/>
      <c r="AA747" s="51"/>
      <c r="AB747" s="51"/>
    </row>
    <row r="748" customFormat="false" ht="15.75" hidden="false" customHeight="false" outlineLevel="0" collapsed="false">
      <c r="A748" s="51"/>
      <c r="B748" s="51"/>
      <c r="C748" s="6"/>
      <c r="D748" s="49"/>
      <c r="E748" s="51"/>
      <c r="F748" s="6"/>
      <c r="G748" s="6"/>
      <c r="H748" s="6"/>
      <c r="I748" s="6"/>
      <c r="J748" s="6"/>
      <c r="K748" s="51"/>
      <c r="L748" s="51"/>
      <c r="M748" s="51"/>
      <c r="N748" s="51"/>
      <c r="O748" s="51"/>
      <c r="P748" s="51"/>
      <c r="Q748" s="51"/>
      <c r="R748" s="51"/>
      <c r="S748" s="51"/>
      <c r="T748" s="51"/>
      <c r="U748" s="51"/>
      <c r="V748" s="51"/>
      <c r="W748" s="51"/>
      <c r="X748" s="51"/>
      <c r="Y748" s="51"/>
      <c r="Z748" s="51"/>
      <c r="AA748" s="51"/>
      <c r="AB748" s="51"/>
    </row>
    <row r="749" customFormat="false" ht="15.75" hidden="false" customHeight="false" outlineLevel="0" collapsed="false">
      <c r="A749" s="51"/>
      <c r="B749" s="51"/>
      <c r="C749" s="6"/>
      <c r="D749" s="49"/>
      <c r="E749" s="51"/>
      <c r="F749" s="6"/>
      <c r="G749" s="6"/>
      <c r="H749" s="6"/>
      <c r="I749" s="6"/>
      <c r="J749" s="6"/>
      <c r="K749" s="51"/>
      <c r="L749" s="51"/>
      <c r="M749" s="51"/>
      <c r="N749" s="51"/>
      <c r="O749" s="51"/>
      <c r="P749" s="51"/>
      <c r="Q749" s="51"/>
      <c r="R749" s="51"/>
      <c r="S749" s="51"/>
      <c r="T749" s="51"/>
      <c r="U749" s="51"/>
      <c r="V749" s="51"/>
      <c r="W749" s="51"/>
      <c r="X749" s="51"/>
      <c r="Y749" s="51"/>
      <c r="Z749" s="51"/>
      <c r="AA749" s="51"/>
      <c r="AB749" s="51"/>
    </row>
    <row r="750" customFormat="false" ht="15.75" hidden="false" customHeight="false" outlineLevel="0" collapsed="false">
      <c r="A750" s="51"/>
      <c r="B750" s="51"/>
      <c r="C750" s="6"/>
      <c r="D750" s="49"/>
      <c r="E750" s="51"/>
      <c r="F750" s="6"/>
      <c r="G750" s="6"/>
      <c r="H750" s="6"/>
      <c r="I750" s="6"/>
      <c r="J750" s="6"/>
      <c r="K750" s="51"/>
      <c r="L750" s="51"/>
      <c r="M750" s="51"/>
      <c r="N750" s="51"/>
      <c r="O750" s="51"/>
      <c r="P750" s="51"/>
      <c r="Q750" s="51"/>
      <c r="R750" s="51"/>
      <c r="S750" s="51"/>
      <c r="T750" s="51"/>
      <c r="U750" s="51"/>
      <c r="V750" s="51"/>
      <c r="W750" s="51"/>
      <c r="X750" s="51"/>
      <c r="Y750" s="51"/>
      <c r="Z750" s="51"/>
      <c r="AA750" s="51"/>
      <c r="AB750" s="51"/>
    </row>
    <row r="751" customFormat="false" ht="15.75" hidden="false" customHeight="false" outlineLevel="0" collapsed="false">
      <c r="A751" s="51"/>
      <c r="B751" s="51"/>
      <c r="C751" s="6"/>
      <c r="D751" s="49"/>
      <c r="E751" s="51"/>
      <c r="F751" s="6"/>
      <c r="G751" s="6"/>
      <c r="H751" s="6"/>
      <c r="I751" s="6"/>
      <c r="J751" s="6"/>
      <c r="K751" s="51"/>
      <c r="L751" s="51"/>
      <c r="M751" s="51"/>
      <c r="N751" s="51"/>
      <c r="O751" s="51"/>
      <c r="P751" s="51"/>
      <c r="Q751" s="51"/>
      <c r="R751" s="51"/>
      <c r="S751" s="51"/>
      <c r="T751" s="51"/>
      <c r="U751" s="51"/>
      <c r="V751" s="51"/>
      <c r="W751" s="51"/>
      <c r="X751" s="51"/>
      <c r="Y751" s="51"/>
      <c r="Z751" s="51"/>
      <c r="AA751" s="51"/>
      <c r="AB751" s="51"/>
    </row>
    <row r="752" customFormat="false" ht="15.75" hidden="false" customHeight="false" outlineLevel="0" collapsed="false">
      <c r="A752" s="51"/>
      <c r="B752" s="51"/>
      <c r="C752" s="6"/>
      <c r="D752" s="49"/>
      <c r="E752" s="51"/>
      <c r="F752" s="6"/>
      <c r="G752" s="6"/>
      <c r="H752" s="6"/>
      <c r="I752" s="6"/>
      <c r="J752" s="6"/>
      <c r="K752" s="51"/>
      <c r="L752" s="51"/>
      <c r="M752" s="51"/>
      <c r="N752" s="51"/>
      <c r="O752" s="51"/>
      <c r="P752" s="51"/>
      <c r="Q752" s="51"/>
      <c r="R752" s="51"/>
      <c r="S752" s="51"/>
      <c r="T752" s="51"/>
      <c r="U752" s="51"/>
      <c r="V752" s="51"/>
      <c r="W752" s="51"/>
      <c r="X752" s="51"/>
      <c r="Y752" s="51"/>
      <c r="Z752" s="51"/>
      <c r="AA752" s="51"/>
      <c r="AB752" s="51"/>
    </row>
    <row r="753" customFormat="false" ht="15.75" hidden="false" customHeight="false" outlineLevel="0" collapsed="false">
      <c r="A753" s="51"/>
      <c r="B753" s="51"/>
      <c r="C753" s="6"/>
      <c r="D753" s="49"/>
      <c r="E753" s="51"/>
      <c r="F753" s="6"/>
      <c r="G753" s="6"/>
      <c r="H753" s="6"/>
      <c r="I753" s="6"/>
      <c r="J753" s="6"/>
      <c r="K753" s="51"/>
      <c r="L753" s="51"/>
      <c r="M753" s="51"/>
      <c r="N753" s="51"/>
      <c r="O753" s="51"/>
      <c r="P753" s="51"/>
      <c r="Q753" s="51"/>
      <c r="R753" s="51"/>
      <c r="S753" s="51"/>
      <c r="T753" s="51"/>
      <c r="U753" s="51"/>
      <c r="V753" s="51"/>
      <c r="W753" s="51"/>
      <c r="X753" s="51"/>
      <c r="Y753" s="51"/>
      <c r="Z753" s="51"/>
      <c r="AA753" s="51"/>
      <c r="AB753" s="51"/>
    </row>
    <row r="754" customFormat="false" ht="15.75" hidden="false" customHeight="false" outlineLevel="0" collapsed="false">
      <c r="A754" s="51"/>
      <c r="B754" s="51"/>
      <c r="C754" s="6"/>
      <c r="D754" s="49"/>
      <c r="E754" s="51"/>
      <c r="F754" s="6"/>
      <c r="G754" s="6"/>
      <c r="H754" s="6"/>
      <c r="I754" s="6"/>
      <c r="J754" s="6"/>
      <c r="K754" s="51"/>
      <c r="L754" s="51"/>
      <c r="M754" s="51"/>
      <c r="N754" s="51"/>
      <c r="O754" s="51"/>
      <c r="P754" s="51"/>
      <c r="Q754" s="51"/>
      <c r="R754" s="51"/>
      <c r="S754" s="51"/>
      <c r="T754" s="51"/>
      <c r="U754" s="51"/>
      <c r="V754" s="51"/>
      <c r="W754" s="51"/>
      <c r="X754" s="51"/>
      <c r="Y754" s="51"/>
      <c r="Z754" s="51"/>
      <c r="AA754" s="51"/>
      <c r="AB754" s="51"/>
    </row>
    <row r="755" customFormat="false" ht="15.75" hidden="false" customHeight="false" outlineLevel="0" collapsed="false">
      <c r="A755" s="51"/>
      <c r="B755" s="51"/>
      <c r="C755" s="6"/>
      <c r="D755" s="49"/>
      <c r="E755" s="51"/>
      <c r="F755" s="6"/>
      <c r="G755" s="6"/>
      <c r="H755" s="6"/>
      <c r="I755" s="6"/>
      <c r="J755" s="6"/>
      <c r="K755" s="51"/>
      <c r="L755" s="51"/>
      <c r="M755" s="51"/>
      <c r="N755" s="51"/>
      <c r="O755" s="51"/>
      <c r="P755" s="51"/>
      <c r="Q755" s="51"/>
      <c r="R755" s="51"/>
      <c r="S755" s="51"/>
      <c r="T755" s="51"/>
      <c r="U755" s="51"/>
      <c r="V755" s="51"/>
      <c r="W755" s="51"/>
      <c r="X755" s="51"/>
      <c r="Y755" s="51"/>
      <c r="Z755" s="51"/>
      <c r="AA755" s="51"/>
      <c r="AB755" s="51"/>
    </row>
    <row r="756" customFormat="false" ht="15.75" hidden="false" customHeight="false" outlineLevel="0" collapsed="false">
      <c r="A756" s="51"/>
      <c r="B756" s="51"/>
      <c r="C756" s="6"/>
      <c r="D756" s="49"/>
      <c r="E756" s="51"/>
      <c r="F756" s="6"/>
      <c r="G756" s="6"/>
      <c r="H756" s="6"/>
      <c r="I756" s="6"/>
      <c r="J756" s="6"/>
      <c r="K756" s="51"/>
      <c r="L756" s="51"/>
      <c r="M756" s="51"/>
      <c r="N756" s="51"/>
      <c r="O756" s="51"/>
      <c r="P756" s="51"/>
      <c r="Q756" s="51"/>
      <c r="R756" s="51"/>
      <c r="S756" s="51"/>
      <c r="T756" s="51"/>
      <c r="U756" s="51"/>
      <c r="V756" s="51"/>
      <c r="W756" s="51"/>
      <c r="X756" s="51"/>
      <c r="Y756" s="51"/>
      <c r="Z756" s="51"/>
      <c r="AA756" s="51"/>
      <c r="AB756" s="51"/>
    </row>
    <row r="757" customFormat="false" ht="15.75" hidden="false" customHeight="false" outlineLevel="0" collapsed="false">
      <c r="A757" s="51"/>
      <c r="B757" s="51"/>
      <c r="C757" s="6"/>
      <c r="D757" s="49"/>
      <c r="E757" s="51"/>
      <c r="F757" s="6"/>
      <c r="G757" s="6"/>
      <c r="H757" s="6"/>
      <c r="I757" s="6"/>
      <c r="J757" s="6"/>
      <c r="K757" s="51"/>
      <c r="L757" s="51"/>
      <c r="M757" s="51"/>
      <c r="N757" s="51"/>
      <c r="O757" s="51"/>
      <c r="P757" s="51"/>
      <c r="Q757" s="51"/>
      <c r="R757" s="51"/>
      <c r="S757" s="51"/>
      <c r="T757" s="51"/>
      <c r="U757" s="51"/>
      <c r="V757" s="51"/>
      <c r="W757" s="51"/>
      <c r="X757" s="51"/>
      <c r="Y757" s="51"/>
      <c r="Z757" s="51"/>
      <c r="AA757" s="51"/>
      <c r="AB757" s="51"/>
    </row>
    <row r="758" customFormat="false" ht="15.75" hidden="false" customHeight="false" outlineLevel="0" collapsed="false">
      <c r="A758" s="51"/>
      <c r="B758" s="51"/>
      <c r="C758" s="6"/>
      <c r="D758" s="49"/>
      <c r="E758" s="51"/>
      <c r="F758" s="6"/>
      <c r="G758" s="6"/>
      <c r="H758" s="6"/>
      <c r="I758" s="6"/>
      <c r="J758" s="6"/>
      <c r="K758" s="51"/>
      <c r="L758" s="51"/>
      <c r="M758" s="51"/>
      <c r="N758" s="51"/>
      <c r="O758" s="51"/>
      <c r="P758" s="51"/>
      <c r="Q758" s="51"/>
      <c r="R758" s="51"/>
      <c r="S758" s="51"/>
      <c r="T758" s="51"/>
      <c r="U758" s="51"/>
      <c r="V758" s="51"/>
      <c r="W758" s="51"/>
      <c r="X758" s="51"/>
      <c r="Y758" s="51"/>
      <c r="Z758" s="51"/>
      <c r="AA758" s="51"/>
      <c r="AB758" s="51"/>
    </row>
    <row r="759" customFormat="false" ht="15.75" hidden="false" customHeight="false" outlineLevel="0" collapsed="false">
      <c r="A759" s="51"/>
      <c r="B759" s="51"/>
      <c r="C759" s="6"/>
      <c r="D759" s="49"/>
      <c r="E759" s="51"/>
      <c r="F759" s="6"/>
      <c r="G759" s="6"/>
      <c r="H759" s="6"/>
      <c r="I759" s="6"/>
      <c r="J759" s="6"/>
      <c r="K759" s="51"/>
      <c r="L759" s="51"/>
      <c r="M759" s="51"/>
      <c r="N759" s="51"/>
      <c r="O759" s="51"/>
      <c r="P759" s="51"/>
      <c r="Q759" s="51"/>
      <c r="R759" s="51"/>
      <c r="S759" s="51"/>
      <c r="T759" s="51"/>
      <c r="U759" s="51"/>
      <c r="V759" s="51"/>
      <c r="W759" s="51"/>
      <c r="X759" s="51"/>
      <c r="Y759" s="51"/>
      <c r="Z759" s="51"/>
      <c r="AA759" s="51"/>
      <c r="AB759" s="51"/>
    </row>
    <row r="760" customFormat="false" ht="15.75" hidden="false" customHeight="false" outlineLevel="0" collapsed="false">
      <c r="A760" s="51"/>
      <c r="B760" s="51"/>
      <c r="C760" s="6"/>
      <c r="D760" s="49"/>
      <c r="E760" s="51"/>
      <c r="F760" s="6"/>
      <c r="G760" s="6"/>
      <c r="H760" s="6"/>
      <c r="I760" s="6"/>
      <c r="J760" s="6"/>
      <c r="K760" s="51"/>
      <c r="L760" s="51"/>
      <c r="M760" s="51"/>
      <c r="N760" s="51"/>
      <c r="O760" s="51"/>
      <c r="P760" s="51"/>
      <c r="Q760" s="51"/>
      <c r="R760" s="51"/>
      <c r="S760" s="51"/>
      <c r="T760" s="51"/>
      <c r="U760" s="51"/>
      <c r="V760" s="51"/>
      <c r="W760" s="51"/>
      <c r="X760" s="51"/>
      <c r="Y760" s="51"/>
      <c r="Z760" s="51"/>
      <c r="AA760" s="51"/>
      <c r="AB760" s="51"/>
    </row>
    <row r="761" customFormat="false" ht="15.75" hidden="false" customHeight="false" outlineLevel="0" collapsed="false">
      <c r="A761" s="51"/>
      <c r="B761" s="51"/>
      <c r="C761" s="6"/>
      <c r="D761" s="49"/>
      <c r="E761" s="51"/>
      <c r="F761" s="6"/>
      <c r="G761" s="6"/>
      <c r="H761" s="6"/>
      <c r="I761" s="6"/>
      <c r="J761" s="6"/>
      <c r="K761" s="51"/>
      <c r="L761" s="51"/>
      <c r="M761" s="51"/>
      <c r="N761" s="51"/>
      <c r="O761" s="51"/>
      <c r="P761" s="51"/>
      <c r="Q761" s="51"/>
      <c r="R761" s="51"/>
      <c r="S761" s="51"/>
      <c r="T761" s="51"/>
      <c r="U761" s="51"/>
      <c r="V761" s="51"/>
      <c r="W761" s="51"/>
      <c r="X761" s="51"/>
      <c r="Y761" s="51"/>
      <c r="Z761" s="51"/>
      <c r="AA761" s="51"/>
      <c r="AB761" s="51"/>
    </row>
    <row r="762" customFormat="false" ht="15.75" hidden="false" customHeight="false" outlineLevel="0" collapsed="false">
      <c r="A762" s="51"/>
      <c r="B762" s="51"/>
      <c r="C762" s="6"/>
      <c r="D762" s="49"/>
      <c r="E762" s="51"/>
      <c r="F762" s="6"/>
      <c r="G762" s="6"/>
      <c r="H762" s="6"/>
      <c r="I762" s="6"/>
      <c r="J762" s="6"/>
      <c r="K762" s="51"/>
      <c r="L762" s="51"/>
      <c r="M762" s="51"/>
      <c r="N762" s="51"/>
      <c r="O762" s="51"/>
      <c r="P762" s="51"/>
      <c r="Q762" s="51"/>
      <c r="R762" s="51"/>
      <c r="S762" s="51"/>
      <c r="T762" s="51"/>
      <c r="U762" s="51"/>
      <c r="V762" s="51"/>
      <c r="W762" s="51"/>
      <c r="X762" s="51"/>
      <c r="Y762" s="51"/>
      <c r="Z762" s="51"/>
      <c r="AA762" s="51"/>
      <c r="AB762" s="51"/>
    </row>
    <row r="763" customFormat="false" ht="15.75" hidden="false" customHeight="false" outlineLevel="0" collapsed="false">
      <c r="A763" s="51"/>
      <c r="B763" s="51"/>
      <c r="C763" s="6"/>
      <c r="D763" s="49"/>
      <c r="E763" s="51"/>
      <c r="F763" s="6"/>
      <c r="G763" s="6"/>
      <c r="H763" s="6"/>
      <c r="I763" s="6"/>
      <c r="J763" s="6"/>
      <c r="K763" s="51"/>
      <c r="L763" s="51"/>
      <c r="M763" s="51"/>
      <c r="N763" s="51"/>
      <c r="O763" s="51"/>
      <c r="P763" s="51"/>
      <c r="Q763" s="51"/>
      <c r="R763" s="51"/>
      <c r="S763" s="51"/>
      <c r="T763" s="51"/>
      <c r="U763" s="51"/>
      <c r="V763" s="51"/>
      <c r="W763" s="51"/>
      <c r="X763" s="51"/>
      <c r="Y763" s="51"/>
      <c r="Z763" s="51"/>
      <c r="AA763" s="51"/>
      <c r="AB763" s="51"/>
    </row>
    <row r="764" customFormat="false" ht="15.75" hidden="false" customHeight="false" outlineLevel="0" collapsed="false">
      <c r="A764" s="51"/>
      <c r="B764" s="51"/>
      <c r="C764" s="6"/>
      <c r="D764" s="49"/>
      <c r="E764" s="51"/>
      <c r="F764" s="6"/>
      <c r="G764" s="6"/>
      <c r="H764" s="6"/>
      <c r="I764" s="6"/>
      <c r="J764" s="6"/>
      <c r="K764" s="51"/>
      <c r="L764" s="51"/>
      <c r="M764" s="51"/>
      <c r="N764" s="51"/>
      <c r="O764" s="51"/>
      <c r="P764" s="51"/>
      <c r="Q764" s="51"/>
      <c r="R764" s="51"/>
      <c r="S764" s="51"/>
      <c r="T764" s="51"/>
      <c r="U764" s="51"/>
      <c r="V764" s="51"/>
      <c r="W764" s="51"/>
      <c r="X764" s="51"/>
      <c r="Y764" s="51"/>
      <c r="Z764" s="51"/>
      <c r="AA764" s="51"/>
      <c r="AB764" s="51"/>
    </row>
    <row r="765" customFormat="false" ht="15.75" hidden="false" customHeight="false" outlineLevel="0" collapsed="false">
      <c r="A765" s="51"/>
      <c r="B765" s="51"/>
      <c r="C765" s="6"/>
      <c r="D765" s="49"/>
      <c r="E765" s="51"/>
      <c r="F765" s="6"/>
      <c r="G765" s="6"/>
      <c r="H765" s="6"/>
      <c r="I765" s="6"/>
      <c r="J765" s="6"/>
      <c r="K765" s="51"/>
      <c r="L765" s="51"/>
      <c r="M765" s="51"/>
      <c r="N765" s="51"/>
      <c r="O765" s="51"/>
      <c r="P765" s="51"/>
      <c r="Q765" s="51"/>
      <c r="R765" s="51"/>
      <c r="S765" s="51"/>
      <c r="T765" s="51"/>
      <c r="U765" s="51"/>
      <c r="V765" s="51"/>
      <c r="W765" s="51"/>
      <c r="X765" s="51"/>
      <c r="Y765" s="51"/>
      <c r="Z765" s="51"/>
      <c r="AA765" s="51"/>
      <c r="AB765" s="51"/>
    </row>
    <row r="766" customFormat="false" ht="15.75" hidden="false" customHeight="false" outlineLevel="0" collapsed="false">
      <c r="A766" s="51"/>
      <c r="B766" s="51"/>
      <c r="C766" s="6"/>
      <c r="D766" s="49"/>
      <c r="E766" s="51"/>
      <c r="F766" s="6"/>
      <c r="G766" s="6"/>
      <c r="H766" s="6"/>
      <c r="I766" s="6"/>
      <c r="J766" s="6"/>
      <c r="K766" s="51"/>
      <c r="L766" s="51"/>
      <c r="M766" s="51"/>
      <c r="N766" s="51"/>
      <c r="O766" s="51"/>
      <c r="P766" s="51"/>
      <c r="Q766" s="51"/>
      <c r="R766" s="51"/>
      <c r="S766" s="51"/>
      <c r="T766" s="51"/>
      <c r="U766" s="51"/>
      <c r="V766" s="51"/>
      <c r="W766" s="51"/>
      <c r="X766" s="51"/>
      <c r="Y766" s="51"/>
      <c r="Z766" s="51"/>
      <c r="AA766" s="51"/>
      <c r="AB766" s="51"/>
    </row>
    <row r="767" customFormat="false" ht="15.75" hidden="false" customHeight="false" outlineLevel="0" collapsed="false">
      <c r="A767" s="51"/>
      <c r="B767" s="51"/>
      <c r="C767" s="6"/>
      <c r="D767" s="49"/>
      <c r="E767" s="51"/>
      <c r="F767" s="6"/>
      <c r="G767" s="6"/>
      <c r="H767" s="6"/>
      <c r="I767" s="6"/>
      <c r="J767" s="6"/>
      <c r="K767" s="51"/>
      <c r="L767" s="51"/>
      <c r="M767" s="51"/>
      <c r="N767" s="51"/>
      <c r="O767" s="51"/>
      <c r="P767" s="51"/>
      <c r="Q767" s="51"/>
      <c r="R767" s="51"/>
      <c r="S767" s="51"/>
      <c r="T767" s="51"/>
      <c r="U767" s="51"/>
      <c r="V767" s="51"/>
      <c r="W767" s="51"/>
      <c r="X767" s="51"/>
      <c r="Y767" s="51"/>
      <c r="Z767" s="51"/>
      <c r="AA767" s="51"/>
      <c r="AB767" s="51"/>
    </row>
    <row r="768" customFormat="false" ht="15.75" hidden="false" customHeight="false" outlineLevel="0" collapsed="false">
      <c r="A768" s="51"/>
      <c r="B768" s="51"/>
      <c r="C768" s="6"/>
      <c r="D768" s="49"/>
      <c r="E768" s="51"/>
      <c r="F768" s="6"/>
      <c r="G768" s="6"/>
      <c r="H768" s="6"/>
      <c r="I768" s="6"/>
      <c r="J768" s="6"/>
      <c r="K768" s="51"/>
      <c r="L768" s="51"/>
      <c r="M768" s="51"/>
      <c r="N768" s="51"/>
      <c r="O768" s="51"/>
      <c r="P768" s="51"/>
      <c r="Q768" s="51"/>
      <c r="R768" s="51"/>
      <c r="S768" s="51"/>
      <c r="T768" s="51"/>
      <c r="U768" s="51"/>
      <c r="V768" s="51"/>
      <c r="W768" s="51"/>
      <c r="X768" s="51"/>
      <c r="Y768" s="51"/>
      <c r="Z768" s="51"/>
      <c r="AA768" s="51"/>
      <c r="AB768" s="51"/>
    </row>
    <row r="769" customFormat="false" ht="15.75" hidden="false" customHeight="false" outlineLevel="0" collapsed="false">
      <c r="A769" s="51"/>
      <c r="B769" s="51"/>
      <c r="C769" s="6"/>
      <c r="D769" s="49"/>
      <c r="E769" s="51"/>
      <c r="F769" s="6"/>
      <c r="G769" s="6"/>
      <c r="H769" s="6"/>
      <c r="I769" s="6"/>
      <c r="J769" s="6"/>
      <c r="K769" s="51"/>
      <c r="L769" s="51"/>
      <c r="M769" s="51"/>
      <c r="N769" s="51"/>
      <c r="O769" s="51"/>
      <c r="P769" s="51"/>
      <c r="Q769" s="51"/>
      <c r="R769" s="51"/>
      <c r="S769" s="51"/>
      <c r="T769" s="51"/>
      <c r="U769" s="51"/>
      <c r="V769" s="51"/>
      <c r="W769" s="51"/>
      <c r="X769" s="51"/>
      <c r="Y769" s="51"/>
      <c r="Z769" s="51"/>
      <c r="AA769" s="51"/>
      <c r="AB769" s="51"/>
    </row>
    <row r="770" customFormat="false" ht="15.75" hidden="false" customHeight="false" outlineLevel="0" collapsed="false">
      <c r="A770" s="51"/>
      <c r="B770" s="51"/>
      <c r="C770" s="6"/>
      <c r="D770" s="49"/>
      <c r="E770" s="51"/>
      <c r="F770" s="6"/>
      <c r="G770" s="6"/>
      <c r="H770" s="6"/>
      <c r="I770" s="6"/>
      <c r="J770" s="6"/>
      <c r="K770" s="51"/>
      <c r="L770" s="51"/>
      <c r="M770" s="51"/>
      <c r="N770" s="51"/>
      <c r="O770" s="51"/>
      <c r="P770" s="51"/>
      <c r="Q770" s="51"/>
      <c r="R770" s="51"/>
      <c r="S770" s="51"/>
      <c r="T770" s="51"/>
      <c r="U770" s="51"/>
      <c r="V770" s="51"/>
      <c r="W770" s="51"/>
      <c r="X770" s="51"/>
      <c r="Y770" s="51"/>
      <c r="Z770" s="51"/>
      <c r="AA770" s="51"/>
      <c r="AB770" s="51"/>
    </row>
    <row r="771" customFormat="false" ht="15.75" hidden="false" customHeight="false" outlineLevel="0" collapsed="false">
      <c r="A771" s="51"/>
      <c r="B771" s="51"/>
      <c r="C771" s="6"/>
      <c r="D771" s="49"/>
      <c r="E771" s="51"/>
      <c r="F771" s="6"/>
      <c r="G771" s="6"/>
      <c r="H771" s="6"/>
      <c r="I771" s="6"/>
      <c r="J771" s="6"/>
      <c r="K771" s="51"/>
      <c r="L771" s="51"/>
      <c r="M771" s="51"/>
      <c r="N771" s="51"/>
      <c r="O771" s="51"/>
      <c r="P771" s="51"/>
      <c r="Q771" s="51"/>
      <c r="R771" s="51"/>
      <c r="S771" s="51"/>
      <c r="T771" s="51"/>
      <c r="U771" s="51"/>
      <c r="V771" s="51"/>
      <c r="W771" s="51"/>
      <c r="X771" s="51"/>
      <c r="Y771" s="51"/>
      <c r="Z771" s="51"/>
      <c r="AA771" s="51"/>
      <c r="AB771" s="51"/>
    </row>
    <row r="772" customFormat="false" ht="15.75" hidden="false" customHeight="false" outlineLevel="0" collapsed="false">
      <c r="A772" s="51"/>
      <c r="B772" s="51"/>
      <c r="C772" s="6"/>
      <c r="D772" s="49"/>
      <c r="E772" s="51"/>
      <c r="F772" s="6"/>
      <c r="G772" s="6"/>
      <c r="H772" s="6"/>
      <c r="I772" s="6"/>
      <c r="J772" s="6"/>
      <c r="K772" s="51"/>
      <c r="L772" s="51"/>
      <c r="M772" s="51"/>
      <c r="N772" s="51"/>
      <c r="O772" s="51"/>
      <c r="P772" s="51"/>
      <c r="Q772" s="51"/>
      <c r="R772" s="51"/>
      <c r="S772" s="51"/>
      <c r="T772" s="51"/>
      <c r="U772" s="51"/>
      <c r="V772" s="51"/>
      <c r="W772" s="51"/>
      <c r="X772" s="51"/>
      <c r="Y772" s="51"/>
      <c r="Z772" s="51"/>
      <c r="AA772" s="51"/>
      <c r="AB772" s="51"/>
    </row>
    <row r="773" customFormat="false" ht="15.75" hidden="false" customHeight="false" outlineLevel="0" collapsed="false">
      <c r="A773" s="51"/>
      <c r="B773" s="51"/>
      <c r="C773" s="6"/>
      <c r="D773" s="49"/>
      <c r="E773" s="51"/>
      <c r="F773" s="6"/>
      <c r="G773" s="6"/>
      <c r="H773" s="6"/>
      <c r="I773" s="6"/>
      <c r="J773" s="6"/>
      <c r="K773" s="51"/>
      <c r="L773" s="51"/>
      <c r="M773" s="51"/>
      <c r="N773" s="51"/>
      <c r="O773" s="51"/>
      <c r="P773" s="51"/>
      <c r="Q773" s="51"/>
      <c r="R773" s="51"/>
      <c r="S773" s="51"/>
      <c r="T773" s="51"/>
      <c r="U773" s="51"/>
      <c r="V773" s="51"/>
      <c r="W773" s="51"/>
      <c r="X773" s="51"/>
      <c r="Y773" s="51"/>
      <c r="Z773" s="51"/>
      <c r="AA773" s="51"/>
      <c r="AB773" s="51"/>
    </row>
    <row r="774" customFormat="false" ht="15.75" hidden="false" customHeight="false" outlineLevel="0" collapsed="false">
      <c r="A774" s="51"/>
      <c r="B774" s="51"/>
      <c r="C774" s="6"/>
      <c r="D774" s="49"/>
      <c r="E774" s="51"/>
      <c r="F774" s="6"/>
      <c r="G774" s="6"/>
      <c r="H774" s="6"/>
      <c r="I774" s="6"/>
      <c r="J774" s="6"/>
      <c r="K774" s="51"/>
      <c r="L774" s="51"/>
      <c r="M774" s="51"/>
      <c r="N774" s="51"/>
      <c r="O774" s="51"/>
      <c r="P774" s="51"/>
      <c r="Q774" s="51"/>
      <c r="R774" s="51"/>
      <c r="S774" s="51"/>
      <c r="T774" s="51"/>
      <c r="U774" s="51"/>
      <c r="V774" s="51"/>
      <c r="W774" s="51"/>
      <c r="X774" s="51"/>
      <c r="Y774" s="51"/>
      <c r="Z774" s="51"/>
      <c r="AA774" s="51"/>
      <c r="AB774" s="51"/>
    </row>
    <row r="775" customFormat="false" ht="15.75" hidden="false" customHeight="false" outlineLevel="0" collapsed="false">
      <c r="A775" s="51"/>
      <c r="B775" s="51"/>
      <c r="C775" s="6"/>
      <c r="D775" s="49"/>
      <c r="E775" s="51"/>
      <c r="F775" s="6"/>
      <c r="G775" s="6"/>
      <c r="H775" s="6"/>
      <c r="I775" s="6"/>
      <c r="J775" s="6"/>
      <c r="K775" s="51"/>
      <c r="L775" s="51"/>
      <c r="M775" s="51"/>
      <c r="N775" s="51"/>
      <c r="O775" s="51"/>
      <c r="P775" s="51"/>
      <c r="Q775" s="51"/>
      <c r="R775" s="51"/>
      <c r="S775" s="51"/>
      <c r="T775" s="51"/>
      <c r="U775" s="51"/>
      <c r="V775" s="51"/>
      <c r="W775" s="51"/>
      <c r="X775" s="51"/>
      <c r="Y775" s="51"/>
      <c r="Z775" s="51"/>
      <c r="AA775" s="51"/>
      <c r="AB775" s="51"/>
    </row>
    <row r="776" customFormat="false" ht="15.75" hidden="false" customHeight="false" outlineLevel="0" collapsed="false">
      <c r="A776" s="51"/>
      <c r="B776" s="51"/>
      <c r="C776" s="6"/>
      <c r="D776" s="49"/>
      <c r="E776" s="51"/>
      <c r="F776" s="6"/>
      <c r="G776" s="6"/>
      <c r="H776" s="6"/>
      <c r="I776" s="6"/>
      <c r="J776" s="6"/>
      <c r="K776" s="51"/>
      <c r="L776" s="51"/>
      <c r="M776" s="51"/>
      <c r="N776" s="51"/>
      <c r="O776" s="51"/>
      <c r="P776" s="51"/>
      <c r="Q776" s="51"/>
      <c r="R776" s="51"/>
      <c r="S776" s="51"/>
      <c r="T776" s="51"/>
      <c r="U776" s="51"/>
      <c r="V776" s="51"/>
      <c r="W776" s="51"/>
      <c r="X776" s="51"/>
      <c r="Y776" s="51"/>
      <c r="Z776" s="51"/>
      <c r="AA776" s="51"/>
      <c r="AB776" s="51"/>
    </row>
    <row r="777" customFormat="false" ht="15.75" hidden="false" customHeight="false" outlineLevel="0" collapsed="false">
      <c r="A777" s="51"/>
      <c r="B777" s="51"/>
      <c r="C777" s="6"/>
      <c r="D777" s="49"/>
      <c r="E777" s="51"/>
      <c r="F777" s="6"/>
      <c r="G777" s="6"/>
      <c r="H777" s="6"/>
      <c r="I777" s="6"/>
      <c r="J777" s="6"/>
      <c r="K777" s="51"/>
      <c r="L777" s="51"/>
      <c r="M777" s="51"/>
      <c r="N777" s="51"/>
      <c r="O777" s="51"/>
      <c r="P777" s="51"/>
      <c r="Q777" s="51"/>
      <c r="R777" s="51"/>
      <c r="S777" s="51"/>
      <c r="T777" s="51"/>
      <c r="U777" s="51"/>
      <c r="V777" s="51"/>
      <c r="W777" s="51"/>
      <c r="X777" s="51"/>
      <c r="Y777" s="51"/>
      <c r="Z777" s="51"/>
      <c r="AA777" s="51"/>
      <c r="AB777" s="51"/>
    </row>
    <row r="778" customFormat="false" ht="15.75" hidden="false" customHeight="false" outlineLevel="0" collapsed="false">
      <c r="A778" s="51"/>
      <c r="B778" s="51"/>
      <c r="C778" s="6"/>
      <c r="D778" s="49"/>
      <c r="E778" s="51"/>
      <c r="F778" s="6"/>
      <c r="G778" s="6"/>
      <c r="H778" s="6"/>
      <c r="I778" s="6"/>
      <c r="J778" s="6"/>
      <c r="K778" s="51"/>
      <c r="L778" s="51"/>
      <c r="M778" s="51"/>
      <c r="N778" s="51"/>
      <c r="O778" s="51"/>
      <c r="P778" s="51"/>
      <c r="Q778" s="51"/>
      <c r="R778" s="51"/>
      <c r="S778" s="51"/>
      <c r="T778" s="51"/>
      <c r="U778" s="51"/>
      <c r="V778" s="51"/>
      <c r="W778" s="51"/>
      <c r="X778" s="51"/>
      <c r="Y778" s="51"/>
      <c r="Z778" s="51"/>
      <c r="AA778" s="51"/>
      <c r="AB778" s="51"/>
    </row>
    <row r="779" customFormat="false" ht="15.75" hidden="false" customHeight="false" outlineLevel="0" collapsed="false">
      <c r="A779" s="51"/>
      <c r="B779" s="51"/>
      <c r="C779" s="6"/>
      <c r="D779" s="49"/>
      <c r="E779" s="51"/>
      <c r="F779" s="6"/>
      <c r="G779" s="6"/>
      <c r="H779" s="6"/>
      <c r="I779" s="6"/>
      <c r="J779" s="6"/>
      <c r="K779" s="51"/>
      <c r="L779" s="51"/>
      <c r="M779" s="51"/>
      <c r="N779" s="51"/>
      <c r="O779" s="51"/>
      <c r="P779" s="51"/>
      <c r="Q779" s="51"/>
      <c r="R779" s="51"/>
      <c r="S779" s="51"/>
      <c r="T779" s="51"/>
      <c r="U779" s="51"/>
      <c r="V779" s="51"/>
      <c r="W779" s="51"/>
      <c r="X779" s="51"/>
      <c r="Y779" s="51"/>
      <c r="Z779" s="51"/>
      <c r="AA779" s="51"/>
      <c r="AB779" s="51"/>
    </row>
    <row r="780" customFormat="false" ht="15.75" hidden="false" customHeight="false" outlineLevel="0" collapsed="false">
      <c r="A780" s="51"/>
      <c r="B780" s="51"/>
      <c r="C780" s="6"/>
      <c r="D780" s="49"/>
      <c r="E780" s="51"/>
      <c r="F780" s="6"/>
      <c r="G780" s="6"/>
      <c r="H780" s="6"/>
      <c r="I780" s="6"/>
      <c r="J780" s="6"/>
      <c r="K780" s="51"/>
      <c r="L780" s="51"/>
      <c r="M780" s="51"/>
      <c r="N780" s="51"/>
      <c r="O780" s="51"/>
      <c r="P780" s="51"/>
      <c r="Q780" s="51"/>
      <c r="R780" s="51"/>
      <c r="S780" s="51"/>
      <c r="T780" s="51"/>
      <c r="U780" s="51"/>
      <c r="V780" s="51"/>
      <c r="W780" s="51"/>
      <c r="X780" s="51"/>
      <c r="Y780" s="51"/>
      <c r="Z780" s="51"/>
      <c r="AA780" s="51"/>
      <c r="AB780" s="51"/>
    </row>
    <row r="781" customFormat="false" ht="15.75" hidden="false" customHeight="false" outlineLevel="0" collapsed="false">
      <c r="A781" s="51"/>
      <c r="B781" s="51"/>
      <c r="C781" s="6"/>
      <c r="D781" s="49"/>
      <c r="E781" s="51"/>
      <c r="F781" s="6"/>
      <c r="G781" s="6"/>
      <c r="H781" s="6"/>
      <c r="I781" s="6"/>
      <c r="J781" s="6"/>
      <c r="K781" s="51"/>
      <c r="L781" s="51"/>
      <c r="M781" s="51"/>
      <c r="N781" s="51"/>
      <c r="O781" s="51"/>
      <c r="P781" s="51"/>
      <c r="Q781" s="51"/>
      <c r="R781" s="51"/>
      <c r="S781" s="51"/>
      <c r="T781" s="51"/>
      <c r="U781" s="51"/>
      <c r="V781" s="51"/>
      <c r="W781" s="51"/>
      <c r="X781" s="51"/>
      <c r="Y781" s="51"/>
      <c r="Z781" s="51"/>
      <c r="AA781" s="51"/>
      <c r="AB781" s="51"/>
    </row>
    <row r="782" customFormat="false" ht="15.75" hidden="false" customHeight="false" outlineLevel="0" collapsed="false">
      <c r="A782" s="51"/>
      <c r="B782" s="51"/>
      <c r="C782" s="6"/>
      <c r="D782" s="49"/>
      <c r="E782" s="51"/>
      <c r="F782" s="6"/>
      <c r="G782" s="6"/>
      <c r="H782" s="6"/>
      <c r="I782" s="6"/>
      <c r="J782" s="6"/>
      <c r="K782" s="51"/>
      <c r="L782" s="51"/>
      <c r="M782" s="51"/>
      <c r="N782" s="51"/>
      <c r="O782" s="51"/>
      <c r="P782" s="51"/>
      <c r="Q782" s="51"/>
      <c r="R782" s="51"/>
      <c r="S782" s="51"/>
      <c r="T782" s="51"/>
      <c r="U782" s="51"/>
      <c r="V782" s="51"/>
      <c r="W782" s="51"/>
      <c r="X782" s="51"/>
      <c r="Y782" s="51"/>
      <c r="Z782" s="51"/>
      <c r="AA782" s="51"/>
      <c r="AB782" s="51"/>
    </row>
    <row r="783" customFormat="false" ht="15.75" hidden="false" customHeight="false" outlineLevel="0" collapsed="false">
      <c r="A783" s="51"/>
      <c r="B783" s="51"/>
      <c r="C783" s="6"/>
      <c r="D783" s="49"/>
      <c r="E783" s="51"/>
      <c r="F783" s="6"/>
      <c r="G783" s="6"/>
      <c r="H783" s="6"/>
      <c r="I783" s="6"/>
      <c r="J783" s="6"/>
      <c r="K783" s="51"/>
      <c r="L783" s="51"/>
      <c r="M783" s="51"/>
      <c r="N783" s="51"/>
      <c r="O783" s="51"/>
      <c r="P783" s="51"/>
      <c r="Q783" s="51"/>
      <c r="R783" s="51"/>
      <c r="S783" s="51"/>
      <c r="T783" s="51"/>
      <c r="U783" s="51"/>
      <c r="V783" s="51"/>
      <c r="W783" s="51"/>
      <c r="X783" s="51"/>
      <c r="Y783" s="51"/>
      <c r="Z783" s="51"/>
      <c r="AA783" s="51"/>
      <c r="AB783" s="51"/>
    </row>
    <row r="784" customFormat="false" ht="15.75" hidden="false" customHeight="false" outlineLevel="0" collapsed="false">
      <c r="A784" s="51"/>
      <c r="B784" s="51"/>
      <c r="C784" s="6"/>
      <c r="D784" s="49"/>
      <c r="E784" s="51"/>
      <c r="F784" s="6"/>
      <c r="G784" s="6"/>
      <c r="H784" s="6"/>
      <c r="I784" s="6"/>
      <c r="J784" s="6"/>
      <c r="K784" s="51"/>
      <c r="L784" s="51"/>
      <c r="M784" s="51"/>
      <c r="N784" s="51"/>
      <c r="O784" s="51"/>
      <c r="P784" s="51"/>
      <c r="Q784" s="51"/>
      <c r="R784" s="51"/>
      <c r="S784" s="51"/>
      <c r="T784" s="51"/>
      <c r="U784" s="51"/>
      <c r="V784" s="51"/>
      <c r="W784" s="51"/>
      <c r="X784" s="51"/>
      <c r="Y784" s="51"/>
      <c r="Z784" s="51"/>
      <c r="AA784" s="51"/>
      <c r="AB784" s="51"/>
    </row>
    <row r="785" customFormat="false" ht="15.75" hidden="false" customHeight="false" outlineLevel="0" collapsed="false">
      <c r="A785" s="51"/>
      <c r="B785" s="51"/>
      <c r="C785" s="6"/>
      <c r="D785" s="49"/>
      <c r="E785" s="51"/>
      <c r="F785" s="6"/>
      <c r="G785" s="6"/>
      <c r="H785" s="6"/>
      <c r="I785" s="6"/>
      <c r="J785" s="6"/>
      <c r="K785" s="51"/>
      <c r="L785" s="51"/>
      <c r="M785" s="51"/>
      <c r="N785" s="51"/>
      <c r="O785" s="51"/>
      <c r="P785" s="51"/>
      <c r="Q785" s="51"/>
      <c r="R785" s="51"/>
      <c r="S785" s="51"/>
      <c r="T785" s="51"/>
      <c r="U785" s="51"/>
      <c r="V785" s="51"/>
      <c r="W785" s="51"/>
      <c r="X785" s="51"/>
      <c r="Y785" s="51"/>
      <c r="Z785" s="51"/>
      <c r="AA785" s="51"/>
      <c r="AB785" s="51"/>
    </row>
    <row r="786" customFormat="false" ht="15.75" hidden="false" customHeight="false" outlineLevel="0" collapsed="false">
      <c r="A786" s="51"/>
      <c r="B786" s="51"/>
      <c r="C786" s="6"/>
      <c r="D786" s="49"/>
      <c r="E786" s="51"/>
      <c r="F786" s="6"/>
      <c r="G786" s="6"/>
      <c r="H786" s="6"/>
      <c r="I786" s="6"/>
      <c r="J786" s="6"/>
      <c r="K786" s="51"/>
      <c r="L786" s="51"/>
      <c r="M786" s="51"/>
      <c r="N786" s="51"/>
      <c r="O786" s="51"/>
      <c r="P786" s="51"/>
      <c r="Q786" s="51"/>
      <c r="R786" s="51"/>
      <c r="S786" s="51"/>
      <c r="T786" s="51"/>
      <c r="U786" s="51"/>
      <c r="V786" s="51"/>
      <c r="W786" s="51"/>
      <c r="X786" s="51"/>
      <c r="Y786" s="51"/>
      <c r="Z786" s="51"/>
      <c r="AA786" s="51"/>
      <c r="AB786" s="51"/>
    </row>
    <row r="787" customFormat="false" ht="15.75" hidden="false" customHeight="false" outlineLevel="0" collapsed="false">
      <c r="A787" s="51"/>
      <c r="B787" s="51"/>
      <c r="C787" s="6"/>
      <c r="D787" s="49"/>
      <c r="E787" s="51"/>
      <c r="F787" s="6"/>
      <c r="G787" s="6"/>
      <c r="H787" s="6"/>
      <c r="I787" s="6"/>
      <c r="J787" s="6"/>
      <c r="K787" s="51"/>
      <c r="L787" s="51"/>
      <c r="M787" s="51"/>
      <c r="N787" s="51"/>
      <c r="O787" s="51"/>
      <c r="P787" s="51"/>
      <c r="Q787" s="51"/>
      <c r="R787" s="51"/>
      <c r="S787" s="51"/>
      <c r="T787" s="51"/>
      <c r="U787" s="51"/>
      <c r="V787" s="51"/>
      <c r="W787" s="51"/>
      <c r="X787" s="51"/>
      <c r="Y787" s="51"/>
      <c r="Z787" s="51"/>
      <c r="AA787" s="51"/>
      <c r="AB787" s="51"/>
    </row>
    <row r="788" customFormat="false" ht="15.75" hidden="false" customHeight="false" outlineLevel="0" collapsed="false">
      <c r="A788" s="51"/>
      <c r="B788" s="51"/>
      <c r="C788" s="6"/>
      <c r="D788" s="49"/>
      <c r="E788" s="51"/>
      <c r="F788" s="6"/>
      <c r="G788" s="6"/>
      <c r="H788" s="6"/>
      <c r="I788" s="6"/>
      <c r="J788" s="6"/>
      <c r="K788" s="51"/>
      <c r="L788" s="51"/>
      <c r="M788" s="51"/>
      <c r="N788" s="51"/>
      <c r="O788" s="51"/>
      <c r="P788" s="51"/>
      <c r="Q788" s="51"/>
      <c r="R788" s="51"/>
      <c r="S788" s="51"/>
      <c r="T788" s="51"/>
      <c r="U788" s="51"/>
      <c r="V788" s="51"/>
      <c r="W788" s="51"/>
      <c r="X788" s="51"/>
      <c r="Y788" s="51"/>
      <c r="Z788" s="51"/>
      <c r="AA788" s="51"/>
      <c r="AB788" s="51"/>
    </row>
    <row r="789" customFormat="false" ht="15.75" hidden="false" customHeight="false" outlineLevel="0" collapsed="false">
      <c r="A789" s="51"/>
      <c r="B789" s="51"/>
      <c r="C789" s="6"/>
      <c r="D789" s="49"/>
      <c r="E789" s="51"/>
      <c r="F789" s="6"/>
      <c r="G789" s="6"/>
      <c r="H789" s="6"/>
      <c r="I789" s="6"/>
      <c r="J789" s="6"/>
      <c r="K789" s="51"/>
      <c r="L789" s="51"/>
      <c r="M789" s="51"/>
      <c r="N789" s="51"/>
      <c r="O789" s="51"/>
      <c r="P789" s="51"/>
      <c r="Q789" s="51"/>
      <c r="R789" s="51"/>
      <c r="S789" s="51"/>
      <c r="T789" s="51"/>
      <c r="U789" s="51"/>
      <c r="V789" s="51"/>
      <c r="W789" s="51"/>
      <c r="X789" s="51"/>
      <c r="Y789" s="51"/>
      <c r="Z789" s="51"/>
      <c r="AA789" s="51"/>
      <c r="AB789" s="51"/>
    </row>
    <row r="790" customFormat="false" ht="15.75" hidden="false" customHeight="false" outlineLevel="0" collapsed="false">
      <c r="A790" s="51"/>
      <c r="B790" s="51"/>
      <c r="C790" s="6"/>
      <c r="D790" s="49"/>
      <c r="E790" s="51"/>
      <c r="F790" s="6"/>
      <c r="G790" s="6"/>
      <c r="H790" s="6"/>
      <c r="I790" s="6"/>
      <c r="J790" s="6"/>
      <c r="K790" s="51"/>
      <c r="L790" s="51"/>
      <c r="M790" s="51"/>
      <c r="N790" s="51"/>
      <c r="O790" s="51"/>
      <c r="P790" s="51"/>
      <c r="Q790" s="51"/>
      <c r="R790" s="51"/>
      <c r="S790" s="51"/>
      <c r="T790" s="51"/>
      <c r="U790" s="51"/>
      <c r="V790" s="51"/>
      <c r="W790" s="51"/>
      <c r="X790" s="51"/>
      <c r="Y790" s="51"/>
      <c r="Z790" s="51"/>
      <c r="AA790" s="51"/>
      <c r="AB790" s="51"/>
    </row>
    <row r="791" customFormat="false" ht="15.75" hidden="false" customHeight="false" outlineLevel="0" collapsed="false">
      <c r="A791" s="51"/>
      <c r="B791" s="51"/>
      <c r="C791" s="6"/>
      <c r="D791" s="49"/>
      <c r="E791" s="51"/>
      <c r="F791" s="6"/>
      <c r="G791" s="6"/>
      <c r="H791" s="6"/>
      <c r="I791" s="6"/>
      <c r="J791" s="6"/>
      <c r="K791" s="51"/>
      <c r="L791" s="51"/>
      <c r="M791" s="51"/>
      <c r="N791" s="51"/>
      <c r="O791" s="51"/>
      <c r="P791" s="51"/>
      <c r="Q791" s="51"/>
      <c r="R791" s="51"/>
      <c r="S791" s="51"/>
      <c r="T791" s="51"/>
      <c r="U791" s="51"/>
      <c r="V791" s="51"/>
      <c r="W791" s="51"/>
      <c r="X791" s="51"/>
      <c r="Y791" s="51"/>
      <c r="Z791" s="51"/>
      <c r="AA791" s="51"/>
      <c r="AB791" s="51"/>
    </row>
    <row r="792" customFormat="false" ht="15.75" hidden="false" customHeight="false" outlineLevel="0" collapsed="false">
      <c r="A792" s="51"/>
      <c r="B792" s="51"/>
      <c r="C792" s="6"/>
      <c r="D792" s="49"/>
      <c r="E792" s="51"/>
      <c r="F792" s="6"/>
      <c r="G792" s="6"/>
      <c r="H792" s="6"/>
      <c r="I792" s="6"/>
      <c r="J792" s="6"/>
      <c r="K792" s="51"/>
      <c r="L792" s="51"/>
      <c r="M792" s="51"/>
      <c r="N792" s="51"/>
      <c r="O792" s="51"/>
      <c r="P792" s="51"/>
      <c r="Q792" s="51"/>
      <c r="R792" s="51"/>
      <c r="S792" s="51"/>
      <c r="T792" s="51"/>
      <c r="U792" s="51"/>
      <c r="V792" s="51"/>
      <c r="W792" s="51"/>
      <c r="X792" s="51"/>
      <c r="Y792" s="51"/>
      <c r="Z792" s="51"/>
      <c r="AA792" s="51"/>
      <c r="AB792" s="51"/>
    </row>
    <row r="793" customFormat="false" ht="15.75" hidden="false" customHeight="false" outlineLevel="0" collapsed="false">
      <c r="A793" s="51"/>
      <c r="B793" s="51"/>
      <c r="C793" s="6"/>
      <c r="D793" s="49"/>
      <c r="E793" s="51"/>
      <c r="F793" s="6"/>
      <c r="G793" s="6"/>
      <c r="H793" s="6"/>
      <c r="I793" s="6"/>
      <c r="J793" s="6"/>
      <c r="K793" s="51"/>
      <c r="L793" s="51"/>
      <c r="M793" s="51"/>
      <c r="N793" s="51"/>
      <c r="O793" s="51"/>
      <c r="P793" s="51"/>
      <c r="Q793" s="51"/>
      <c r="R793" s="51"/>
      <c r="S793" s="51"/>
      <c r="T793" s="51"/>
      <c r="U793" s="51"/>
      <c r="V793" s="51"/>
      <c r="W793" s="51"/>
      <c r="X793" s="51"/>
      <c r="Y793" s="51"/>
      <c r="Z793" s="51"/>
      <c r="AA793" s="51"/>
      <c r="AB793" s="51"/>
    </row>
    <row r="794" customFormat="false" ht="15.75" hidden="false" customHeight="false" outlineLevel="0" collapsed="false">
      <c r="A794" s="51"/>
      <c r="B794" s="51"/>
      <c r="C794" s="6"/>
      <c r="D794" s="49"/>
      <c r="E794" s="51"/>
      <c r="F794" s="6"/>
      <c r="G794" s="6"/>
      <c r="H794" s="6"/>
      <c r="I794" s="6"/>
      <c r="J794" s="6"/>
      <c r="K794" s="51"/>
      <c r="L794" s="51"/>
      <c r="M794" s="51"/>
      <c r="N794" s="51"/>
      <c r="O794" s="51"/>
      <c r="P794" s="51"/>
      <c r="Q794" s="51"/>
      <c r="R794" s="51"/>
      <c r="S794" s="51"/>
      <c r="T794" s="51"/>
      <c r="U794" s="51"/>
      <c r="V794" s="51"/>
      <c r="W794" s="51"/>
      <c r="X794" s="51"/>
      <c r="Y794" s="51"/>
      <c r="Z794" s="51"/>
      <c r="AA794" s="51"/>
      <c r="AB794" s="51"/>
    </row>
    <row r="795" customFormat="false" ht="15.75" hidden="false" customHeight="false" outlineLevel="0" collapsed="false">
      <c r="A795" s="51"/>
      <c r="B795" s="51"/>
      <c r="C795" s="6"/>
      <c r="D795" s="49"/>
      <c r="E795" s="51"/>
      <c r="F795" s="6"/>
      <c r="G795" s="6"/>
      <c r="H795" s="6"/>
      <c r="I795" s="6"/>
      <c r="J795" s="6"/>
      <c r="K795" s="51"/>
      <c r="L795" s="51"/>
      <c r="M795" s="51"/>
      <c r="N795" s="51"/>
      <c r="O795" s="51"/>
      <c r="P795" s="51"/>
      <c r="Q795" s="51"/>
      <c r="R795" s="51"/>
      <c r="S795" s="51"/>
      <c r="T795" s="51"/>
      <c r="U795" s="51"/>
      <c r="V795" s="51"/>
      <c r="W795" s="51"/>
      <c r="X795" s="51"/>
      <c r="Y795" s="51"/>
      <c r="Z795" s="51"/>
      <c r="AA795" s="51"/>
      <c r="AB795" s="51"/>
    </row>
    <row r="796" customFormat="false" ht="15.75" hidden="false" customHeight="false" outlineLevel="0" collapsed="false">
      <c r="A796" s="51"/>
      <c r="B796" s="51"/>
      <c r="C796" s="6"/>
      <c r="D796" s="49"/>
      <c r="E796" s="51"/>
      <c r="F796" s="6"/>
      <c r="G796" s="6"/>
      <c r="H796" s="6"/>
      <c r="I796" s="6"/>
      <c r="J796" s="6"/>
      <c r="K796" s="51"/>
      <c r="L796" s="51"/>
      <c r="M796" s="51"/>
      <c r="N796" s="51"/>
      <c r="O796" s="51"/>
      <c r="P796" s="51"/>
      <c r="Q796" s="51"/>
      <c r="R796" s="51"/>
      <c r="S796" s="51"/>
      <c r="T796" s="51"/>
      <c r="U796" s="51"/>
      <c r="V796" s="51"/>
      <c r="W796" s="51"/>
      <c r="X796" s="51"/>
      <c r="Y796" s="51"/>
      <c r="Z796" s="51"/>
      <c r="AA796" s="51"/>
      <c r="AB796" s="51"/>
    </row>
    <row r="797" customFormat="false" ht="15.75" hidden="false" customHeight="false" outlineLevel="0" collapsed="false">
      <c r="A797" s="51"/>
      <c r="B797" s="51"/>
      <c r="C797" s="6"/>
      <c r="D797" s="49"/>
      <c r="E797" s="51"/>
      <c r="F797" s="6"/>
      <c r="G797" s="6"/>
      <c r="H797" s="6"/>
      <c r="I797" s="6"/>
      <c r="J797" s="6"/>
      <c r="K797" s="51"/>
      <c r="L797" s="51"/>
      <c r="M797" s="51"/>
      <c r="N797" s="51"/>
      <c r="O797" s="51"/>
      <c r="P797" s="51"/>
      <c r="Q797" s="51"/>
      <c r="R797" s="51"/>
      <c r="S797" s="51"/>
      <c r="T797" s="51"/>
      <c r="U797" s="51"/>
      <c r="V797" s="51"/>
      <c r="W797" s="51"/>
      <c r="X797" s="51"/>
      <c r="Y797" s="51"/>
      <c r="Z797" s="51"/>
      <c r="AA797" s="51"/>
      <c r="AB797" s="51"/>
    </row>
    <row r="798" customFormat="false" ht="15.75" hidden="false" customHeight="false" outlineLevel="0" collapsed="false">
      <c r="A798" s="51"/>
      <c r="B798" s="51"/>
      <c r="C798" s="6"/>
      <c r="D798" s="49"/>
      <c r="E798" s="51"/>
      <c r="F798" s="6"/>
      <c r="G798" s="6"/>
      <c r="H798" s="6"/>
      <c r="I798" s="6"/>
      <c r="J798" s="6"/>
      <c r="K798" s="51"/>
      <c r="L798" s="51"/>
      <c r="M798" s="51"/>
      <c r="N798" s="51"/>
      <c r="O798" s="51"/>
      <c r="P798" s="51"/>
      <c r="Q798" s="51"/>
      <c r="R798" s="51"/>
      <c r="S798" s="51"/>
      <c r="T798" s="51"/>
      <c r="U798" s="51"/>
      <c r="V798" s="51"/>
      <c r="W798" s="51"/>
      <c r="X798" s="51"/>
      <c r="Y798" s="51"/>
      <c r="Z798" s="51"/>
      <c r="AA798" s="51"/>
      <c r="AB798" s="51"/>
    </row>
    <row r="799" customFormat="false" ht="15.75" hidden="false" customHeight="false" outlineLevel="0" collapsed="false">
      <c r="A799" s="51"/>
      <c r="B799" s="51"/>
      <c r="C799" s="6"/>
      <c r="D799" s="49"/>
      <c r="E799" s="51"/>
      <c r="F799" s="6"/>
      <c r="G799" s="6"/>
      <c r="H799" s="6"/>
      <c r="I799" s="6"/>
      <c r="J799" s="6"/>
      <c r="K799" s="51"/>
      <c r="L799" s="51"/>
      <c r="M799" s="51"/>
      <c r="N799" s="51"/>
      <c r="O799" s="51"/>
      <c r="P799" s="51"/>
      <c r="Q799" s="51"/>
      <c r="R799" s="51"/>
      <c r="S799" s="51"/>
      <c r="T799" s="51"/>
      <c r="U799" s="51"/>
      <c r="V799" s="51"/>
      <c r="W799" s="51"/>
      <c r="X799" s="51"/>
      <c r="Y799" s="51"/>
      <c r="Z799" s="51"/>
      <c r="AA799" s="51"/>
      <c r="AB799" s="51"/>
    </row>
    <row r="800" customFormat="false" ht="15.75" hidden="false" customHeight="false" outlineLevel="0" collapsed="false">
      <c r="A800" s="51"/>
      <c r="B800" s="51"/>
      <c r="C800" s="6"/>
      <c r="D800" s="49"/>
      <c r="E800" s="51"/>
      <c r="F800" s="6"/>
      <c r="G800" s="6"/>
      <c r="H800" s="6"/>
      <c r="I800" s="6"/>
      <c r="J800" s="6"/>
      <c r="K800" s="51"/>
      <c r="L800" s="51"/>
      <c r="M800" s="51"/>
      <c r="N800" s="51"/>
      <c r="O800" s="51"/>
      <c r="P800" s="51"/>
      <c r="Q800" s="51"/>
      <c r="R800" s="51"/>
      <c r="S800" s="51"/>
      <c r="T800" s="51"/>
      <c r="U800" s="51"/>
      <c r="V800" s="51"/>
      <c r="W800" s="51"/>
      <c r="X800" s="51"/>
      <c r="Y800" s="51"/>
      <c r="Z800" s="51"/>
      <c r="AA800" s="51"/>
      <c r="AB800" s="51"/>
    </row>
    <row r="801" customFormat="false" ht="15.75" hidden="false" customHeight="false" outlineLevel="0" collapsed="false">
      <c r="A801" s="51"/>
      <c r="B801" s="51"/>
      <c r="C801" s="6"/>
      <c r="D801" s="49"/>
      <c r="E801" s="51"/>
      <c r="F801" s="6"/>
      <c r="G801" s="6"/>
      <c r="H801" s="6"/>
      <c r="I801" s="6"/>
      <c r="J801" s="6"/>
      <c r="K801" s="51"/>
      <c r="L801" s="51"/>
      <c r="M801" s="51"/>
      <c r="N801" s="51"/>
      <c r="O801" s="51"/>
      <c r="P801" s="51"/>
      <c r="Q801" s="51"/>
      <c r="R801" s="51"/>
      <c r="S801" s="51"/>
      <c r="T801" s="51"/>
      <c r="U801" s="51"/>
      <c r="V801" s="51"/>
      <c r="W801" s="51"/>
      <c r="X801" s="51"/>
      <c r="Y801" s="51"/>
      <c r="Z801" s="51"/>
      <c r="AA801" s="51"/>
      <c r="AB801" s="51"/>
    </row>
    <row r="802" customFormat="false" ht="15.75" hidden="false" customHeight="false" outlineLevel="0" collapsed="false">
      <c r="A802" s="51"/>
      <c r="B802" s="51"/>
      <c r="C802" s="6"/>
      <c r="D802" s="49"/>
      <c r="E802" s="51"/>
      <c r="F802" s="6"/>
      <c r="G802" s="6"/>
      <c r="H802" s="6"/>
      <c r="I802" s="6"/>
      <c r="J802" s="6"/>
      <c r="K802" s="51"/>
      <c r="L802" s="51"/>
      <c r="M802" s="51"/>
      <c r="N802" s="51"/>
      <c r="O802" s="51"/>
      <c r="P802" s="51"/>
      <c r="Q802" s="51"/>
      <c r="R802" s="51"/>
      <c r="S802" s="51"/>
      <c r="T802" s="51"/>
      <c r="U802" s="51"/>
      <c r="V802" s="51"/>
      <c r="W802" s="51"/>
      <c r="X802" s="51"/>
      <c r="Y802" s="51"/>
      <c r="Z802" s="51"/>
      <c r="AA802" s="51"/>
      <c r="AB802" s="51"/>
    </row>
    <row r="803" customFormat="false" ht="15.75" hidden="false" customHeight="false" outlineLevel="0" collapsed="false">
      <c r="A803" s="51"/>
      <c r="B803" s="51"/>
      <c r="C803" s="6"/>
      <c r="D803" s="49"/>
      <c r="E803" s="51"/>
      <c r="F803" s="6"/>
      <c r="G803" s="6"/>
      <c r="H803" s="6"/>
      <c r="I803" s="6"/>
      <c r="J803" s="6"/>
      <c r="K803" s="51"/>
      <c r="L803" s="51"/>
      <c r="M803" s="51"/>
      <c r="N803" s="51"/>
      <c r="O803" s="51"/>
      <c r="P803" s="51"/>
      <c r="Q803" s="51"/>
      <c r="R803" s="51"/>
      <c r="S803" s="51"/>
      <c r="T803" s="51"/>
      <c r="U803" s="51"/>
      <c r="V803" s="51"/>
      <c r="W803" s="51"/>
      <c r="X803" s="51"/>
      <c r="Y803" s="51"/>
      <c r="Z803" s="51"/>
      <c r="AA803" s="51"/>
      <c r="AB803" s="51"/>
    </row>
    <row r="804" customFormat="false" ht="15.75" hidden="false" customHeight="false" outlineLevel="0" collapsed="false">
      <c r="A804" s="51"/>
      <c r="B804" s="51"/>
      <c r="C804" s="6"/>
      <c r="D804" s="49"/>
      <c r="E804" s="51"/>
      <c r="F804" s="6"/>
      <c r="G804" s="6"/>
      <c r="H804" s="6"/>
      <c r="I804" s="6"/>
      <c r="J804" s="6"/>
      <c r="K804" s="51"/>
      <c r="L804" s="51"/>
      <c r="M804" s="51"/>
      <c r="N804" s="51"/>
      <c r="O804" s="51"/>
      <c r="P804" s="51"/>
      <c r="Q804" s="51"/>
      <c r="R804" s="51"/>
      <c r="S804" s="51"/>
      <c r="T804" s="51"/>
      <c r="U804" s="51"/>
      <c r="V804" s="51"/>
      <c r="W804" s="51"/>
      <c r="X804" s="51"/>
      <c r="Y804" s="51"/>
      <c r="Z804" s="51"/>
      <c r="AA804" s="51"/>
      <c r="AB804" s="51"/>
    </row>
    <row r="805" customFormat="false" ht="15.75" hidden="false" customHeight="false" outlineLevel="0" collapsed="false">
      <c r="A805" s="51"/>
      <c r="B805" s="51"/>
      <c r="C805" s="6"/>
      <c r="D805" s="49"/>
      <c r="E805" s="51"/>
      <c r="F805" s="6"/>
      <c r="G805" s="6"/>
      <c r="H805" s="6"/>
      <c r="I805" s="6"/>
      <c r="J805" s="6"/>
      <c r="K805" s="51"/>
      <c r="L805" s="51"/>
      <c r="M805" s="51"/>
      <c r="N805" s="51"/>
      <c r="O805" s="51"/>
      <c r="P805" s="51"/>
      <c r="Q805" s="51"/>
      <c r="R805" s="51"/>
      <c r="S805" s="51"/>
      <c r="T805" s="51"/>
      <c r="U805" s="51"/>
      <c r="V805" s="51"/>
      <c r="W805" s="51"/>
      <c r="X805" s="51"/>
      <c r="Y805" s="51"/>
      <c r="Z805" s="51"/>
      <c r="AA805" s="51"/>
      <c r="AB805" s="51"/>
    </row>
    <row r="806" customFormat="false" ht="15.75" hidden="false" customHeight="false" outlineLevel="0" collapsed="false">
      <c r="A806" s="51"/>
      <c r="B806" s="51"/>
      <c r="C806" s="6"/>
      <c r="D806" s="49"/>
      <c r="E806" s="51"/>
      <c r="F806" s="6"/>
      <c r="G806" s="6"/>
      <c r="H806" s="6"/>
      <c r="I806" s="6"/>
      <c r="J806" s="6"/>
      <c r="K806" s="51"/>
      <c r="L806" s="51"/>
      <c r="M806" s="51"/>
      <c r="N806" s="51"/>
      <c r="O806" s="51"/>
      <c r="P806" s="51"/>
      <c r="Q806" s="51"/>
      <c r="R806" s="51"/>
      <c r="S806" s="51"/>
      <c r="T806" s="51"/>
      <c r="U806" s="51"/>
      <c r="V806" s="51"/>
      <c r="W806" s="51"/>
      <c r="X806" s="51"/>
      <c r="Y806" s="51"/>
      <c r="Z806" s="51"/>
      <c r="AA806" s="51"/>
      <c r="AB806" s="51"/>
    </row>
    <row r="807" customFormat="false" ht="15.75" hidden="false" customHeight="false" outlineLevel="0" collapsed="false">
      <c r="A807" s="51"/>
      <c r="B807" s="51"/>
      <c r="C807" s="6"/>
      <c r="D807" s="49"/>
      <c r="E807" s="51"/>
      <c r="F807" s="6"/>
      <c r="G807" s="6"/>
      <c r="H807" s="6"/>
      <c r="I807" s="6"/>
      <c r="J807" s="6"/>
      <c r="K807" s="51"/>
      <c r="L807" s="51"/>
      <c r="M807" s="51"/>
      <c r="N807" s="51"/>
      <c r="O807" s="51"/>
      <c r="P807" s="51"/>
      <c r="Q807" s="51"/>
      <c r="R807" s="51"/>
      <c r="S807" s="51"/>
      <c r="T807" s="51"/>
      <c r="U807" s="51"/>
      <c r="V807" s="51"/>
      <c r="W807" s="51"/>
      <c r="X807" s="51"/>
      <c r="Y807" s="51"/>
      <c r="Z807" s="51"/>
      <c r="AA807" s="51"/>
      <c r="AB807" s="51"/>
    </row>
    <row r="808" customFormat="false" ht="15.75" hidden="false" customHeight="false" outlineLevel="0" collapsed="false">
      <c r="A808" s="51"/>
      <c r="B808" s="51"/>
      <c r="C808" s="6"/>
      <c r="D808" s="49"/>
      <c r="E808" s="51"/>
      <c r="F808" s="6"/>
      <c r="G808" s="6"/>
      <c r="H808" s="6"/>
      <c r="I808" s="6"/>
      <c r="J808" s="6"/>
      <c r="K808" s="51"/>
      <c r="L808" s="51"/>
      <c r="M808" s="51"/>
      <c r="N808" s="51"/>
      <c r="O808" s="51"/>
      <c r="P808" s="51"/>
      <c r="Q808" s="51"/>
      <c r="R808" s="51"/>
      <c r="S808" s="51"/>
      <c r="T808" s="51"/>
      <c r="U808" s="51"/>
      <c r="V808" s="51"/>
      <c r="W808" s="51"/>
      <c r="X808" s="51"/>
      <c r="Y808" s="51"/>
      <c r="Z808" s="51"/>
      <c r="AA808" s="51"/>
      <c r="AB808" s="51"/>
    </row>
    <row r="809" customFormat="false" ht="15.75" hidden="false" customHeight="false" outlineLevel="0" collapsed="false">
      <c r="A809" s="51"/>
      <c r="B809" s="51"/>
      <c r="C809" s="6"/>
      <c r="D809" s="49"/>
      <c r="E809" s="51"/>
      <c r="F809" s="6"/>
      <c r="G809" s="6"/>
      <c r="H809" s="6"/>
      <c r="I809" s="6"/>
      <c r="J809" s="6"/>
      <c r="K809" s="51"/>
      <c r="L809" s="51"/>
      <c r="M809" s="51"/>
      <c r="N809" s="51"/>
      <c r="O809" s="51"/>
      <c r="P809" s="51"/>
      <c r="Q809" s="51"/>
      <c r="R809" s="51"/>
      <c r="S809" s="51"/>
      <c r="T809" s="51"/>
      <c r="U809" s="51"/>
      <c r="V809" s="51"/>
      <c r="W809" s="51"/>
      <c r="X809" s="51"/>
      <c r="Y809" s="51"/>
      <c r="Z809" s="51"/>
      <c r="AA809" s="51"/>
      <c r="AB809" s="51"/>
    </row>
    <row r="810" customFormat="false" ht="15.75" hidden="false" customHeight="false" outlineLevel="0" collapsed="false">
      <c r="A810" s="51"/>
      <c r="B810" s="51"/>
      <c r="C810" s="6"/>
      <c r="D810" s="49"/>
      <c r="E810" s="51"/>
      <c r="F810" s="6"/>
      <c r="G810" s="6"/>
      <c r="H810" s="6"/>
      <c r="I810" s="6"/>
      <c r="J810" s="6"/>
      <c r="K810" s="51"/>
      <c r="L810" s="51"/>
      <c r="M810" s="51"/>
      <c r="N810" s="51"/>
      <c r="O810" s="51"/>
      <c r="P810" s="51"/>
      <c r="Q810" s="51"/>
      <c r="R810" s="51"/>
      <c r="S810" s="51"/>
      <c r="T810" s="51"/>
      <c r="U810" s="51"/>
      <c r="V810" s="51"/>
      <c r="W810" s="51"/>
      <c r="X810" s="51"/>
      <c r="Y810" s="51"/>
      <c r="Z810" s="51"/>
      <c r="AA810" s="51"/>
      <c r="AB810" s="51"/>
    </row>
    <row r="811" customFormat="false" ht="15.75" hidden="false" customHeight="false" outlineLevel="0" collapsed="false">
      <c r="A811" s="51"/>
      <c r="B811" s="51"/>
      <c r="C811" s="6"/>
      <c r="D811" s="49"/>
      <c r="E811" s="51"/>
      <c r="F811" s="6"/>
      <c r="G811" s="6"/>
      <c r="H811" s="6"/>
      <c r="I811" s="6"/>
      <c r="J811" s="6"/>
      <c r="K811" s="51"/>
      <c r="L811" s="51"/>
      <c r="M811" s="51"/>
      <c r="N811" s="51"/>
      <c r="O811" s="51"/>
      <c r="P811" s="51"/>
      <c r="Q811" s="51"/>
      <c r="R811" s="51"/>
      <c r="S811" s="51"/>
      <c r="T811" s="51"/>
      <c r="U811" s="51"/>
      <c r="V811" s="51"/>
      <c r="W811" s="51"/>
      <c r="X811" s="51"/>
      <c r="Y811" s="51"/>
      <c r="Z811" s="51"/>
      <c r="AA811" s="51"/>
      <c r="AB811" s="51"/>
    </row>
    <row r="812" customFormat="false" ht="15.75" hidden="false" customHeight="false" outlineLevel="0" collapsed="false">
      <c r="A812" s="51"/>
      <c r="B812" s="51"/>
      <c r="C812" s="6"/>
      <c r="D812" s="49"/>
      <c r="E812" s="51"/>
      <c r="F812" s="6"/>
      <c r="G812" s="6"/>
      <c r="H812" s="6"/>
      <c r="I812" s="6"/>
      <c r="J812" s="6"/>
      <c r="K812" s="51"/>
      <c r="L812" s="51"/>
      <c r="M812" s="51"/>
      <c r="N812" s="51"/>
      <c r="O812" s="51"/>
      <c r="P812" s="51"/>
      <c r="Q812" s="51"/>
      <c r="R812" s="51"/>
      <c r="S812" s="51"/>
      <c r="T812" s="51"/>
      <c r="U812" s="51"/>
      <c r="V812" s="51"/>
      <c r="W812" s="51"/>
      <c r="X812" s="51"/>
      <c r="Y812" s="51"/>
      <c r="Z812" s="51"/>
      <c r="AA812" s="51"/>
      <c r="AB812" s="51"/>
    </row>
    <row r="813" customFormat="false" ht="15.75" hidden="false" customHeight="false" outlineLevel="0" collapsed="false">
      <c r="A813" s="51"/>
      <c r="B813" s="51"/>
      <c r="C813" s="6"/>
      <c r="D813" s="49"/>
      <c r="E813" s="51"/>
      <c r="F813" s="6"/>
      <c r="G813" s="6"/>
      <c r="H813" s="6"/>
      <c r="I813" s="6"/>
      <c r="J813" s="6"/>
      <c r="K813" s="51"/>
      <c r="L813" s="51"/>
      <c r="M813" s="51"/>
      <c r="N813" s="51"/>
      <c r="O813" s="51"/>
      <c r="P813" s="51"/>
      <c r="Q813" s="51"/>
      <c r="R813" s="51"/>
      <c r="S813" s="51"/>
      <c r="T813" s="51"/>
      <c r="U813" s="51"/>
      <c r="V813" s="51"/>
      <c r="W813" s="51"/>
      <c r="X813" s="51"/>
      <c r="Y813" s="51"/>
      <c r="Z813" s="51"/>
      <c r="AA813" s="51"/>
      <c r="AB813" s="51"/>
    </row>
    <row r="814" customFormat="false" ht="15.75" hidden="false" customHeight="false" outlineLevel="0" collapsed="false">
      <c r="A814" s="51"/>
      <c r="B814" s="51"/>
      <c r="C814" s="6"/>
      <c r="D814" s="49"/>
      <c r="E814" s="51"/>
      <c r="F814" s="6"/>
      <c r="G814" s="6"/>
      <c r="H814" s="6"/>
      <c r="I814" s="6"/>
      <c r="J814" s="6"/>
      <c r="K814" s="51"/>
      <c r="L814" s="51"/>
      <c r="M814" s="51"/>
      <c r="N814" s="51"/>
      <c r="O814" s="51"/>
      <c r="P814" s="51"/>
      <c r="Q814" s="51"/>
      <c r="R814" s="51"/>
      <c r="S814" s="51"/>
      <c r="T814" s="51"/>
      <c r="U814" s="51"/>
      <c r="V814" s="51"/>
      <c r="W814" s="51"/>
      <c r="X814" s="51"/>
      <c r="Y814" s="51"/>
      <c r="Z814" s="51"/>
      <c r="AA814" s="51"/>
      <c r="AB814" s="51"/>
    </row>
    <row r="815" customFormat="false" ht="15.75" hidden="false" customHeight="false" outlineLevel="0" collapsed="false">
      <c r="A815" s="51"/>
      <c r="B815" s="51"/>
      <c r="C815" s="6"/>
      <c r="D815" s="49"/>
      <c r="E815" s="51"/>
      <c r="F815" s="6"/>
      <c r="G815" s="6"/>
      <c r="H815" s="6"/>
      <c r="I815" s="6"/>
      <c r="J815" s="6"/>
      <c r="K815" s="51"/>
      <c r="L815" s="51"/>
      <c r="M815" s="51"/>
      <c r="N815" s="51"/>
      <c r="O815" s="51"/>
      <c r="P815" s="51"/>
      <c r="Q815" s="51"/>
      <c r="R815" s="51"/>
      <c r="S815" s="51"/>
      <c r="T815" s="51"/>
      <c r="U815" s="51"/>
      <c r="V815" s="51"/>
      <c r="W815" s="51"/>
      <c r="X815" s="51"/>
      <c r="Y815" s="51"/>
      <c r="Z815" s="51"/>
      <c r="AA815" s="51"/>
      <c r="AB815" s="51"/>
    </row>
    <row r="816" customFormat="false" ht="15.75" hidden="false" customHeight="false" outlineLevel="0" collapsed="false">
      <c r="A816" s="51"/>
      <c r="B816" s="51"/>
      <c r="C816" s="6"/>
      <c r="D816" s="49"/>
      <c r="E816" s="51"/>
      <c r="F816" s="6"/>
      <c r="G816" s="6"/>
      <c r="H816" s="6"/>
      <c r="I816" s="6"/>
      <c r="J816" s="6"/>
      <c r="K816" s="51"/>
      <c r="L816" s="51"/>
      <c r="M816" s="51"/>
      <c r="N816" s="51"/>
      <c r="O816" s="51"/>
      <c r="P816" s="51"/>
      <c r="Q816" s="51"/>
      <c r="R816" s="51"/>
      <c r="S816" s="51"/>
      <c r="T816" s="51"/>
      <c r="U816" s="51"/>
      <c r="V816" s="51"/>
      <c r="W816" s="51"/>
      <c r="X816" s="51"/>
      <c r="Y816" s="51"/>
      <c r="Z816" s="51"/>
      <c r="AA816" s="51"/>
      <c r="AB816" s="51"/>
    </row>
    <row r="817" customFormat="false" ht="15.75" hidden="false" customHeight="false" outlineLevel="0" collapsed="false">
      <c r="A817" s="51"/>
      <c r="B817" s="51"/>
      <c r="C817" s="6"/>
      <c r="D817" s="49"/>
      <c r="E817" s="51"/>
      <c r="F817" s="6"/>
      <c r="G817" s="6"/>
      <c r="H817" s="6"/>
      <c r="I817" s="6"/>
      <c r="J817" s="6"/>
      <c r="K817" s="51"/>
      <c r="L817" s="51"/>
      <c r="M817" s="51"/>
      <c r="N817" s="51"/>
      <c r="O817" s="51"/>
      <c r="P817" s="51"/>
      <c r="Q817" s="51"/>
      <c r="R817" s="51"/>
      <c r="S817" s="51"/>
      <c r="T817" s="51"/>
      <c r="U817" s="51"/>
      <c r="V817" s="51"/>
      <c r="W817" s="51"/>
      <c r="X817" s="51"/>
      <c r="Y817" s="51"/>
      <c r="Z817" s="51"/>
      <c r="AA817" s="51"/>
      <c r="AB817" s="51"/>
    </row>
    <row r="818" customFormat="false" ht="15.75" hidden="false" customHeight="false" outlineLevel="0" collapsed="false">
      <c r="A818" s="51"/>
      <c r="B818" s="51"/>
      <c r="C818" s="6"/>
      <c r="D818" s="49"/>
      <c r="E818" s="51"/>
      <c r="F818" s="6"/>
      <c r="G818" s="6"/>
      <c r="H818" s="6"/>
      <c r="I818" s="6"/>
      <c r="J818" s="6"/>
      <c r="K818" s="51"/>
      <c r="L818" s="51"/>
      <c r="M818" s="51"/>
      <c r="N818" s="51"/>
      <c r="O818" s="51"/>
      <c r="P818" s="51"/>
      <c r="Q818" s="51"/>
      <c r="R818" s="51"/>
      <c r="S818" s="51"/>
      <c r="T818" s="51"/>
      <c r="U818" s="51"/>
      <c r="V818" s="51"/>
      <c r="W818" s="51"/>
      <c r="X818" s="51"/>
      <c r="Y818" s="51"/>
      <c r="Z818" s="51"/>
      <c r="AA818" s="51"/>
      <c r="AB818" s="51"/>
    </row>
    <row r="819" customFormat="false" ht="15.75" hidden="false" customHeight="false" outlineLevel="0" collapsed="false">
      <c r="A819" s="51"/>
      <c r="B819" s="51"/>
      <c r="C819" s="6"/>
      <c r="D819" s="49"/>
      <c r="E819" s="51"/>
      <c r="F819" s="6"/>
      <c r="G819" s="6"/>
      <c r="H819" s="6"/>
      <c r="I819" s="6"/>
      <c r="J819" s="6"/>
      <c r="K819" s="51"/>
      <c r="L819" s="51"/>
      <c r="M819" s="51"/>
      <c r="N819" s="51"/>
      <c r="O819" s="51"/>
      <c r="P819" s="51"/>
      <c r="Q819" s="51"/>
      <c r="R819" s="51"/>
      <c r="S819" s="51"/>
      <c r="T819" s="51"/>
      <c r="U819" s="51"/>
      <c r="V819" s="51"/>
      <c r="W819" s="51"/>
      <c r="X819" s="51"/>
      <c r="Y819" s="51"/>
      <c r="Z819" s="51"/>
      <c r="AA819" s="51"/>
      <c r="AB819" s="51"/>
    </row>
    <row r="820" customFormat="false" ht="15.75" hidden="false" customHeight="false" outlineLevel="0" collapsed="false">
      <c r="A820" s="51"/>
      <c r="B820" s="51"/>
      <c r="C820" s="6"/>
      <c r="D820" s="49"/>
      <c r="E820" s="51"/>
      <c r="F820" s="6"/>
      <c r="G820" s="6"/>
      <c r="H820" s="6"/>
      <c r="I820" s="6"/>
      <c r="J820" s="6"/>
      <c r="K820" s="51"/>
      <c r="L820" s="51"/>
      <c r="M820" s="51"/>
      <c r="N820" s="51"/>
      <c r="O820" s="51"/>
      <c r="P820" s="51"/>
      <c r="Q820" s="51"/>
      <c r="R820" s="51"/>
      <c r="S820" s="51"/>
      <c r="T820" s="51"/>
      <c r="U820" s="51"/>
      <c r="V820" s="51"/>
      <c r="W820" s="51"/>
      <c r="X820" s="51"/>
      <c r="Y820" s="51"/>
      <c r="Z820" s="51"/>
      <c r="AA820" s="51"/>
      <c r="AB820" s="51"/>
    </row>
    <row r="821" customFormat="false" ht="15.75" hidden="false" customHeight="false" outlineLevel="0" collapsed="false">
      <c r="A821" s="51"/>
      <c r="B821" s="51"/>
      <c r="C821" s="6"/>
      <c r="D821" s="49"/>
      <c r="E821" s="51"/>
      <c r="F821" s="6"/>
      <c r="G821" s="6"/>
      <c r="H821" s="6"/>
      <c r="I821" s="6"/>
      <c r="J821" s="6"/>
      <c r="K821" s="51"/>
      <c r="L821" s="51"/>
      <c r="M821" s="51"/>
      <c r="N821" s="51"/>
      <c r="O821" s="51"/>
      <c r="P821" s="51"/>
      <c r="Q821" s="51"/>
      <c r="R821" s="51"/>
      <c r="S821" s="51"/>
      <c r="T821" s="51"/>
      <c r="U821" s="51"/>
      <c r="V821" s="51"/>
      <c r="W821" s="51"/>
      <c r="X821" s="51"/>
      <c r="Y821" s="51"/>
      <c r="Z821" s="51"/>
      <c r="AA821" s="51"/>
      <c r="AB821" s="51"/>
    </row>
    <row r="822" customFormat="false" ht="15.75" hidden="false" customHeight="false" outlineLevel="0" collapsed="false">
      <c r="A822" s="51"/>
      <c r="B822" s="51"/>
      <c r="C822" s="6"/>
      <c r="D822" s="49"/>
      <c r="E822" s="51"/>
      <c r="F822" s="6"/>
      <c r="G822" s="6"/>
      <c r="H822" s="6"/>
      <c r="I822" s="6"/>
      <c r="J822" s="6"/>
      <c r="K822" s="51"/>
      <c r="L822" s="51"/>
      <c r="M822" s="51"/>
      <c r="N822" s="51"/>
      <c r="O822" s="51"/>
      <c r="P822" s="51"/>
      <c r="Q822" s="51"/>
      <c r="R822" s="51"/>
      <c r="S822" s="51"/>
      <c r="T822" s="51"/>
      <c r="U822" s="51"/>
      <c r="V822" s="51"/>
      <c r="W822" s="51"/>
      <c r="X822" s="51"/>
      <c r="Y822" s="51"/>
      <c r="Z822" s="51"/>
      <c r="AA822" s="51"/>
      <c r="AB822" s="51"/>
    </row>
    <row r="823" customFormat="false" ht="15.75" hidden="false" customHeight="false" outlineLevel="0" collapsed="false">
      <c r="A823" s="51"/>
      <c r="B823" s="51"/>
      <c r="C823" s="6"/>
      <c r="D823" s="49"/>
      <c r="E823" s="51"/>
      <c r="F823" s="6"/>
      <c r="G823" s="6"/>
      <c r="H823" s="6"/>
      <c r="I823" s="6"/>
      <c r="J823" s="6"/>
      <c r="K823" s="51"/>
      <c r="L823" s="51"/>
      <c r="M823" s="51"/>
      <c r="N823" s="51"/>
      <c r="O823" s="51"/>
      <c r="P823" s="51"/>
      <c r="Q823" s="51"/>
      <c r="R823" s="51"/>
      <c r="S823" s="51"/>
      <c r="T823" s="51"/>
      <c r="U823" s="51"/>
      <c r="V823" s="51"/>
      <c r="W823" s="51"/>
      <c r="X823" s="51"/>
      <c r="Y823" s="51"/>
      <c r="Z823" s="51"/>
      <c r="AA823" s="51"/>
      <c r="AB823" s="51"/>
    </row>
    <row r="824" customFormat="false" ht="15.75" hidden="false" customHeight="false" outlineLevel="0" collapsed="false">
      <c r="A824" s="51"/>
      <c r="B824" s="51"/>
      <c r="C824" s="6"/>
      <c r="D824" s="49"/>
      <c r="E824" s="51"/>
      <c r="F824" s="6"/>
      <c r="G824" s="6"/>
      <c r="H824" s="6"/>
      <c r="I824" s="6"/>
      <c r="J824" s="6"/>
      <c r="K824" s="51"/>
      <c r="L824" s="51"/>
      <c r="M824" s="51"/>
      <c r="N824" s="51"/>
      <c r="O824" s="51"/>
      <c r="P824" s="51"/>
      <c r="Q824" s="51"/>
      <c r="R824" s="51"/>
      <c r="S824" s="51"/>
      <c r="T824" s="51"/>
      <c r="U824" s="51"/>
      <c r="V824" s="51"/>
      <c r="W824" s="51"/>
      <c r="X824" s="51"/>
      <c r="Y824" s="51"/>
      <c r="Z824" s="51"/>
      <c r="AA824" s="51"/>
      <c r="AB824" s="51"/>
    </row>
    <row r="825" customFormat="false" ht="15.75" hidden="false" customHeight="false" outlineLevel="0" collapsed="false">
      <c r="A825" s="51"/>
      <c r="B825" s="51"/>
      <c r="C825" s="6"/>
      <c r="D825" s="49"/>
      <c r="E825" s="51"/>
      <c r="F825" s="6"/>
      <c r="G825" s="6"/>
      <c r="H825" s="6"/>
      <c r="I825" s="6"/>
      <c r="J825" s="6"/>
      <c r="K825" s="51"/>
      <c r="L825" s="51"/>
      <c r="M825" s="51"/>
      <c r="N825" s="51"/>
      <c r="O825" s="51"/>
      <c r="P825" s="51"/>
      <c r="Q825" s="51"/>
      <c r="R825" s="51"/>
      <c r="S825" s="51"/>
      <c r="T825" s="51"/>
      <c r="U825" s="51"/>
      <c r="V825" s="51"/>
      <c r="W825" s="51"/>
      <c r="X825" s="51"/>
      <c r="Y825" s="51"/>
      <c r="Z825" s="51"/>
      <c r="AA825" s="51"/>
      <c r="AB825" s="51"/>
    </row>
    <row r="826" customFormat="false" ht="15.75" hidden="false" customHeight="false" outlineLevel="0" collapsed="false">
      <c r="A826" s="51"/>
      <c r="B826" s="51"/>
      <c r="C826" s="6"/>
      <c r="D826" s="49"/>
      <c r="E826" s="51"/>
      <c r="F826" s="6"/>
      <c r="G826" s="6"/>
      <c r="H826" s="6"/>
      <c r="I826" s="6"/>
      <c r="J826" s="6"/>
      <c r="K826" s="51"/>
      <c r="L826" s="51"/>
      <c r="M826" s="51"/>
      <c r="N826" s="51"/>
      <c r="O826" s="51"/>
      <c r="P826" s="51"/>
      <c r="Q826" s="51"/>
      <c r="R826" s="51"/>
      <c r="S826" s="51"/>
      <c r="T826" s="51"/>
      <c r="U826" s="51"/>
      <c r="V826" s="51"/>
      <c r="W826" s="51"/>
      <c r="X826" s="51"/>
      <c r="Y826" s="51"/>
      <c r="Z826" s="51"/>
      <c r="AA826" s="51"/>
      <c r="AB826" s="51"/>
    </row>
    <row r="827" customFormat="false" ht="15.75" hidden="false" customHeight="false" outlineLevel="0" collapsed="false">
      <c r="A827" s="51"/>
      <c r="B827" s="51"/>
      <c r="C827" s="6"/>
      <c r="D827" s="49"/>
      <c r="E827" s="51"/>
      <c r="F827" s="6"/>
      <c r="G827" s="6"/>
      <c r="H827" s="6"/>
      <c r="I827" s="6"/>
      <c r="J827" s="6"/>
      <c r="K827" s="51"/>
      <c r="L827" s="51"/>
      <c r="M827" s="51"/>
      <c r="N827" s="51"/>
      <c r="O827" s="51"/>
      <c r="P827" s="51"/>
      <c r="Q827" s="51"/>
      <c r="R827" s="51"/>
      <c r="S827" s="51"/>
      <c r="T827" s="51"/>
      <c r="U827" s="51"/>
      <c r="V827" s="51"/>
      <c r="W827" s="51"/>
      <c r="X827" s="51"/>
      <c r="Y827" s="51"/>
      <c r="Z827" s="51"/>
      <c r="AA827" s="51"/>
      <c r="AB827" s="51"/>
    </row>
    <row r="828" customFormat="false" ht="15.75" hidden="false" customHeight="false" outlineLevel="0" collapsed="false">
      <c r="A828" s="51"/>
      <c r="B828" s="51"/>
      <c r="C828" s="6"/>
      <c r="D828" s="49"/>
      <c r="E828" s="51"/>
      <c r="F828" s="6"/>
      <c r="G828" s="6"/>
      <c r="H828" s="6"/>
      <c r="I828" s="6"/>
      <c r="J828" s="6"/>
      <c r="K828" s="51"/>
      <c r="L828" s="51"/>
      <c r="M828" s="51"/>
      <c r="N828" s="51"/>
      <c r="O828" s="51"/>
      <c r="P828" s="51"/>
      <c r="Q828" s="51"/>
      <c r="R828" s="51"/>
      <c r="S828" s="51"/>
      <c r="T828" s="51"/>
      <c r="U828" s="51"/>
      <c r="V828" s="51"/>
      <c r="W828" s="51"/>
      <c r="X828" s="51"/>
      <c r="Y828" s="51"/>
      <c r="Z828" s="51"/>
      <c r="AA828" s="51"/>
      <c r="AB828" s="51"/>
    </row>
    <row r="829" customFormat="false" ht="15.75" hidden="false" customHeight="false" outlineLevel="0" collapsed="false">
      <c r="A829" s="51"/>
      <c r="B829" s="51"/>
      <c r="C829" s="6"/>
      <c r="D829" s="49"/>
      <c r="E829" s="51"/>
      <c r="F829" s="6"/>
      <c r="G829" s="6"/>
      <c r="H829" s="6"/>
      <c r="I829" s="6"/>
      <c r="J829" s="6"/>
      <c r="K829" s="51"/>
      <c r="L829" s="51"/>
      <c r="M829" s="51"/>
      <c r="N829" s="51"/>
      <c r="O829" s="51"/>
      <c r="P829" s="51"/>
      <c r="Q829" s="51"/>
      <c r="R829" s="51"/>
      <c r="S829" s="51"/>
      <c r="T829" s="51"/>
      <c r="U829" s="51"/>
      <c r="V829" s="51"/>
      <c r="W829" s="51"/>
      <c r="X829" s="51"/>
      <c r="Y829" s="51"/>
      <c r="Z829" s="51"/>
      <c r="AA829" s="51"/>
      <c r="AB829" s="51"/>
    </row>
    <row r="830" customFormat="false" ht="15.75" hidden="false" customHeight="false" outlineLevel="0" collapsed="false">
      <c r="A830" s="51"/>
      <c r="B830" s="51"/>
      <c r="C830" s="6"/>
      <c r="D830" s="49"/>
      <c r="E830" s="51"/>
      <c r="F830" s="6"/>
      <c r="G830" s="6"/>
      <c r="H830" s="6"/>
      <c r="I830" s="6"/>
      <c r="J830" s="6"/>
      <c r="K830" s="51"/>
      <c r="L830" s="51"/>
      <c r="M830" s="51"/>
      <c r="N830" s="51"/>
      <c r="O830" s="51"/>
      <c r="P830" s="51"/>
      <c r="Q830" s="51"/>
      <c r="R830" s="51"/>
      <c r="S830" s="51"/>
      <c r="T830" s="51"/>
      <c r="U830" s="51"/>
      <c r="V830" s="51"/>
      <c r="W830" s="51"/>
      <c r="X830" s="51"/>
      <c r="Y830" s="51"/>
      <c r="Z830" s="51"/>
      <c r="AA830" s="51"/>
      <c r="AB830" s="51"/>
    </row>
    <row r="831" customFormat="false" ht="15.75" hidden="false" customHeight="false" outlineLevel="0" collapsed="false">
      <c r="A831" s="51"/>
      <c r="B831" s="51"/>
      <c r="C831" s="6"/>
      <c r="D831" s="49"/>
      <c r="E831" s="51"/>
      <c r="F831" s="6"/>
      <c r="G831" s="6"/>
      <c r="H831" s="6"/>
      <c r="I831" s="6"/>
      <c r="J831" s="6"/>
      <c r="K831" s="51"/>
      <c r="L831" s="51"/>
      <c r="M831" s="51"/>
      <c r="N831" s="51"/>
      <c r="O831" s="51"/>
      <c r="P831" s="51"/>
      <c r="Q831" s="51"/>
      <c r="R831" s="51"/>
      <c r="S831" s="51"/>
      <c r="T831" s="51"/>
      <c r="U831" s="51"/>
      <c r="V831" s="51"/>
      <c r="W831" s="51"/>
      <c r="X831" s="51"/>
      <c r="Y831" s="51"/>
      <c r="Z831" s="51"/>
      <c r="AA831" s="51"/>
      <c r="AB831" s="51"/>
    </row>
    <row r="832" customFormat="false" ht="15.75" hidden="false" customHeight="false" outlineLevel="0" collapsed="false">
      <c r="A832" s="51"/>
      <c r="B832" s="51"/>
      <c r="C832" s="6"/>
      <c r="D832" s="49"/>
      <c r="E832" s="51"/>
      <c r="F832" s="6"/>
      <c r="G832" s="6"/>
      <c r="H832" s="6"/>
      <c r="I832" s="6"/>
      <c r="J832" s="6"/>
      <c r="K832" s="51"/>
      <c r="L832" s="51"/>
      <c r="M832" s="51"/>
      <c r="N832" s="51"/>
      <c r="O832" s="51"/>
      <c r="P832" s="51"/>
      <c r="Q832" s="51"/>
      <c r="R832" s="51"/>
      <c r="S832" s="51"/>
      <c r="T832" s="51"/>
      <c r="U832" s="51"/>
      <c r="V832" s="51"/>
      <c r="W832" s="51"/>
      <c r="X832" s="51"/>
      <c r="Y832" s="51"/>
      <c r="Z832" s="51"/>
      <c r="AA832" s="51"/>
      <c r="AB832" s="51"/>
    </row>
    <row r="833" customFormat="false" ht="15.75" hidden="false" customHeight="false" outlineLevel="0" collapsed="false">
      <c r="A833" s="51"/>
      <c r="B833" s="51"/>
      <c r="C833" s="6"/>
      <c r="D833" s="49"/>
      <c r="E833" s="51"/>
      <c r="F833" s="6"/>
      <c r="G833" s="6"/>
      <c r="H833" s="6"/>
      <c r="I833" s="6"/>
      <c r="J833" s="6"/>
      <c r="K833" s="51"/>
      <c r="L833" s="51"/>
      <c r="M833" s="51"/>
      <c r="N833" s="51"/>
      <c r="O833" s="51"/>
      <c r="P833" s="51"/>
      <c r="Q833" s="51"/>
      <c r="R833" s="51"/>
      <c r="S833" s="51"/>
      <c r="T833" s="51"/>
      <c r="U833" s="51"/>
      <c r="V833" s="51"/>
      <c r="W833" s="51"/>
      <c r="X833" s="51"/>
      <c r="Y833" s="51"/>
      <c r="Z833" s="51"/>
      <c r="AA833" s="51"/>
      <c r="AB833" s="51"/>
    </row>
    <row r="834" customFormat="false" ht="15.75" hidden="false" customHeight="false" outlineLevel="0" collapsed="false">
      <c r="A834" s="51"/>
      <c r="B834" s="51"/>
      <c r="C834" s="6"/>
      <c r="D834" s="49"/>
      <c r="E834" s="51"/>
      <c r="F834" s="6"/>
      <c r="G834" s="6"/>
      <c r="H834" s="6"/>
      <c r="I834" s="6"/>
      <c r="J834" s="6"/>
      <c r="K834" s="51"/>
      <c r="L834" s="51"/>
      <c r="M834" s="51"/>
      <c r="N834" s="51"/>
      <c r="O834" s="51"/>
      <c r="P834" s="51"/>
      <c r="Q834" s="51"/>
      <c r="R834" s="51"/>
      <c r="S834" s="51"/>
      <c r="T834" s="51"/>
      <c r="U834" s="51"/>
      <c r="V834" s="51"/>
      <c r="W834" s="51"/>
      <c r="X834" s="51"/>
      <c r="Y834" s="51"/>
      <c r="Z834" s="51"/>
      <c r="AA834" s="51"/>
      <c r="AB834" s="51"/>
    </row>
    <row r="835" customFormat="false" ht="15.75" hidden="false" customHeight="false" outlineLevel="0" collapsed="false">
      <c r="A835" s="51"/>
      <c r="B835" s="51"/>
      <c r="C835" s="6"/>
      <c r="D835" s="49"/>
      <c r="E835" s="51"/>
      <c r="F835" s="6"/>
      <c r="G835" s="6"/>
      <c r="H835" s="6"/>
      <c r="I835" s="6"/>
      <c r="J835" s="6"/>
      <c r="K835" s="51"/>
      <c r="L835" s="51"/>
      <c r="M835" s="51"/>
      <c r="N835" s="51"/>
      <c r="O835" s="51"/>
      <c r="P835" s="51"/>
      <c r="Q835" s="51"/>
      <c r="R835" s="51"/>
      <c r="S835" s="51"/>
      <c r="T835" s="51"/>
      <c r="U835" s="51"/>
      <c r="V835" s="51"/>
      <c r="W835" s="51"/>
      <c r="X835" s="51"/>
      <c r="Y835" s="51"/>
      <c r="Z835" s="51"/>
      <c r="AA835" s="51"/>
      <c r="AB835" s="51"/>
    </row>
    <row r="836" customFormat="false" ht="15.75" hidden="false" customHeight="false" outlineLevel="0" collapsed="false">
      <c r="A836" s="51"/>
      <c r="B836" s="51"/>
      <c r="C836" s="6"/>
      <c r="D836" s="49"/>
      <c r="E836" s="51"/>
      <c r="F836" s="6"/>
      <c r="G836" s="6"/>
      <c r="H836" s="6"/>
      <c r="I836" s="6"/>
      <c r="J836" s="6"/>
      <c r="K836" s="51"/>
      <c r="L836" s="51"/>
      <c r="M836" s="51"/>
      <c r="N836" s="51"/>
      <c r="O836" s="51"/>
      <c r="P836" s="51"/>
      <c r="Q836" s="51"/>
      <c r="R836" s="51"/>
      <c r="S836" s="51"/>
      <c r="T836" s="51"/>
      <c r="U836" s="51"/>
      <c r="V836" s="51"/>
      <c r="W836" s="51"/>
      <c r="X836" s="51"/>
      <c r="Y836" s="51"/>
      <c r="Z836" s="51"/>
      <c r="AA836" s="51"/>
      <c r="AB836" s="51"/>
    </row>
    <row r="837" customFormat="false" ht="15.75" hidden="false" customHeight="false" outlineLevel="0" collapsed="false">
      <c r="A837" s="51"/>
      <c r="B837" s="51"/>
      <c r="C837" s="6"/>
      <c r="D837" s="49"/>
      <c r="E837" s="51"/>
      <c r="F837" s="6"/>
      <c r="G837" s="6"/>
      <c r="H837" s="6"/>
      <c r="I837" s="6"/>
      <c r="J837" s="6"/>
      <c r="K837" s="51"/>
      <c r="L837" s="51"/>
      <c r="M837" s="51"/>
      <c r="N837" s="51"/>
      <c r="O837" s="51"/>
      <c r="P837" s="51"/>
      <c r="Q837" s="51"/>
      <c r="R837" s="51"/>
      <c r="S837" s="51"/>
      <c r="T837" s="51"/>
      <c r="U837" s="51"/>
      <c r="V837" s="51"/>
      <c r="W837" s="51"/>
      <c r="X837" s="51"/>
      <c r="Y837" s="51"/>
      <c r="Z837" s="51"/>
      <c r="AA837" s="51"/>
      <c r="AB837" s="51"/>
    </row>
    <row r="838" customFormat="false" ht="15.75" hidden="false" customHeight="false" outlineLevel="0" collapsed="false">
      <c r="A838" s="51"/>
      <c r="B838" s="51"/>
      <c r="C838" s="6"/>
      <c r="D838" s="49"/>
      <c r="E838" s="51"/>
      <c r="F838" s="6"/>
      <c r="G838" s="6"/>
      <c r="H838" s="6"/>
      <c r="I838" s="6"/>
      <c r="J838" s="6"/>
      <c r="K838" s="51"/>
      <c r="L838" s="51"/>
      <c r="M838" s="51"/>
      <c r="N838" s="51"/>
      <c r="O838" s="51"/>
      <c r="P838" s="51"/>
      <c r="Q838" s="51"/>
      <c r="R838" s="51"/>
      <c r="S838" s="51"/>
      <c r="T838" s="51"/>
      <c r="U838" s="51"/>
      <c r="V838" s="51"/>
      <c r="W838" s="51"/>
      <c r="X838" s="51"/>
      <c r="Y838" s="51"/>
      <c r="Z838" s="51"/>
      <c r="AA838" s="51"/>
      <c r="AB838" s="51"/>
    </row>
    <row r="839" customFormat="false" ht="15.75" hidden="false" customHeight="false" outlineLevel="0" collapsed="false">
      <c r="A839" s="51"/>
      <c r="B839" s="51"/>
      <c r="C839" s="6"/>
      <c r="D839" s="49"/>
      <c r="E839" s="51"/>
      <c r="F839" s="6"/>
      <c r="G839" s="6"/>
      <c r="H839" s="6"/>
      <c r="I839" s="6"/>
      <c r="J839" s="6"/>
      <c r="K839" s="51"/>
      <c r="L839" s="51"/>
      <c r="M839" s="51"/>
      <c r="N839" s="51"/>
      <c r="O839" s="51"/>
      <c r="P839" s="51"/>
      <c r="Q839" s="51"/>
      <c r="R839" s="51"/>
      <c r="S839" s="51"/>
      <c r="T839" s="51"/>
      <c r="U839" s="51"/>
      <c r="V839" s="51"/>
      <c r="W839" s="51"/>
      <c r="X839" s="51"/>
      <c r="Y839" s="51"/>
      <c r="Z839" s="51"/>
      <c r="AA839" s="51"/>
      <c r="AB839" s="51"/>
    </row>
    <row r="840" customFormat="false" ht="15.75" hidden="false" customHeight="false" outlineLevel="0" collapsed="false">
      <c r="A840" s="51"/>
      <c r="B840" s="51"/>
      <c r="C840" s="6"/>
      <c r="D840" s="49"/>
      <c r="E840" s="51"/>
      <c r="F840" s="6"/>
      <c r="G840" s="6"/>
      <c r="H840" s="6"/>
      <c r="I840" s="6"/>
      <c r="J840" s="6"/>
      <c r="K840" s="51"/>
      <c r="L840" s="51"/>
      <c r="M840" s="51"/>
      <c r="N840" s="51"/>
      <c r="O840" s="51"/>
      <c r="P840" s="51"/>
      <c r="Q840" s="51"/>
      <c r="R840" s="51"/>
      <c r="S840" s="51"/>
      <c r="T840" s="51"/>
      <c r="U840" s="51"/>
      <c r="V840" s="51"/>
      <c r="W840" s="51"/>
      <c r="X840" s="51"/>
      <c r="Y840" s="51"/>
      <c r="Z840" s="51"/>
      <c r="AA840" s="51"/>
      <c r="AB840" s="51"/>
    </row>
    <row r="841" customFormat="false" ht="15.75" hidden="false" customHeight="false" outlineLevel="0" collapsed="false">
      <c r="A841" s="51"/>
      <c r="B841" s="51"/>
      <c r="C841" s="6"/>
      <c r="D841" s="49"/>
      <c r="E841" s="51"/>
      <c r="F841" s="6"/>
      <c r="G841" s="6"/>
      <c r="H841" s="6"/>
      <c r="I841" s="6"/>
      <c r="J841" s="6"/>
      <c r="K841" s="51"/>
      <c r="L841" s="51"/>
      <c r="M841" s="51"/>
      <c r="N841" s="51"/>
      <c r="O841" s="51"/>
      <c r="P841" s="51"/>
      <c r="Q841" s="51"/>
      <c r="R841" s="51"/>
      <c r="S841" s="51"/>
      <c r="T841" s="51"/>
      <c r="U841" s="51"/>
      <c r="V841" s="51"/>
      <c r="W841" s="51"/>
      <c r="X841" s="51"/>
      <c r="Y841" s="51"/>
      <c r="Z841" s="51"/>
      <c r="AA841" s="51"/>
      <c r="AB841" s="51"/>
    </row>
    <row r="842" customFormat="false" ht="15.75" hidden="false" customHeight="false" outlineLevel="0" collapsed="false">
      <c r="A842" s="51"/>
      <c r="B842" s="51"/>
      <c r="C842" s="6"/>
      <c r="D842" s="49"/>
      <c r="E842" s="51"/>
      <c r="F842" s="6"/>
      <c r="G842" s="6"/>
      <c r="H842" s="6"/>
      <c r="I842" s="6"/>
      <c r="J842" s="6"/>
      <c r="K842" s="51"/>
      <c r="L842" s="51"/>
      <c r="M842" s="51"/>
      <c r="N842" s="51"/>
      <c r="O842" s="51"/>
      <c r="P842" s="51"/>
      <c r="Q842" s="51"/>
      <c r="R842" s="51"/>
      <c r="S842" s="51"/>
      <c r="T842" s="51"/>
      <c r="U842" s="51"/>
      <c r="V842" s="51"/>
      <c r="W842" s="51"/>
      <c r="X842" s="51"/>
      <c r="Y842" s="51"/>
      <c r="Z842" s="51"/>
      <c r="AA842" s="51"/>
      <c r="AB842" s="51"/>
    </row>
    <row r="843" customFormat="false" ht="15.75" hidden="false" customHeight="false" outlineLevel="0" collapsed="false">
      <c r="A843" s="51"/>
      <c r="B843" s="51"/>
      <c r="C843" s="6"/>
      <c r="D843" s="49"/>
      <c r="E843" s="51"/>
      <c r="F843" s="6"/>
      <c r="G843" s="6"/>
      <c r="H843" s="6"/>
      <c r="I843" s="6"/>
      <c r="J843" s="6"/>
      <c r="K843" s="51"/>
      <c r="L843" s="51"/>
      <c r="M843" s="51"/>
      <c r="N843" s="51"/>
      <c r="O843" s="51"/>
      <c r="P843" s="51"/>
      <c r="Q843" s="51"/>
      <c r="R843" s="51"/>
      <c r="S843" s="51"/>
      <c r="T843" s="51"/>
      <c r="U843" s="51"/>
      <c r="V843" s="51"/>
      <c r="W843" s="51"/>
      <c r="X843" s="51"/>
      <c r="Y843" s="51"/>
      <c r="Z843" s="51"/>
      <c r="AA843" s="51"/>
      <c r="AB843" s="51"/>
    </row>
    <row r="844" customFormat="false" ht="15.75" hidden="false" customHeight="false" outlineLevel="0" collapsed="false">
      <c r="A844" s="51"/>
      <c r="B844" s="51"/>
      <c r="C844" s="6"/>
      <c r="D844" s="49"/>
      <c r="E844" s="51"/>
      <c r="F844" s="6"/>
      <c r="G844" s="6"/>
      <c r="H844" s="6"/>
      <c r="I844" s="6"/>
      <c r="J844" s="6"/>
      <c r="K844" s="51"/>
      <c r="L844" s="51"/>
      <c r="M844" s="51"/>
      <c r="N844" s="51"/>
      <c r="O844" s="51"/>
      <c r="P844" s="51"/>
      <c r="Q844" s="51"/>
      <c r="R844" s="51"/>
      <c r="S844" s="51"/>
      <c r="T844" s="51"/>
      <c r="U844" s="51"/>
      <c r="V844" s="51"/>
      <c r="W844" s="51"/>
      <c r="X844" s="51"/>
      <c r="Y844" s="51"/>
      <c r="Z844" s="51"/>
      <c r="AA844" s="51"/>
      <c r="AB844" s="51"/>
    </row>
    <row r="845" customFormat="false" ht="15.75" hidden="false" customHeight="false" outlineLevel="0" collapsed="false">
      <c r="A845" s="51"/>
      <c r="B845" s="51"/>
      <c r="C845" s="6"/>
      <c r="D845" s="49"/>
      <c r="E845" s="51"/>
      <c r="F845" s="6"/>
      <c r="G845" s="6"/>
      <c r="H845" s="6"/>
      <c r="I845" s="6"/>
      <c r="J845" s="6"/>
      <c r="K845" s="51"/>
      <c r="L845" s="51"/>
      <c r="M845" s="51"/>
      <c r="N845" s="51"/>
      <c r="O845" s="51"/>
      <c r="P845" s="51"/>
      <c r="Q845" s="51"/>
      <c r="R845" s="51"/>
      <c r="S845" s="51"/>
      <c r="T845" s="51"/>
      <c r="U845" s="51"/>
      <c r="V845" s="51"/>
      <c r="W845" s="51"/>
      <c r="X845" s="51"/>
      <c r="Y845" s="51"/>
      <c r="Z845" s="51"/>
      <c r="AA845" s="51"/>
      <c r="AB845" s="51"/>
    </row>
    <row r="846" customFormat="false" ht="15.75" hidden="false" customHeight="false" outlineLevel="0" collapsed="false">
      <c r="A846" s="51"/>
      <c r="B846" s="51"/>
      <c r="C846" s="6"/>
      <c r="D846" s="49"/>
      <c r="E846" s="51"/>
      <c r="F846" s="6"/>
      <c r="G846" s="6"/>
      <c r="H846" s="6"/>
      <c r="I846" s="6"/>
      <c r="J846" s="6"/>
      <c r="K846" s="51"/>
      <c r="L846" s="51"/>
      <c r="M846" s="51"/>
      <c r="N846" s="51"/>
      <c r="O846" s="51"/>
      <c r="P846" s="51"/>
      <c r="Q846" s="51"/>
      <c r="R846" s="51"/>
      <c r="S846" s="51"/>
      <c r="T846" s="51"/>
      <c r="U846" s="51"/>
      <c r="V846" s="51"/>
      <c r="W846" s="51"/>
      <c r="X846" s="51"/>
      <c r="Y846" s="51"/>
      <c r="Z846" s="51"/>
      <c r="AA846" s="51"/>
      <c r="AB846" s="51"/>
    </row>
    <row r="847" customFormat="false" ht="15.75" hidden="false" customHeight="false" outlineLevel="0" collapsed="false">
      <c r="A847" s="51"/>
      <c r="B847" s="51"/>
      <c r="C847" s="6"/>
      <c r="D847" s="49"/>
      <c r="E847" s="51"/>
      <c r="F847" s="6"/>
      <c r="G847" s="6"/>
      <c r="H847" s="6"/>
      <c r="I847" s="6"/>
      <c r="J847" s="6"/>
      <c r="K847" s="51"/>
      <c r="L847" s="51"/>
      <c r="M847" s="51"/>
      <c r="N847" s="51"/>
      <c r="O847" s="51"/>
      <c r="P847" s="51"/>
      <c r="Q847" s="51"/>
      <c r="R847" s="51"/>
      <c r="S847" s="51"/>
      <c r="T847" s="51"/>
      <c r="U847" s="51"/>
      <c r="V847" s="51"/>
      <c r="W847" s="51"/>
      <c r="X847" s="51"/>
      <c r="Y847" s="51"/>
      <c r="Z847" s="51"/>
      <c r="AA847" s="51"/>
      <c r="AB847" s="51"/>
    </row>
    <row r="848" customFormat="false" ht="15.75" hidden="false" customHeight="false" outlineLevel="0" collapsed="false">
      <c r="A848" s="51"/>
      <c r="B848" s="51"/>
      <c r="C848" s="6"/>
      <c r="D848" s="49"/>
      <c r="E848" s="51"/>
      <c r="F848" s="6"/>
      <c r="G848" s="6"/>
      <c r="H848" s="6"/>
      <c r="I848" s="6"/>
      <c r="J848" s="6"/>
      <c r="K848" s="51"/>
      <c r="L848" s="51"/>
      <c r="M848" s="51"/>
      <c r="N848" s="51"/>
      <c r="O848" s="51"/>
      <c r="P848" s="51"/>
      <c r="Q848" s="51"/>
      <c r="R848" s="51"/>
      <c r="S848" s="51"/>
      <c r="T848" s="51"/>
      <c r="U848" s="51"/>
      <c r="V848" s="51"/>
      <c r="W848" s="51"/>
      <c r="X848" s="51"/>
      <c r="Y848" s="51"/>
      <c r="Z848" s="51"/>
      <c r="AA848" s="51"/>
      <c r="AB848" s="51"/>
    </row>
    <row r="849" customFormat="false" ht="15.75" hidden="false" customHeight="false" outlineLevel="0" collapsed="false">
      <c r="A849" s="51"/>
      <c r="B849" s="51"/>
      <c r="C849" s="6"/>
      <c r="D849" s="49"/>
      <c r="E849" s="51"/>
      <c r="F849" s="6"/>
      <c r="G849" s="6"/>
      <c r="H849" s="6"/>
      <c r="I849" s="6"/>
      <c r="J849" s="6"/>
      <c r="K849" s="51"/>
      <c r="L849" s="51"/>
      <c r="M849" s="51"/>
      <c r="N849" s="51"/>
      <c r="O849" s="51"/>
      <c r="P849" s="51"/>
      <c r="Q849" s="51"/>
      <c r="R849" s="51"/>
      <c r="S849" s="51"/>
      <c r="T849" s="51"/>
      <c r="U849" s="51"/>
      <c r="V849" s="51"/>
      <c r="W849" s="51"/>
      <c r="X849" s="51"/>
      <c r="Y849" s="51"/>
      <c r="Z849" s="51"/>
      <c r="AA849" s="51"/>
      <c r="AB849" s="51"/>
    </row>
    <row r="850" customFormat="false" ht="15.75" hidden="false" customHeight="false" outlineLevel="0" collapsed="false">
      <c r="A850" s="51"/>
      <c r="B850" s="51"/>
      <c r="C850" s="6"/>
      <c r="D850" s="49"/>
      <c r="E850" s="51"/>
      <c r="F850" s="6"/>
      <c r="G850" s="6"/>
      <c r="H850" s="6"/>
      <c r="I850" s="6"/>
      <c r="J850" s="6"/>
      <c r="K850" s="51"/>
      <c r="L850" s="51"/>
      <c r="M850" s="51"/>
      <c r="N850" s="51"/>
      <c r="O850" s="51"/>
      <c r="P850" s="51"/>
      <c r="Q850" s="51"/>
      <c r="R850" s="51"/>
      <c r="S850" s="51"/>
      <c r="T850" s="51"/>
      <c r="U850" s="51"/>
      <c r="V850" s="51"/>
      <c r="W850" s="51"/>
      <c r="X850" s="51"/>
      <c r="Y850" s="51"/>
      <c r="Z850" s="51"/>
      <c r="AA850" s="51"/>
      <c r="AB850" s="51"/>
    </row>
    <row r="851" customFormat="false" ht="15.75" hidden="false" customHeight="false" outlineLevel="0" collapsed="false">
      <c r="A851" s="51"/>
      <c r="B851" s="51"/>
      <c r="C851" s="6"/>
      <c r="D851" s="49"/>
      <c r="E851" s="51"/>
      <c r="F851" s="6"/>
      <c r="G851" s="6"/>
      <c r="H851" s="6"/>
      <c r="I851" s="6"/>
      <c r="J851" s="6"/>
      <c r="K851" s="51"/>
      <c r="L851" s="51"/>
      <c r="M851" s="51"/>
      <c r="N851" s="51"/>
      <c r="O851" s="51"/>
      <c r="P851" s="51"/>
      <c r="Q851" s="51"/>
      <c r="R851" s="51"/>
      <c r="S851" s="51"/>
      <c r="T851" s="51"/>
      <c r="U851" s="51"/>
      <c r="V851" s="51"/>
      <c r="W851" s="51"/>
      <c r="X851" s="51"/>
      <c r="Y851" s="51"/>
      <c r="Z851" s="51"/>
      <c r="AA851" s="51"/>
      <c r="AB851" s="51"/>
    </row>
    <row r="852" customFormat="false" ht="15.75" hidden="false" customHeight="false" outlineLevel="0" collapsed="false">
      <c r="A852" s="51"/>
      <c r="B852" s="51"/>
      <c r="C852" s="6"/>
      <c r="D852" s="49"/>
      <c r="E852" s="51"/>
      <c r="F852" s="6"/>
      <c r="G852" s="6"/>
      <c r="H852" s="6"/>
      <c r="I852" s="6"/>
      <c r="J852" s="6"/>
      <c r="K852" s="51"/>
      <c r="L852" s="51"/>
      <c r="M852" s="51"/>
      <c r="N852" s="51"/>
      <c r="O852" s="51"/>
      <c r="P852" s="51"/>
      <c r="Q852" s="51"/>
      <c r="R852" s="51"/>
      <c r="S852" s="51"/>
      <c r="T852" s="51"/>
      <c r="U852" s="51"/>
      <c r="V852" s="51"/>
      <c r="W852" s="51"/>
      <c r="X852" s="51"/>
      <c r="Y852" s="51"/>
      <c r="Z852" s="51"/>
      <c r="AA852" s="51"/>
      <c r="AB852" s="51"/>
    </row>
    <row r="853" customFormat="false" ht="15.75" hidden="false" customHeight="false" outlineLevel="0" collapsed="false">
      <c r="A853" s="51"/>
      <c r="B853" s="51"/>
      <c r="C853" s="6"/>
      <c r="D853" s="49"/>
      <c r="E853" s="51"/>
      <c r="F853" s="6"/>
      <c r="G853" s="6"/>
      <c r="H853" s="6"/>
      <c r="I853" s="6"/>
      <c r="J853" s="6"/>
      <c r="K853" s="51"/>
      <c r="L853" s="51"/>
      <c r="M853" s="51"/>
      <c r="N853" s="51"/>
      <c r="O853" s="51"/>
      <c r="P853" s="51"/>
      <c r="Q853" s="51"/>
      <c r="R853" s="51"/>
      <c r="S853" s="51"/>
      <c r="T853" s="51"/>
      <c r="U853" s="51"/>
      <c r="V853" s="51"/>
      <c r="W853" s="51"/>
      <c r="X853" s="51"/>
      <c r="Y853" s="51"/>
      <c r="Z853" s="51"/>
      <c r="AA853" s="51"/>
      <c r="AB853" s="51"/>
    </row>
    <row r="854" customFormat="false" ht="15.75" hidden="false" customHeight="false" outlineLevel="0" collapsed="false">
      <c r="A854" s="51"/>
      <c r="B854" s="51"/>
      <c r="C854" s="6"/>
      <c r="D854" s="49"/>
      <c r="E854" s="51"/>
      <c r="F854" s="6"/>
      <c r="G854" s="6"/>
      <c r="H854" s="6"/>
      <c r="I854" s="6"/>
      <c r="J854" s="6"/>
      <c r="K854" s="51"/>
      <c r="L854" s="51"/>
      <c r="M854" s="51"/>
      <c r="N854" s="51"/>
      <c r="O854" s="51"/>
      <c r="P854" s="51"/>
      <c r="Q854" s="51"/>
      <c r="R854" s="51"/>
      <c r="S854" s="51"/>
      <c r="T854" s="51"/>
      <c r="U854" s="51"/>
      <c r="V854" s="51"/>
      <c r="W854" s="51"/>
      <c r="X854" s="51"/>
      <c r="Y854" s="51"/>
      <c r="Z854" s="51"/>
      <c r="AA854" s="51"/>
      <c r="AB854" s="51"/>
    </row>
    <row r="855" customFormat="false" ht="15.75" hidden="false" customHeight="false" outlineLevel="0" collapsed="false">
      <c r="A855" s="51"/>
      <c r="B855" s="51"/>
      <c r="C855" s="6"/>
      <c r="D855" s="49"/>
      <c r="E855" s="51"/>
      <c r="F855" s="6"/>
      <c r="G855" s="6"/>
      <c r="H855" s="6"/>
      <c r="I855" s="6"/>
      <c r="J855" s="6"/>
      <c r="K855" s="51"/>
      <c r="L855" s="51"/>
      <c r="M855" s="51"/>
      <c r="N855" s="51"/>
      <c r="O855" s="51"/>
      <c r="P855" s="51"/>
      <c r="Q855" s="51"/>
      <c r="R855" s="51"/>
      <c r="S855" s="51"/>
      <c r="T855" s="51"/>
      <c r="U855" s="51"/>
      <c r="V855" s="51"/>
      <c r="W855" s="51"/>
      <c r="X855" s="51"/>
      <c r="Y855" s="51"/>
      <c r="Z855" s="51"/>
      <c r="AA855" s="51"/>
      <c r="AB855" s="51"/>
    </row>
    <row r="856" customFormat="false" ht="15.75" hidden="false" customHeight="false" outlineLevel="0" collapsed="false">
      <c r="A856" s="51"/>
      <c r="B856" s="51"/>
      <c r="C856" s="6"/>
      <c r="D856" s="49"/>
      <c r="E856" s="51"/>
      <c r="F856" s="6"/>
      <c r="G856" s="6"/>
      <c r="H856" s="6"/>
      <c r="I856" s="6"/>
      <c r="J856" s="6"/>
      <c r="K856" s="51"/>
      <c r="L856" s="51"/>
      <c r="M856" s="51"/>
      <c r="N856" s="51"/>
      <c r="O856" s="51"/>
      <c r="P856" s="51"/>
      <c r="Q856" s="51"/>
      <c r="R856" s="51"/>
      <c r="S856" s="51"/>
      <c r="T856" s="51"/>
      <c r="U856" s="51"/>
      <c r="V856" s="51"/>
      <c r="W856" s="51"/>
      <c r="X856" s="51"/>
      <c r="Y856" s="51"/>
      <c r="Z856" s="51"/>
      <c r="AA856" s="51"/>
      <c r="AB856" s="51"/>
    </row>
    <row r="857" customFormat="false" ht="15.75" hidden="false" customHeight="false" outlineLevel="0" collapsed="false">
      <c r="A857" s="51"/>
      <c r="B857" s="51"/>
      <c r="C857" s="6"/>
      <c r="D857" s="49"/>
      <c r="E857" s="51"/>
      <c r="F857" s="6"/>
      <c r="G857" s="6"/>
      <c r="H857" s="6"/>
      <c r="I857" s="6"/>
      <c r="J857" s="6"/>
      <c r="K857" s="51"/>
      <c r="L857" s="51"/>
      <c r="M857" s="51"/>
      <c r="N857" s="51"/>
      <c r="O857" s="51"/>
      <c r="P857" s="51"/>
      <c r="Q857" s="51"/>
      <c r="R857" s="51"/>
      <c r="S857" s="51"/>
      <c r="T857" s="51"/>
      <c r="U857" s="51"/>
      <c r="V857" s="51"/>
      <c r="W857" s="51"/>
      <c r="X857" s="51"/>
      <c r="Y857" s="51"/>
      <c r="Z857" s="51"/>
      <c r="AA857" s="51"/>
      <c r="AB857" s="51"/>
    </row>
    <row r="858" customFormat="false" ht="15.75" hidden="false" customHeight="false" outlineLevel="0" collapsed="false">
      <c r="A858" s="51"/>
      <c r="B858" s="51"/>
      <c r="C858" s="6"/>
      <c r="D858" s="49"/>
      <c r="E858" s="51"/>
      <c r="F858" s="6"/>
      <c r="G858" s="6"/>
      <c r="H858" s="6"/>
      <c r="I858" s="6"/>
      <c r="J858" s="6"/>
      <c r="K858" s="51"/>
      <c r="L858" s="51"/>
      <c r="M858" s="51"/>
      <c r="N858" s="51"/>
      <c r="O858" s="51"/>
      <c r="P858" s="51"/>
      <c r="Q858" s="51"/>
      <c r="R858" s="51"/>
      <c r="S858" s="51"/>
      <c r="T858" s="51"/>
      <c r="U858" s="51"/>
      <c r="V858" s="51"/>
      <c r="W858" s="51"/>
      <c r="X858" s="51"/>
      <c r="Y858" s="51"/>
      <c r="Z858" s="51"/>
      <c r="AA858" s="51"/>
      <c r="AB858" s="51"/>
    </row>
    <row r="859" customFormat="false" ht="15.75" hidden="false" customHeight="false" outlineLevel="0" collapsed="false">
      <c r="A859" s="51"/>
      <c r="B859" s="51"/>
      <c r="C859" s="6"/>
      <c r="D859" s="49"/>
      <c r="E859" s="51"/>
      <c r="F859" s="6"/>
      <c r="G859" s="6"/>
      <c r="H859" s="6"/>
      <c r="I859" s="6"/>
      <c r="J859" s="6"/>
      <c r="K859" s="51"/>
      <c r="L859" s="51"/>
      <c r="M859" s="51"/>
      <c r="N859" s="51"/>
      <c r="O859" s="51"/>
      <c r="P859" s="51"/>
      <c r="Q859" s="51"/>
      <c r="R859" s="51"/>
      <c r="S859" s="51"/>
      <c r="T859" s="51"/>
      <c r="U859" s="51"/>
      <c r="V859" s="51"/>
      <c r="W859" s="51"/>
      <c r="X859" s="51"/>
      <c r="Y859" s="51"/>
      <c r="Z859" s="51"/>
      <c r="AA859" s="51"/>
      <c r="AB859" s="51"/>
    </row>
    <row r="860" customFormat="false" ht="15.75" hidden="false" customHeight="false" outlineLevel="0" collapsed="false">
      <c r="A860" s="51"/>
      <c r="B860" s="51"/>
      <c r="C860" s="6"/>
      <c r="D860" s="49"/>
      <c r="E860" s="51"/>
      <c r="F860" s="6"/>
      <c r="G860" s="6"/>
      <c r="H860" s="6"/>
      <c r="I860" s="6"/>
      <c r="J860" s="6"/>
      <c r="K860" s="51"/>
      <c r="L860" s="51"/>
      <c r="M860" s="51"/>
      <c r="N860" s="51"/>
      <c r="O860" s="51"/>
      <c r="P860" s="51"/>
      <c r="Q860" s="51"/>
      <c r="R860" s="51"/>
      <c r="S860" s="51"/>
      <c r="T860" s="51"/>
      <c r="U860" s="51"/>
      <c r="V860" s="51"/>
      <c r="W860" s="51"/>
      <c r="X860" s="51"/>
      <c r="Y860" s="51"/>
      <c r="Z860" s="51"/>
      <c r="AA860" s="51"/>
      <c r="AB860" s="51"/>
    </row>
    <row r="861" customFormat="false" ht="15.75" hidden="false" customHeight="false" outlineLevel="0" collapsed="false">
      <c r="A861" s="51"/>
      <c r="B861" s="51"/>
      <c r="C861" s="6"/>
      <c r="D861" s="49"/>
      <c r="E861" s="51"/>
      <c r="F861" s="6"/>
      <c r="G861" s="6"/>
      <c r="H861" s="6"/>
      <c r="I861" s="6"/>
      <c r="J861" s="6"/>
      <c r="K861" s="51"/>
      <c r="L861" s="51"/>
      <c r="M861" s="51"/>
      <c r="N861" s="51"/>
      <c r="O861" s="51"/>
      <c r="P861" s="51"/>
      <c r="Q861" s="51"/>
      <c r="R861" s="51"/>
      <c r="S861" s="51"/>
      <c r="T861" s="51"/>
      <c r="U861" s="51"/>
      <c r="V861" s="51"/>
      <c r="W861" s="51"/>
      <c r="X861" s="51"/>
      <c r="Y861" s="51"/>
      <c r="Z861" s="51"/>
      <c r="AA861" s="51"/>
      <c r="AB861" s="51"/>
    </row>
    <row r="862" customFormat="false" ht="15.75" hidden="false" customHeight="false" outlineLevel="0" collapsed="false">
      <c r="A862" s="51"/>
      <c r="B862" s="51"/>
      <c r="C862" s="6"/>
      <c r="D862" s="49"/>
      <c r="E862" s="51"/>
      <c r="F862" s="6"/>
      <c r="G862" s="6"/>
      <c r="H862" s="6"/>
      <c r="I862" s="6"/>
      <c r="J862" s="6"/>
      <c r="K862" s="51"/>
      <c r="L862" s="51"/>
      <c r="M862" s="51"/>
      <c r="N862" s="51"/>
      <c r="O862" s="51"/>
      <c r="P862" s="51"/>
      <c r="Q862" s="51"/>
      <c r="R862" s="51"/>
      <c r="S862" s="51"/>
      <c r="T862" s="51"/>
      <c r="U862" s="51"/>
      <c r="V862" s="51"/>
      <c r="W862" s="51"/>
      <c r="X862" s="51"/>
      <c r="Y862" s="51"/>
      <c r="Z862" s="51"/>
      <c r="AA862" s="51"/>
      <c r="AB862" s="51"/>
    </row>
    <row r="863" customFormat="false" ht="15.75" hidden="false" customHeight="false" outlineLevel="0" collapsed="false">
      <c r="A863" s="51"/>
      <c r="B863" s="51"/>
      <c r="C863" s="6"/>
      <c r="D863" s="49"/>
      <c r="E863" s="51"/>
      <c r="F863" s="6"/>
      <c r="G863" s="6"/>
      <c r="H863" s="6"/>
      <c r="I863" s="6"/>
      <c r="J863" s="6"/>
      <c r="K863" s="51"/>
      <c r="L863" s="51"/>
      <c r="M863" s="51"/>
      <c r="N863" s="51"/>
      <c r="O863" s="51"/>
      <c r="P863" s="51"/>
      <c r="Q863" s="51"/>
      <c r="R863" s="51"/>
      <c r="S863" s="51"/>
      <c r="T863" s="51"/>
      <c r="U863" s="51"/>
      <c r="V863" s="51"/>
      <c r="W863" s="51"/>
      <c r="X863" s="51"/>
      <c r="Y863" s="51"/>
      <c r="Z863" s="51"/>
      <c r="AA863" s="51"/>
      <c r="AB863" s="51"/>
    </row>
    <row r="864" customFormat="false" ht="15.75" hidden="false" customHeight="false" outlineLevel="0" collapsed="false">
      <c r="A864" s="51"/>
      <c r="B864" s="51"/>
      <c r="C864" s="6"/>
      <c r="D864" s="49"/>
      <c r="E864" s="51"/>
      <c r="F864" s="6"/>
      <c r="G864" s="6"/>
      <c r="H864" s="6"/>
      <c r="I864" s="6"/>
      <c r="J864" s="6"/>
      <c r="K864" s="51"/>
      <c r="L864" s="51"/>
      <c r="M864" s="51"/>
      <c r="N864" s="51"/>
      <c r="O864" s="51"/>
      <c r="P864" s="51"/>
      <c r="Q864" s="51"/>
      <c r="R864" s="51"/>
      <c r="S864" s="51"/>
      <c r="T864" s="51"/>
      <c r="U864" s="51"/>
      <c r="V864" s="51"/>
      <c r="W864" s="51"/>
      <c r="X864" s="51"/>
      <c r="Y864" s="51"/>
      <c r="Z864" s="51"/>
      <c r="AA864" s="51"/>
      <c r="AB864" s="51"/>
    </row>
    <row r="865" customFormat="false" ht="15.75" hidden="false" customHeight="false" outlineLevel="0" collapsed="false">
      <c r="A865" s="51"/>
      <c r="B865" s="51"/>
      <c r="C865" s="6"/>
      <c r="D865" s="49"/>
      <c r="E865" s="51"/>
      <c r="F865" s="6"/>
      <c r="G865" s="6"/>
      <c r="H865" s="6"/>
      <c r="I865" s="6"/>
      <c r="J865" s="6"/>
      <c r="K865" s="51"/>
      <c r="L865" s="51"/>
      <c r="M865" s="51"/>
      <c r="N865" s="51"/>
      <c r="O865" s="51"/>
      <c r="P865" s="51"/>
      <c r="Q865" s="51"/>
      <c r="R865" s="51"/>
      <c r="S865" s="51"/>
      <c r="T865" s="51"/>
      <c r="U865" s="51"/>
      <c r="V865" s="51"/>
      <c r="W865" s="51"/>
      <c r="X865" s="51"/>
      <c r="Y865" s="51"/>
      <c r="Z865" s="51"/>
      <c r="AA865" s="51"/>
      <c r="AB865" s="51"/>
    </row>
    <row r="866" customFormat="false" ht="15.75" hidden="false" customHeight="false" outlineLevel="0" collapsed="false">
      <c r="A866" s="51"/>
      <c r="B866" s="51"/>
      <c r="C866" s="6"/>
      <c r="D866" s="49"/>
      <c r="E866" s="51"/>
      <c r="F866" s="6"/>
      <c r="G866" s="6"/>
      <c r="H866" s="6"/>
      <c r="I866" s="6"/>
      <c r="J866" s="6"/>
      <c r="K866" s="51"/>
      <c r="L866" s="51"/>
      <c r="M866" s="51"/>
      <c r="N866" s="51"/>
      <c r="O866" s="51"/>
      <c r="P866" s="51"/>
      <c r="Q866" s="51"/>
      <c r="R866" s="51"/>
      <c r="S866" s="51"/>
      <c r="T866" s="51"/>
      <c r="U866" s="51"/>
      <c r="V866" s="51"/>
      <c r="W866" s="51"/>
      <c r="X866" s="51"/>
      <c r="Y866" s="51"/>
      <c r="Z866" s="51"/>
      <c r="AA866" s="51"/>
      <c r="AB866" s="51"/>
    </row>
    <row r="867" customFormat="false" ht="15.75" hidden="false" customHeight="false" outlineLevel="0" collapsed="false">
      <c r="A867" s="51"/>
      <c r="B867" s="51"/>
      <c r="C867" s="6"/>
      <c r="D867" s="49"/>
      <c r="E867" s="51"/>
      <c r="F867" s="6"/>
      <c r="G867" s="6"/>
      <c r="H867" s="6"/>
      <c r="I867" s="6"/>
      <c r="J867" s="6"/>
      <c r="K867" s="51"/>
      <c r="L867" s="51"/>
      <c r="M867" s="51"/>
      <c r="N867" s="51"/>
      <c r="O867" s="51"/>
      <c r="P867" s="51"/>
      <c r="Q867" s="51"/>
      <c r="R867" s="51"/>
      <c r="S867" s="51"/>
      <c r="T867" s="51"/>
      <c r="U867" s="51"/>
      <c r="V867" s="51"/>
      <c r="W867" s="51"/>
      <c r="X867" s="51"/>
      <c r="Y867" s="51"/>
      <c r="Z867" s="51"/>
      <c r="AA867" s="51"/>
      <c r="AB867" s="51"/>
    </row>
    <row r="868" customFormat="false" ht="15.75" hidden="false" customHeight="false" outlineLevel="0" collapsed="false">
      <c r="A868" s="51"/>
      <c r="B868" s="51"/>
      <c r="C868" s="6"/>
      <c r="D868" s="49"/>
      <c r="E868" s="51"/>
      <c r="F868" s="6"/>
      <c r="G868" s="6"/>
      <c r="H868" s="6"/>
      <c r="I868" s="6"/>
      <c r="J868" s="6"/>
      <c r="K868" s="51"/>
      <c r="L868" s="51"/>
      <c r="M868" s="51"/>
      <c r="N868" s="51"/>
      <c r="O868" s="51"/>
      <c r="P868" s="51"/>
      <c r="Q868" s="51"/>
      <c r="R868" s="51"/>
      <c r="S868" s="51"/>
      <c r="T868" s="51"/>
      <c r="U868" s="51"/>
      <c r="V868" s="51"/>
      <c r="W868" s="51"/>
      <c r="X868" s="51"/>
      <c r="Y868" s="51"/>
      <c r="Z868" s="51"/>
      <c r="AA868" s="51"/>
      <c r="AB868" s="51"/>
    </row>
    <row r="869" customFormat="false" ht="15.75" hidden="false" customHeight="false" outlineLevel="0" collapsed="false">
      <c r="A869" s="51"/>
      <c r="B869" s="51"/>
      <c r="C869" s="6"/>
      <c r="D869" s="49"/>
      <c r="E869" s="51"/>
      <c r="F869" s="6"/>
      <c r="G869" s="6"/>
      <c r="H869" s="6"/>
      <c r="I869" s="6"/>
      <c r="J869" s="6"/>
      <c r="K869" s="51"/>
      <c r="L869" s="51"/>
      <c r="M869" s="51"/>
      <c r="N869" s="51"/>
      <c r="O869" s="51"/>
      <c r="P869" s="51"/>
      <c r="Q869" s="51"/>
      <c r="R869" s="51"/>
      <c r="S869" s="51"/>
      <c r="T869" s="51"/>
      <c r="U869" s="51"/>
      <c r="V869" s="51"/>
      <c r="W869" s="51"/>
      <c r="X869" s="51"/>
      <c r="Y869" s="51"/>
      <c r="Z869" s="51"/>
      <c r="AA869" s="51"/>
      <c r="AB869" s="51"/>
    </row>
    <row r="870" customFormat="false" ht="15.75" hidden="false" customHeight="false" outlineLevel="0" collapsed="false">
      <c r="A870" s="51"/>
      <c r="B870" s="51"/>
      <c r="C870" s="6"/>
      <c r="D870" s="49"/>
      <c r="E870" s="51"/>
      <c r="F870" s="6"/>
      <c r="G870" s="6"/>
      <c r="H870" s="6"/>
      <c r="I870" s="6"/>
      <c r="J870" s="6"/>
      <c r="K870" s="51"/>
      <c r="L870" s="51"/>
      <c r="M870" s="51"/>
      <c r="N870" s="51"/>
      <c r="O870" s="51"/>
      <c r="P870" s="51"/>
      <c r="Q870" s="51"/>
      <c r="R870" s="51"/>
      <c r="S870" s="51"/>
      <c r="T870" s="51"/>
      <c r="U870" s="51"/>
      <c r="V870" s="51"/>
      <c r="W870" s="51"/>
      <c r="X870" s="51"/>
      <c r="Y870" s="51"/>
      <c r="Z870" s="51"/>
      <c r="AA870" s="51"/>
      <c r="AB870" s="51"/>
    </row>
    <row r="871" customFormat="false" ht="15.75" hidden="false" customHeight="false" outlineLevel="0" collapsed="false">
      <c r="A871" s="51"/>
      <c r="B871" s="51"/>
      <c r="C871" s="6"/>
      <c r="D871" s="49"/>
      <c r="E871" s="51"/>
      <c r="F871" s="6"/>
      <c r="G871" s="6"/>
      <c r="H871" s="6"/>
      <c r="I871" s="6"/>
      <c r="J871" s="6"/>
      <c r="K871" s="51"/>
      <c r="L871" s="51"/>
      <c r="M871" s="51"/>
      <c r="N871" s="51"/>
      <c r="O871" s="51"/>
      <c r="P871" s="51"/>
      <c r="Q871" s="51"/>
      <c r="R871" s="51"/>
      <c r="S871" s="51"/>
      <c r="T871" s="51"/>
      <c r="U871" s="51"/>
      <c r="V871" s="51"/>
      <c r="W871" s="51"/>
      <c r="X871" s="51"/>
      <c r="Y871" s="51"/>
      <c r="Z871" s="51"/>
      <c r="AA871" s="51"/>
      <c r="AB871" s="51"/>
    </row>
    <row r="872" customFormat="false" ht="15.75" hidden="false" customHeight="false" outlineLevel="0" collapsed="false">
      <c r="A872" s="51"/>
      <c r="B872" s="51"/>
      <c r="C872" s="6"/>
      <c r="D872" s="49"/>
      <c r="E872" s="51"/>
      <c r="F872" s="6"/>
      <c r="G872" s="6"/>
      <c r="H872" s="6"/>
      <c r="I872" s="6"/>
      <c r="J872" s="6"/>
      <c r="K872" s="51"/>
      <c r="L872" s="51"/>
      <c r="M872" s="51"/>
      <c r="N872" s="51"/>
      <c r="O872" s="51"/>
      <c r="P872" s="51"/>
      <c r="Q872" s="51"/>
      <c r="R872" s="51"/>
      <c r="S872" s="51"/>
      <c r="T872" s="51"/>
      <c r="U872" s="51"/>
      <c r="V872" s="51"/>
      <c r="W872" s="51"/>
      <c r="X872" s="51"/>
      <c r="Y872" s="51"/>
      <c r="Z872" s="51"/>
      <c r="AA872" s="51"/>
      <c r="AB872" s="51"/>
    </row>
    <row r="873" customFormat="false" ht="15.75" hidden="false" customHeight="false" outlineLevel="0" collapsed="false">
      <c r="A873" s="51"/>
      <c r="B873" s="51"/>
      <c r="C873" s="6"/>
      <c r="D873" s="49"/>
      <c r="E873" s="51"/>
      <c r="F873" s="6"/>
      <c r="G873" s="6"/>
      <c r="H873" s="6"/>
      <c r="I873" s="6"/>
      <c r="J873" s="6"/>
      <c r="K873" s="51"/>
      <c r="L873" s="51"/>
      <c r="M873" s="51"/>
      <c r="N873" s="51"/>
      <c r="O873" s="51"/>
      <c r="P873" s="51"/>
      <c r="Q873" s="51"/>
      <c r="R873" s="51"/>
      <c r="S873" s="51"/>
      <c r="T873" s="51"/>
      <c r="U873" s="51"/>
      <c r="V873" s="51"/>
      <c r="W873" s="51"/>
      <c r="X873" s="51"/>
      <c r="Y873" s="51"/>
      <c r="Z873" s="51"/>
      <c r="AA873" s="51"/>
      <c r="AB873" s="51"/>
    </row>
    <row r="874" customFormat="false" ht="15.75" hidden="false" customHeight="false" outlineLevel="0" collapsed="false">
      <c r="A874" s="51"/>
      <c r="B874" s="51"/>
      <c r="C874" s="6"/>
      <c r="D874" s="49"/>
      <c r="E874" s="51"/>
      <c r="F874" s="6"/>
      <c r="G874" s="6"/>
      <c r="H874" s="6"/>
      <c r="I874" s="6"/>
      <c r="J874" s="6"/>
      <c r="K874" s="51"/>
      <c r="L874" s="51"/>
      <c r="M874" s="51"/>
      <c r="N874" s="51"/>
      <c r="O874" s="51"/>
      <c r="P874" s="51"/>
      <c r="Q874" s="51"/>
      <c r="R874" s="51"/>
      <c r="S874" s="51"/>
      <c r="T874" s="51"/>
      <c r="U874" s="51"/>
      <c r="V874" s="51"/>
      <c r="W874" s="51"/>
      <c r="X874" s="51"/>
      <c r="Y874" s="51"/>
      <c r="Z874" s="51"/>
      <c r="AA874" s="51"/>
      <c r="AB874" s="51"/>
    </row>
    <row r="875" customFormat="false" ht="15.75" hidden="false" customHeight="false" outlineLevel="0" collapsed="false">
      <c r="A875" s="51"/>
      <c r="B875" s="51"/>
      <c r="C875" s="6"/>
      <c r="D875" s="49"/>
      <c r="E875" s="51"/>
      <c r="F875" s="6"/>
      <c r="G875" s="6"/>
      <c r="H875" s="6"/>
      <c r="I875" s="6"/>
      <c r="J875" s="6"/>
      <c r="K875" s="51"/>
      <c r="L875" s="51"/>
      <c r="M875" s="51"/>
      <c r="N875" s="51"/>
      <c r="O875" s="51"/>
      <c r="P875" s="51"/>
      <c r="Q875" s="51"/>
      <c r="R875" s="51"/>
      <c r="S875" s="51"/>
      <c r="T875" s="51"/>
      <c r="U875" s="51"/>
      <c r="V875" s="51"/>
      <c r="W875" s="51"/>
      <c r="X875" s="51"/>
      <c r="Y875" s="51"/>
      <c r="Z875" s="51"/>
      <c r="AA875" s="51"/>
      <c r="AB875" s="51"/>
    </row>
    <row r="876" customFormat="false" ht="15.75" hidden="false" customHeight="false" outlineLevel="0" collapsed="false">
      <c r="A876" s="51"/>
      <c r="B876" s="51"/>
      <c r="C876" s="6"/>
      <c r="D876" s="49"/>
      <c r="E876" s="51"/>
      <c r="F876" s="6"/>
      <c r="G876" s="6"/>
      <c r="H876" s="6"/>
      <c r="I876" s="6"/>
      <c r="J876" s="6"/>
      <c r="K876" s="51"/>
      <c r="L876" s="51"/>
      <c r="M876" s="51"/>
      <c r="N876" s="51"/>
      <c r="O876" s="51"/>
      <c r="P876" s="51"/>
      <c r="Q876" s="51"/>
      <c r="R876" s="51"/>
      <c r="S876" s="51"/>
      <c r="T876" s="51"/>
      <c r="U876" s="51"/>
      <c r="V876" s="51"/>
      <c r="W876" s="51"/>
      <c r="X876" s="51"/>
      <c r="Y876" s="51"/>
      <c r="Z876" s="51"/>
      <c r="AA876" s="51"/>
      <c r="AB876" s="51"/>
    </row>
    <row r="877" customFormat="false" ht="15.75" hidden="false" customHeight="false" outlineLevel="0" collapsed="false">
      <c r="A877" s="51"/>
      <c r="B877" s="51"/>
      <c r="C877" s="6"/>
      <c r="D877" s="49"/>
      <c r="E877" s="51"/>
      <c r="F877" s="6"/>
      <c r="G877" s="6"/>
      <c r="H877" s="6"/>
      <c r="I877" s="6"/>
      <c r="J877" s="6"/>
      <c r="K877" s="51"/>
      <c r="L877" s="51"/>
      <c r="M877" s="51"/>
      <c r="N877" s="51"/>
      <c r="O877" s="51"/>
      <c r="P877" s="51"/>
      <c r="Q877" s="51"/>
      <c r="R877" s="51"/>
      <c r="S877" s="51"/>
      <c r="T877" s="51"/>
      <c r="U877" s="51"/>
      <c r="V877" s="51"/>
      <c r="W877" s="51"/>
      <c r="X877" s="51"/>
      <c r="Y877" s="51"/>
      <c r="Z877" s="51"/>
      <c r="AA877" s="51"/>
      <c r="AB877" s="51"/>
    </row>
    <row r="878" customFormat="false" ht="15.75" hidden="false" customHeight="false" outlineLevel="0" collapsed="false">
      <c r="A878" s="51"/>
      <c r="B878" s="51"/>
      <c r="C878" s="6"/>
      <c r="D878" s="49"/>
      <c r="E878" s="51"/>
      <c r="F878" s="6"/>
      <c r="G878" s="6"/>
      <c r="H878" s="6"/>
      <c r="I878" s="6"/>
      <c r="J878" s="6"/>
      <c r="K878" s="51"/>
      <c r="L878" s="51"/>
      <c r="M878" s="51"/>
      <c r="N878" s="51"/>
      <c r="O878" s="51"/>
      <c r="P878" s="51"/>
      <c r="Q878" s="51"/>
      <c r="R878" s="51"/>
      <c r="S878" s="51"/>
      <c r="T878" s="51"/>
      <c r="U878" s="51"/>
      <c r="V878" s="51"/>
      <c r="W878" s="51"/>
      <c r="X878" s="51"/>
      <c r="Y878" s="51"/>
      <c r="Z878" s="51"/>
      <c r="AA878" s="51"/>
      <c r="AB878" s="51"/>
    </row>
    <row r="879" customFormat="false" ht="15.75" hidden="false" customHeight="false" outlineLevel="0" collapsed="false">
      <c r="A879" s="51"/>
      <c r="B879" s="51"/>
      <c r="C879" s="6"/>
      <c r="D879" s="49"/>
      <c r="E879" s="51"/>
      <c r="F879" s="6"/>
      <c r="G879" s="6"/>
      <c r="H879" s="6"/>
      <c r="I879" s="6"/>
      <c r="J879" s="6"/>
      <c r="K879" s="51"/>
      <c r="L879" s="51"/>
      <c r="M879" s="51"/>
      <c r="N879" s="51"/>
      <c r="O879" s="51"/>
      <c r="P879" s="51"/>
      <c r="Q879" s="51"/>
      <c r="R879" s="51"/>
      <c r="S879" s="51"/>
      <c r="T879" s="51"/>
      <c r="U879" s="51"/>
      <c r="V879" s="51"/>
      <c r="W879" s="51"/>
      <c r="X879" s="51"/>
      <c r="Y879" s="51"/>
      <c r="Z879" s="51"/>
      <c r="AA879" s="51"/>
      <c r="AB879" s="51"/>
    </row>
    <row r="880" customFormat="false" ht="15.75" hidden="false" customHeight="false" outlineLevel="0" collapsed="false">
      <c r="A880" s="51"/>
      <c r="B880" s="51"/>
      <c r="C880" s="6"/>
      <c r="D880" s="49"/>
      <c r="E880" s="51"/>
      <c r="F880" s="6"/>
      <c r="G880" s="6"/>
      <c r="H880" s="6"/>
      <c r="I880" s="6"/>
      <c r="J880" s="6"/>
      <c r="K880" s="51"/>
      <c r="L880" s="51"/>
      <c r="M880" s="51"/>
      <c r="N880" s="51"/>
      <c r="O880" s="51"/>
      <c r="P880" s="51"/>
      <c r="Q880" s="51"/>
      <c r="R880" s="51"/>
      <c r="S880" s="51"/>
      <c r="T880" s="51"/>
      <c r="U880" s="51"/>
      <c r="V880" s="51"/>
      <c r="W880" s="51"/>
      <c r="X880" s="51"/>
      <c r="Y880" s="51"/>
      <c r="Z880" s="51"/>
      <c r="AA880" s="51"/>
      <c r="AB880" s="51"/>
    </row>
    <row r="881" customFormat="false" ht="15.75" hidden="false" customHeight="false" outlineLevel="0" collapsed="false">
      <c r="A881" s="51"/>
      <c r="B881" s="51"/>
      <c r="C881" s="6"/>
      <c r="D881" s="49"/>
      <c r="E881" s="51"/>
      <c r="F881" s="6"/>
      <c r="G881" s="6"/>
      <c r="H881" s="6"/>
      <c r="I881" s="6"/>
      <c r="J881" s="6"/>
      <c r="K881" s="51"/>
      <c r="L881" s="51"/>
      <c r="M881" s="51"/>
      <c r="N881" s="51"/>
      <c r="O881" s="51"/>
      <c r="P881" s="51"/>
      <c r="Q881" s="51"/>
      <c r="R881" s="51"/>
      <c r="S881" s="51"/>
      <c r="T881" s="51"/>
      <c r="U881" s="51"/>
      <c r="V881" s="51"/>
      <c r="W881" s="51"/>
      <c r="X881" s="51"/>
      <c r="Y881" s="51"/>
      <c r="Z881" s="51"/>
      <c r="AA881" s="51"/>
      <c r="AB881" s="51"/>
    </row>
    <row r="882" customFormat="false" ht="15.75" hidden="false" customHeight="false" outlineLevel="0" collapsed="false">
      <c r="A882" s="51"/>
      <c r="B882" s="51"/>
      <c r="C882" s="6"/>
      <c r="D882" s="49"/>
      <c r="E882" s="51"/>
      <c r="F882" s="6"/>
      <c r="G882" s="6"/>
      <c r="H882" s="6"/>
      <c r="I882" s="6"/>
      <c r="J882" s="6"/>
      <c r="K882" s="51"/>
      <c r="L882" s="51"/>
      <c r="M882" s="51"/>
      <c r="N882" s="51"/>
      <c r="O882" s="51"/>
      <c r="P882" s="51"/>
      <c r="Q882" s="51"/>
      <c r="R882" s="51"/>
      <c r="S882" s="51"/>
      <c r="T882" s="51"/>
      <c r="U882" s="51"/>
      <c r="V882" s="51"/>
      <c r="W882" s="51"/>
      <c r="X882" s="51"/>
      <c r="Y882" s="51"/>
      <c r="Z882" s="51"/>
      <c r="AA882" s="51"/>
      <c r="AB882" s="51"/>
    </row>
    <row r="883" customFormat="false" ht="15.75" hidden="false" customHeight="false" outlineLevel="0" collapsed="false">
      <c r="A883" s="51"/>
      <c r="B883" s="51"/>
      <c r="C883" s="6"/>
      <c r="D883" s="49"/>
      <c r="E883" s="51"/>
      <c r="F883" s="6"/>
      <c r="G883" s="6"/>
      <c r="H883" s="6"/>
      <c r="I883" s="6"/>
      <c r="J883" s="6"/>
      <c r="K883" s="51"/>
      <c r="L883" s="51"/>
      <c r="M883" s="51"/>
      <c r="N883" s="51"/>
      <c r="O883" s="51"/>
      <c r="P883" s="51"/>
      <c r="Q883" s="51"/>
      <c r="R883" s="51"/>
      <c r="S883" s="51"/>
      <c r="T883" s="51"/>
      <c r="U883" s="51"/>
      <c r="V883" s="51"/>
      <c r="W883" s="51"/>
      <c r="X883" s="51"/>
      <c r="Y883" s="51"/>
      <c r="Z883" s="51"/>
      <c r="AA883" s="51"/>
      <c r="AB883" s="51"/>
    </row>
    <row r="884" customFormat="false" ht="15.75" hidden="false" customHeight="false" outlineLevel="0" collapsed="false">
      <c r="A884" s="51"/>
      <c r="B884" s="51"/>
      <c r="C884" s="6"/>
      <c r="D884" s="49"/>
      <c r="E884" s="51"/>
      <c r="F884" s="6"/>
      <c r="G884" s="6"/>
      <c r="H884" s="6"/>
      <c r="I884" s="6"/>
      <c r="J884" s="6"/>
      <c r="K884" s="51"/>
      <c r="L884" s="51"/>
      <c r="M884" s="51"/>
      <c r="N884" s="51"/>
      <c r="O884" s="51"/>
      <c r="P884" s="51"/>
      <c r="Q884" s="51"/>
      <c r="R884" s="51"/>
      <c r="S884" s="51"/>
      <c r="T884" s="51"/>
      <c r="U884" s="51"/>
      <c r="V884" s="51"/>
      <c r="W884" s="51"/>
      <c r="X884" s="51"/>
      <c r="Y884" s="51"/>
      <c r="Z884" s="51"/>
      <c r="AA884" s="51"/>
      <c r="AB884" s="51"/>
    </row>
    <row r="885" customFormat="false" ht="15.75" hidden="false" customHeight="false" outlineLevel="0" collapsed="false">
      <c r="A885" s="51"/>
      <c r="B885" s="51"/>
      <c r="C885" s="6"/>
      <c r="D885" s="49"/>
      <c r="E885" s="51"/>
      <c r="F885" s="6"/>
      <c r="G885" s="6"/>
      <c r="H885" s="6"/>
      <c r="I885" s="6"/>
      <c r="J885" s="6"/>
      <c r="K885" s="51"/>
      <c r="L885" s="51"/>
      <c r="M885" s="51"/>
      <c r="N885" s="51"/>
      <c r="O885" s="51"/>
      <c r="P885" s="51"/>
      <c r="Q885" s="51"/>
      <c r="R885" s="51"/>
      <c r="S885" s="51"/>
      <c r="T885" s="51"/>
      <c r="U885" s="51"/>
      <c r="V885" s="51"/>
      <c r="W885" s="51"/>
      <c r="X885" s="51"/>
      <c r="Y885" s="51"/>
      <c r="Z885" s="51"/>
      <c r="AA885" s="51"/>
      <c r="AB885" s="51"/>
    </row>
    <row r="886" customFormat="false" ht="15.75" hidden="false" customHeight="false" outlineLevel="0" collapsed="false">
      <c r="A886" s="51"/>
      <c r="B886" s="51"/>
      <c r="C886" s="6"/>
      <c r="D886" s="49"/>
      <c r="E886" s="51"/>
      <c r="F886" s="6"/>
      <c r="G886" s="6"/>
      <c r="H886" s="6"/>
      <c r="I886" s="6"/>
      <c r="J886" s="6"/>
      <c r="K886" s="51"/>
      <c r="L886" s="51"/>
      <c r="M886" s="51"/>
      <c r="N886" s="51"/>
      <c r="O886" s="51"/>
      <c r="P886" s="51"/>
      <c r="Q886" s="51"/>
      <c r="R886" s="51"/>
      <c r="S886" s="51"/>
      <c r="T886" s="51"/>
      <c r="U886" s="51"/>
      <c r="V886" s="51"/>
      <c r="W886" s="51"/>
      <c r="X886" s="51"/>
      <c r="Y886" s="51"/>
      <c r="Z886" s="51"/>
      <c r="AA886" s="51"/>
      <c r="AB886" s="51"/>
    </row>
    <row r="887" customFormat="false" ht="15.75" hidden="false" customHeight="false" outlineLevel="0" collapsed="false">
      <c r="A887" s="51"/>
      <c r="B887" s="51"/>
      <c r="C887" s="6"/>
      <c r="D887" s="49"/>
      <c r="E887" s="51"/>
      <c r="F887" s="6"/>
      <c r="G887" s="6"/>
      <c r="H887" s="6"/>
      <c r="I887" s="6"/>
      <c r="J887" s="6"/>
      <c r="K887" s="51"/>
      <c r="L887" s="51"/>
      <c r="M887" s="51"/>
      <c r="N887" s="51"/>
      <c r="O887" s="51"/>
      <c r="P887" s="51"/>
      <c r="Q887" s="51"/>
      <c r="R887" s="51"/>
      <c r="S887" s="51"/>
      <c r="T887" s="51"/>
      <c r="U887" s="51"/>
      <c r="V887" s="51"/>
      <c r="W887" s="51"/>
      <c r="X887" s="51"/>
      <c r="Y887" s="51"/>
      <c r="Z887" s="51"/>
      <c r="AA887" s="51"/>
      <c r="AB887" s="51"/>
    </row>
    <row r="888" customFormat="false" ht="15.75" hidden="false" customHeight="false" outlineLevel="0" collapsed="false">
      <c r="A888" s="51"/>
      <c r="B888" s="51"/>
      <c r="C888" s="6"/>
      <c r="D888" s="49"/>
      <c r="E888" s="51"/>
      <c r="F888" s="6"/>
      <c r="G888" s="6"/>
      <c r="H888" s="6"/>
      <c r="I888" s="6"/>
      <c r="J888" s="6"/>
      <c r="K888" s="51"/>
      <c r="L888" s="51"/>
      <c r="M888" s="51"/>
      <c r="N888" s="51"/>
      <c r="O888" s="51"/>
      <c r="P888" s="51"/>
      <c r="Q888" s="51"/>
      <c r="R888" s="51"/>
      <c r="S888" s="51"/>
      <c r="T888" s="51"/>
      <c r="U888" s="51"/>
      <c r="V888" s="51"/>
      <c r="W888" s="51"/>
      <c r="X888" s="51"/>
      <c r="Y888" s="51"/>
      <c r="Z888" s="51"/>
      <c r="AA888" s="51"/>
      <c r="AB888" s="51"/>
    </row>
    <row r="889" customFormat="false" ht="15.75" hidden="false" customHeight="false" outlineLevel="0" collapsed="false">
      <c r="A889" s="51"/>
      <c r="B889" s="51"/>
      <c r="C889" s="6"/>
      <c r="D889" s="49"/>
      <c r="E889" s="51"/>
      <c r="F889" s="6"/>
      <c r="G889" s="6"/>
      <c r="H889" s="6"/>
      <c r="I889" s="6"/>
      <c r="J889" s="6"/>
      <c r="K889" s="51"/>
      <c r="L889" s="51"/>
      <c r="M889" s="51"/>
      <c r="N889" s="51"/>
      <c r="O889" s="51"/>
      <c r="P889" s="51"/>
      <c r="Q889" s="51"/>
      <c r="R889" s="51"/>
      <c r="S889" s="51"/>
      <c r="T889" s="51"/>
      <c r="U889" s="51"/>
      <c r="V889" s="51"/>
      <c r="W889" s="51"/>
      <c r="X889" s="51"/>
      <c r="Y889" s="51"/>
      <c r="Z889" s="51"/>
      <c r="AA889" s="51"/>
      <c r="AB889" s="51"/>
    </row>
    <row r="890" customFormat="false" ht="15.75" hidden="false" customHeight="false" outlineLevel="0" collapsed="false">
      <c r="A890" s="51"/>
      <c r="B890" s="51"/>
      <c r="C890" s="6"/>
      <c r="D890" s="49"/>
      <c r="E890" s="51"/>
      <c r="F890" s="6"/>
      <c r="G890" s="6"/>
      <c r="H890" s="6"/>
      <c r="I890" s="6"/>
      <c r="J890" s="6"/>
      <c r="K890" s="51"/>
      <c r="L890" s="51"/>
      <c r="M890" s="51"/>
      <c r="N890" s="51"/>
      <c r="O890" s="51"/>
      <c r="P890" s="51"/>
      <c r="Q890" s="51"/>
      <c r="R890" s="51"/>
      <c r="S890" s="51"/>
      <c r="T890" s="51"/>
      <c r="U890" s="51"/>
      <c r="V890" s="51"/>
      <c r="W890" s="51"/>
      <c r="X890" s="51"/>
      <c r="Y890" s="51"/>
      <c r="Z890" s="51"/>
      <c r="AA890" s="51"/>
      <c r="AB890" s="51"/>
    </row>
    <row r="891" customFormat="false" ht="15.75" hidden="false" customHeight="false" outlineLevel="0" collapsed="false">
      <c r="A891" s="51"/>
      <c r="B891" s="51"/>
      <c r="C891" s="6"/>
      <c r="D891" s="49"/>
      <c r="E891" s="51"/>
      <c r="F891" s="6"/>
      <c r="G891" s="6"/>
      <c r="H891" s="6"/>
      <c r="I891" s="6"/>
      <c r="J891" s="6"/>
      <c r="K891" s="51"/>
      <c r="L891" s="51"/>
      <c r="M891" s="51"/>
      <c r="N891" s="51"/>
      <c r="O891" s="51"/>
      <c r="P891" s="51"/>
      <c r="Q891" s="51"/>
      <c r="R891" s="51"/>
      <c r="S891" s="51"/>
      <c r="T891" s="51"/>
      <c r="U891" s="51"/>
      <c r="V891" s="51"/>
      <c r="W891" s="51"/>
      <c r="X891" s="51"/>
      <c r="Y891" s="51"/>
      <c r="Z891" s="51"/>
      <c r="AA891" s="51"/>
      <c r="AB891" s="51"/>
    </row>
    <row r="892" customFormat="false" ht="15.75" hidden="false" customHeight="false" outlineLevel="0" collapsed="false">
      <c r="A892" s="51"/>
      <c r="B892" s="51"/>
      <c r="C892" s="6"/>
      <c r="D892" s="49"/>
      <c r="E892" s="51"/>
      <c r="F892" s="6"/>
      <c r="G892" s="6"/>
      <c r="H892" s="6"/>
      <c r="I892" s="6"/>
      <c r="J892" s="6"/>
      <c r="K892" s="51"/>
      <c r="L892" s="51"/>
      <c r="M892" s="51"/>
      <c r="N892" s="51"/>
      <c r="O892" s="51"/>
      <c r="P892" s="51"/>
      <c r="Q892" s="51"/>
      <c r="R892" s="51"/>
      <c r="S892" s="51"/>
      <c r="T892" s="51"/>
      <c r="U892" s="51"/>
      <c r="V892" s="51"/>
      <c r="W892" s="51"/>
      <c r="X892" s="51"/>
      <c r="Y892" s="51"/>
      <c r="Z892" s="51"/>
      <c r="AA892" s="51"/>
      <c r="AB892" s="51"/>
    </row>
    <row r="893" customFormat="false" ht="15.75" hidden="false" customHeight="false" outlineLevel="0" collapsed="false">
      <c r="A893" s="51"/>
      <c r="B893" s="51"/>
      <c r="C893" s="6"/>
      <c r="D893" s="49"/>
      <c r="E893" s="51"/>
      <c r="F893" s="6"/>
      <c r="G893" s="6"/>
      <c r="H893" s="6"/>
      <c r="I893" s="6"/>
      <c r="J893" s="6"/>
      <c r="K893" s="51"/>
      <c r="L893" s="51"/>
      <c r="M893" s="51"/>
      <c r="N893" s="51"/>
      <c r="O893" s="51"/>
      <c r="P893" s="51"/>
      <c r="Q893" s="51"/>
      <c r="R893" s="51"/>
      <c r="S893" s="51"/>
      <c r="T893" s="51"/>
      <c r="U893" s="51"/>
      <c r="V893" s="51"/>
      <c r="W893" s="51"/>
      <c r="X893" s="51"/>
      <c r="Y893" s="51"/>
      <c r="Z893" s="51"/>
      <c r="AA893" s="51"/>
      <c r="AB893" s="51"/>
    </row>
    <row r="894" customFormat="false" ht="15.75" hidden="false" customHeight="false" outlineLevel="0" collapsed="false">
      <c r="A894" s="51"/>
      <c r="B894" s="51"/>
      <c r="C894" s="6"/>
      <c r="D894" s="49"/>
      <c r="E894" s="51"/>
      <c r="F894" s="6"/>
      <c r="G894" s="6"/>
      <c r="H894" s="6"/>
      <c r="I894" s="6"/>
      <c r="J894" s="6"/>
      <c r="K894" s="51"/>
      <c r="L894" s="51"/>
      <c r="M894" s="51"/>
      <c r="N894" s="51"/>
      <c r="O894" s="51"/>
      <c r="P894" s="51"/>
      <c r="Q894" s="51"/>
      <c r="R894" s="51"/>
      <c r="S894" s="51"/>
      <c r="T894" s="51"/>
      <c r="U894" s="51"/>
      <c r="V894" s="51"/>
      <c r="W894" s="51"/>
      <c r="X894" s="51"/>
      <c r="Y894" s="51"/>
      <c r="Z894" s="51"/>
      <c r="AA894" s="51"/>
      <c r="AB894" s="51"/>
    </row>
    <row r="895" customFormat="false" ht="15.75" hidden="false" customHeight="false" outlineLevel="0" collapsed="false">
      <c r="A895" s="51"/>
      <c r="B895" s="51"/>
      <c r="C895" s="6"/>
      <c r="D895" s="49"/>
      <c r="E895" s="51"/>
      <c r="F895" s="6"/>
      <c r="G895" s="6"/>
      <c r="H895" s="6"/>
      <c r="I895" s="6"/>
      <c r="J895" s="6"/>
      <c r="K895" s="51"/>
      <c r="L895" s="51"/>
      <c r="M895" s="51"/>
      <c r="N895" s="51"/>
      <c r="O895" s="51"/>
      <c r="P895" s="51"/>
      <c r="Q895" s="51"/>
      <c r="R895" s="51"/>
      <c r="S895" s="51"/>
      <c r="T895" s="51"/>
      <c r="U895" s="51"/>
      <c r="V895" s="51"/>
      <c r="W895" s="51"/>
      <c r="X895" s="51"/>
      <c r="Y895" s="51"/>
      <c r="Z895" s="51"/>
      <c r="AA895" s="51"/>
      <c r="AB895" s="51"/>
    </row>
    <row r="896" customFormat="false" ht="15.75" hidden="false" customHeight="false" outlineLevel="0" collapsed="false">
      <c r="A896" s="51"/>
      <c r="B896" s="51"/>
      <c r="C896" s="6"/>
      <c r="D896" s="49"/>
      <c r="E896" s="51"/>
      <c r="F896" s="6"/>
      <c r="G896" s="6"/>
      <c r="H896" s="6"/>
      <c r="I896" s="6"/>
      <c r="J896" s="6"/>
      <c r="K896" s="51"/>
      <c r="L896" s="51"/>
      <c r="M896" s="51"/>
      <c r="N896" s="51"/>
      <c r="O896" s="51"/>
      <c r="P896" s="51"/>
      <c r="Q896" s="51"/>
      <c r="R896" s="51"/>
      <c r="S896" s="51"/>
      <c r="T896" s="51"/>
      <c r="U896" s="51"/>
      <c r="V896" s="51"/>
      <c r="W896" s="51"/>
      <c r="X896" s="51"/>
      <c r="Y896" s="51"/>
      <c r="Z896" s="51"/>
      <c r="AA896" s="51"/>
      <c r="AB896" s="51"/>
    </row>
    <row r="897" customFormat="false" ht="15.75" hidden="false" customHeight="false" outlineLevel="0" collapsed="false">
      <c r="A897" s="51"/>
      <c r="B897" s="51"/>
      <c r="C897" s="6"/>
      <c r="D897" s="49"/>
      <c r="E897" s="51"/>
      <c r="F897" s="6"/>
      <c r="G897" s="6"/>
      <c r="H897" s="6"/>
      <c r="I897" s="6"/>
      <c r="J897" s="6"/>
      <c r="K897" s="51"/>
      <c r="L897" s="51"/>
      <c r="M897" s="51"/>
      <c r="N897" s="51"/>
      <c r="O897" s="51"/>
      <c r="P897" s="51"/>
      <c r="Q897" s="51"/>
      <c r="R897" s="51"/>
      <c r="S897" s="51"/>
      <c r="T897" s="51"/>
      <c r="U897" s="51"/>
      <c r="V897" s="51"/>
      <c r="W897" s="51"/>
      <c r="X897" s="51"/>
      <c r="Y897" s="51"/>
      <c r="Z897" s="51"/>
      <c r="AA897" s="51"/>
      <c r="AB897" s="51"/>
    </row>
    <row r="898" customFormat="false" ht="15.75" hidden="false" customHeight="false" outlineLevel="0" collapsed="false">
      <c r="A898" s="51"/>
      <c r="B898" s="51"/>
      <c r="C898" s="6"/>
      <c r="D898" s="49"/>
      <c r="E898" s="51"/>
      <c r="F898" s="6"/>
      <c r="G898" s="6"/>
      <c r="H898" s="6"/>
      <c r="I898" s="6"/>
      <c r="J898" s="6"/>
      <c r="K898" s="51"/>
      <c r="L898" s="51"/>
      <c r="M898" s="51"/>
      <c r="N898" s="51"/>
      <c r="O898" s="51"/>
      <c r="P898" s="51"/>
      <c r="Q898" s="51"/>
      <c r="R898" s="51"/>
      <c r="S898" s="51"/>
      <c r="T898" s="51"/>
      <c r="U898" s="51"/>
      <c r="V898" s="51"/>
      <c r="W898" s="51"/>
      <c r="X898" s="51"/>
      <c r="Y898" s="51"/>
      <c r="Z898" s="51"/>
      <c r="AA898" s="51"/>
      <c r="AB898" s="51"/>
    </row>
    <row r="899" customFormat="false" ht="15.75" hidden="false" customHeight="false" outlineLevel="0" collapsed="false">
      <c r="A899" s="51"/>
      <c r="B899" s="51"/>
      <c r="C899" s="6"/>
      <c r="D899" s="49"/>
      <c r="E899" s="51"/>
      <c r="F899" s="6"/>
      <c r="G899" s="6"/>
      <c r="H899" s="6"/>
      <c r="I899" s="6"/>
      <c r="J899" s="6"/>
      <c r="K899" s="51"/>
      <c r="L899" s="51"/>
      <c r="M899" s="51"/>
      <c r="N899" s="51"/>
      <c r="O899" s="51"/>
      <c r="P899" s="51"/>
      <c r="Q899" s="51"/>
      <c r="R899" s="51"/>
      <c r="S899" s="51"/>
      <c r="T899" s="51"/>
      <c r="U899" s="51"/>
      <c r="V899" s="51"/>
      <c r="W899" s="51"/>
      <c r="X899" s="51"/>
      <c r="Y899" s="51"/>
      <c r="Z899" s="51"/>
      <c r="AA899" s="51"/>
      <c r="AB899" s="51"/>
    </row>
    <row r="900" customFormat="false" ht="15.75" hidden="false" customHeight="false" outlineLevel="0" collapsed="false">
      <c r="A900" s="51"/>
      <c r="B900" s="51"/>
      <c r="C900" s="6"/>
      <c r="D900" s="49"/>
      <c r="E900" s="51"/>
      <c r="F900" s="6"/>
      <c r="G900" s="6"/>
      <c r="H900" s="6"/>
      <c r="I900" s="6"/>
      <c r="J900" s="6"/>
      <c r="K900" s="51"/>
      <c r="L900" s="51"/>
      <c r="M900" s="51"/>
      <c r="N900" s="51"/>
      <c r="O900" s="51"/>
      <c r="P900" s="51"/>
      <c r="Q900" s="51"/>
      <c r="R900" s="51"/>
      <c r="S900" s="51"/>
      <c r="T900" s="51"/>
      <c r="U900" s="51"/>
      <c r="V900" s="51"/>
      <c r="W900" s="51"/>
      <c r="X900" s="51"/>
      <c r="Y900" s="51"/>
      <c r="Z900" s="51"/>
      <c r="AA900" s="51"/>
      <c r="AB900" s="51"/>
    </row>
    <row r="901" customFormat="false" ht="15.75" hidden="false" customHeight="false" outlineLevel="0" collapsed="false">
      <c r="A901" s="51"/>
      <c r="B901" s="51"/>
      <c r="C901" s="6"/>
      <c r="D901" s="49"/>
      <c r="E901" s="51"/>
      <c r="F901" s="6"/>
      <c r="G901" s="6"/>
      <c r="H901" s="6"/>
      <c r="I901" s="6"/>
      <c r="J901" s="6"/>
      <c r="K901" s="51"/>
      <c r="L901" s="51"/>
      <c r="M901" s="51"/>
      <c r="N901" s="51"/>
      <c r="O901" s="51"/>
      <c r="P901" s="51"/>
      <c r="Q901" s="51"/>
      <c r="R901" s="51"/>
      <c r="S901" s="51"/>
      <c r="T901" s="51"/>
      <c r="U901" s="51"/>
      <c r="V901" s="51"/>
      <c r="W901" s="51"/>
      <c r="X901" s="51"/>
      <c r="Y901" s="51"/>
      <c r="Z901" s="51"/>
      <c r="AA901" s="51"/>
      <c r="AB901" s="51"/>
    </row>
    <row r="902" customFormat="false" ht="15.75" hidden="false" customHeight="false" outlineLevel="0" collapsed="false">
      <c r="A902" s="51"/>
      <c r="B902" s="51"/>
      <c r="C902" s="6"/>
      <c r="D902" s="49"/>
      <c r="E902" s="51"/>
      <c r="F902" s="6"/>
      <c r="G902" s="6"/>
      <c r="H902" s="6"/>
      <c r="I902" s="6"/>
      <c r="J902" s="6"/>
      <c r="K902" s="51"/>
      <c r="L902" s="51"/>
      <c r="M902" s="51"/>
      <c r="N902" s="51"/>
      <c r="O902" s="51"/>
      <c r="P902" s="51"/>
      <c r="Q902" s="51"/>
      <c r="R902" s="51"/>
      <c r="S902" s="51"/>
      <c r="T902" s="51"/>
      <c r="U902" s="51"/>
      <c r="V902" s="51"/>
      <c r="W902" s="51"/>
      <c r="X902" s="51"/>
      <c r="Y902" s="51"/>
      <c r="Z902" s="51"/>
      <c r="AA902" s="51"/>
      <c r="AB902" s="51"/>
    </row>
    <row r="903" customFormat="false" ht="15.75" hidden="false" customHeight="false" outlineLevel="0" collapsed="false">
      <c r="A903" s="51"/>
      <c r="B903" s="51"/>
      <c r="C903" s="6"/>
      <c r="D903" s="49"/>
      <c r="E903" s="51"/>
      <c r="F903" s="6"/>
      <c r="G903" s="6"/>
      <c r="H903" s="6"/>
      <c r="I903" s="6"/>
      <c r="J903" s="6"/>
      <c r="K903" s="51"/>
      <c r="L903" s="51"/>
      <c r="M903" s="51"/>
      <c r="N903" s="51"/>
      <c r="O903" s="51"/>
      <c r="P903" s="51"/>
      <c r="Q903" s="51"/>
      <c r="R903" s="51"/>
      <c r="S903" s="51"/>
      <c r="T903" s="51"/>
      <c r="U903" s="51"/>
      <c r="V903" s="51"/>
      <c r="W903" s="51"/>
      <c r="X903" s="51"/>
      <c r="Y903" s="51"/>
      <c r="Z903" s="51"/>
      <c r="AA903" s="51"/>
      <c r="AB903" s="51"/>
    </row>
    <row r="904" customFormat="false" ht="15.75" hidden="false" customHeight="false" outlineLevel="0" collapsed="false">
      <c r="A904" s="51"/>
      <c r="B904" s="51"/>
      <c r="C904" s="6"/>
      <c r="D904" s="49"/>
      <c r="E904" s="51"/>
      <c r="F904" s="6"/>
      <c r="G904" s="6"/>
      <c r="H904" s="6"/>
      <c r="I904" s="6"/>
      <c r="J904" s="6"/>
      <c r="K904" s="51"/>
      <c r="L904" s="51"/>
      <c r="M904" s="51"/>
      <c r="N904" s="51"/>
      <c r="O904" s="51"/>
      <c r="P904" s="51"/>
      <c r="Q904" s="51"/>
      <c r="R904" s="51"/>
      <c r="S904" s="51"/>
      <c r="T904" s="51"/>
      <c r="U904" s="51"/>
      <c r="V904" s="51"/>
      <c r="W904" s="51"/>
      <c r="X904" s="51"/>
      <c r="Y904" s="51"/>
      <c r="Z904" s="51"/>
      <c r="AA904" s="51"/>
      <c r="AB904" s="51"/>
    </row>
    <row r="905" customFormat="false" ht="15.75" hidden="false" customHeight="false" outlineLevel="0" collapsed="false">
      <c r="A905" s="51"/>
      <c r="B905" s="51"/>
      <c r="C905" s="6"/>
      <c r="D905" s="49"/>
      <c r="E905" s="51"/>
      <c r="F905" s="6"/>
      <c r="G905" s="6"/>
      <c r="H905" s="6"/>
      <c r="I905" s="6"/>
      <c r="J905" s="6"/>
      <c r="K905" s="51"/>
      <c r="L905" s="51"/>
      <c r="M905" s="51"/>
      <c r="N905" s="51"/>
      <c r="O905" s="51"/>
      <c r="P905" s="51"/>
      <c r="Q905" s="51"/>
      <c r="R905" s="51"/>
      <c r="S905" s="51"/>
      <c r="T905" s="51"/>
      <c r="U905" s="51"/>
      <c r="V905" s="51"/>
      <c r="W905" s="51"/>
      <c r="X905" s="51"/>
      <c r="Y905" s="51"/>
      <c r="Z905" s="51"/>
      <c r="AA905" s="51"/>
      <c r="AB905" s="51"/>
    </row>
    <row r="906" customFormat="false" ht="15.75" hidden="false" customHeight="false" outlineLevel="0" collapsed="false">
      <c r="A906" s="51"/>
      <c r="B906" s="51"/>
      <c r="C906" s="6"/>
      <c r="D906" s="49"/>
      <c r="E906" s="51"/>
      <c r="F906" s="6"/>
      <c r="G906" s="6"/>
      <c r="H906" s="6"/>
      <c r="I906" s="6"/>
      <c r="J906" s="6"/>
      <c r="K906" s="51"/>
      <c r="L906" s="51"/>
      <c r="M906" s="51"/>
      <c r="N906" s="51"/>
      <c r="O906" s="51"/>
      <c r="P906" s="51"/>
      <c r="Q906" s="51"/>
      <c r="R906" s="51"/>
      <c r="S906" s="51"/>
      <c r="T906" s="51"/>
      <c r="U906" s="51"/>
      <c r="V906" s="51"/>
      <c r="W906" s="51"/>
      <c r="X906" s="51"/>
      <c r="Y906" s="51"/>
      <c r="Z906" s="51"/>
      <c r="AA906" s="51"/>
      <c r="AB906" s="51"/>
    </row>
    <row r="907" customFormat="false" ht="15.75" hidden="false" customHeight="false" outlineLevel="0" collapsed="false">
      <c r="A907" s="51"/>
      <c r="B907" s="51"/>
      <c r="C907" s="6"/>
      <c r="D907" s="49"/>
      <c r="E907" s="51"/>
      <c r="F907" s="6"/>
      <c r="G907" s="6"/>
      <c r="H907" s="6"/>
      <c r="I907" s="6"/>
      <c r="J907" s="6"/>
      <c r="K907" s="51"/>
      <c r="L907" s="51"/>
      <c r="M907" s="51"/>
      <c r="N907" s="51"/>
      <c r="O907" s="51"/>
      <c r="P907" s="51"/>
      <c r="Q907" s="51"/>
      <c r="R907" s="51"/>
      <c r="S907" s="51"/>
      <c r="T907" s="51"/>
      <c r="U907" s="51"/>
      <c r="V907" s="51"/>
      <c r="W907" s="51"/>
      <c r="X907" s="51"/>
      <c r="Y907" s="51"/>
      <c r="Z907" s="51"/>
      <c r="AA907" s="51"/>
      <c r="AB907" s="51"/>
    </row>
    <row r="908" customFormat="false" ht="15.75" hidden="false" customHeight="false" outlineLevel="0" collapsed="false">
      <c r="A908" s="51"/>
      <c r="B908" s="51"/>
      <c r="C908" s="6"/>
      <c r="D908" s="49"/>
      <c r="E908" s="51"/>
      <c r="F908" s="6"/>
      <c r="G908" s="6"/>
      <c r="H908" s="6"/>
      <c r="I908" s="6"/>
      <c r="J908" s="6"/>
      <c r="K908" s="51"/>
      <c r="L908" s="51"/>
      <c r="M908" s="51"/>
      <c r="N908" s="51"/>
      <c r="O908" s="51"/>
      <c r="P908" s="51"/>
      <c r="Q908" s="51"/>
      <c r="R908" s="51"/>
      <c r="S908" s="51"/>
      <c r="T908" s="51"/>
      <c r="U908" s="51"/>
      <c r="V908" s="51"/>
      <c r="W908" s="51"/>
      <c r="X908" s="51"/>
      <c r="Y908" s="51"/>
      <c r="Z908" s="51"/>
      <c r="AA908" s="51"/>
      <c r="AB908" s="51"/>
    </row>
    <row r="909" customFormat="false" ht="15.75" hidden="false" customHeight="false" outlineLevel="0" collapsed="false">
      <c r="A909" s="51"/>
      <c r="B909" s="51"/>
      <c r="C909" s="6"/>
      <c r="D909" s="49"/>
      <c r="E909" s="51"/>
      <c r="F909" s="6"/>
      <c r="G909" s="6"/>
      <c r="H909" s="6"/>
      <c r="I909" s="6"/>
      <c r="J909" s="6"/>
      <c r="K909" s="51"/>
      <c r="L909" s="51"/>
      <c r="M909" s="51"/>
      <c r="N909" s="51"/>
      <c r="O909" s="51"/>
      <c r="P909" s="51"/>
      <c r="Q909" s="51"/>
      <c r="R909" s="51"/>
      <c r="S909" s="51"/>
      <c r="T909" s="51"/>
      <c r="U909" s="51"/>
      <c r="V909" s="51"/>
      <c r="W909" s="51"/>
      <c r="X909" s="51"/>
      <c r="Y909" s="51"/>
      <c r="Z909" s="51"/>
      <c r="AA909" s="51"/>
      <c r="AB909" s="51"/>
    </row>
    <row r="910" customFormat="false" ht="15.75" hidden="false" customHeight="false" outlineLevel="0" collapsed="false">
      <c r="A910" s="51"/>
      <c r="B910" s="51"/>
      <c r="C910" s="6"/>
      <c r="D910" s="49"/>
      <c r="E910" s="51"/>
      <c r="F910" s="6"/>
      <c r="G910" s="6"/>
      <c r="H910" s="6"/>
      <c r="I910" s="6"/>
      <c r="J910" s="6"/>
      <c r="K910" s="51"/>
      <c r="L910" s="51"/>
      <c r="M910" s="51"/>
      <c r="N910" s="51"/>
      <c r="O910" s="51"/>
      <c r="P910" s="51"/>
      <c r="Q910" s="51"/>
      <c r="R910" s="51"/>
      <c r="S910" s="51"/>
      <c r="T910" s="51"/>
      <c r="U910" s="51"/>
      <c r="V910" s="51"/>
      <c r="W910" s="51"/>
      <c r="X910" s="51"/>
      <c r="Y910" s="51"/>
      <c r="Z910" s="51"/>
      <c r="AA910" s="51"/>
      <c r="AB910" s="51"/>
    </row>
    <row r="911" customFormat="false" ht="15.75" hidden="false" customHeight="false" outlineLevel="0" collapsed="false">
      <c r="A911" s="51"/>
      <c r="B911" s="51"/>
      <c r="C911" s="6"/>
      <c r="D911" s="49"/>
      <c r="E911" s="51"/>
      <c r="F911" s="6"/>
      <c r="G911" s="6"/>
      <c r="H911" s="6"/>
      <c r="I911" s="6"/>
      <c r="J911" s="6"/>
      <c r="K911" s="51"/>
      <c r="L911" s="51"/>
      <c r="M911" s="51"/>
      <c r="N911" s="51"/>
      <c r="O911" s="51"/>
      <c r="P911" s="51"/>
      <c r="Q911" s="51"/>
      <c r="R911" s="51"/>
      <c r="S911" s="51"/>
      <c r="T911" s="51"/>
      <c r="U911" s="51"/>
      <c r="V911" s="51"/>
      <c r="W911" s="51"/>
      <c r="X911" s="51"/>
      <c r="Y911" s="51"/>
      <c r="Z911" s="51"/>
      <c r="AA911" s="51"/>
      <c r="AB911" s="51"/>
    </row>
    <row r="912" customFormat="false" ht="15.75" hidden="false" customHeight="false" outlineLevel="0" collapsed="false">
      <c r="A912" s="51"/>
      <c r="B912" s="51"/>
      <c r="C912" s="6"/>
      <c r="D912" s="49"/>
      <c r="E912" s="51"/>
      <c r="F912" s="6"/>
      <c r="G912" s="6"/>
      <c r="H912" s="6"/>
      <c r="I912" s="6"/>
      <c r="J912" s="6"/>
      <c r="K912" s="51"/>
      <c r="L912" s="51"/>
      <c r="M912" s="51"/>
      <c r="N912" s="51"/>
      <c r="O912" s="51"/>
      <c r="P912" s="51"/>
      <c r="Q912" s="51"/>
      <c r="R912" s="51"/>
      <c r="S912" s="51"/>
      <c r="T912" s="51"/>
      <c r="U912" s="51"/>
      <c r="V912" s="51"/>
      <c r="W912" s="51"/>
      <c r="X912" s="51"/>
      <c r="Y912" s="51"/>
      <c r="Z912" s="51"/>
      <c r="AA912" s="51"/>
      <c r="AB912" s="51"/>
    </row>
    <row r="913" customFormat="false" ht="15.75" hidden="false" customHeight="false" outlineLevel="0" collapsed="false">
      <c r="A913" s="51"/>
      <c r="B913" s="51"/>
      <c r="C913" s="6"/>
      <c r="D913" s="49"/>
      <c r="E913" s="51"/>
      <c r="F913" s="6"/>
      <c r="G913" s="6"/>
      <c r="H913" s="6"/>
      <c r="I913" s="6"/>
      <c r="J913" s="6"/>
      <c r="K913" s="51"/>
      <c r="L913" s="51"/>
      <c r="M913" s="51"/>
      <c r="N913" s="51"/>
      <c r="O913" s="51"/>
      <c r="P913" s="51"/>
      <c r="Q913" s="51"/>
      <c r="R913" s="51"/>
      <c r="S913" s="51"/>
      <c r="T913" s="51"/>
      <c r="U913" s="51"/>
      <c r="V913" s="51"/>
      <c r="W913" s="51"/>
      <c r="X913" s="51"/>
      <c r="Y913" s="51"/>
      <c r="Z913" s="51"/>
      <c r="AA913" s="51"/>
      <c r="AB913" s="51"/>
    </row>
    <row r="914" customFormat="false" ht="15.75" hidden="false" customHeight="false" outlineLevel="0" collapsed="false">
      <c r="A914" s="51"/>
      <c r="B914" s="51"/>
      <c r="C914" s="6"/>
      <c r="D914" s="49"/>
      <c r="E914" s="51"/>
      <c r="F914" s="6"/>
      <c r="G914" s="6"/>
      <c r="H914" s="6"/>
      <c r="I914" s="6"/>
      <c r="J914" s="6"/>
      <c r="K914" s="51"/>
      <c r="L914" s="51"/>
      <c r="M914" s="51"/>
      <c r="N914" s="51"/>
      <c r="O914" s="51"/>
      <c r="P914" s="51"/>
      <c r="Q914" s="51"/>
      <c r="R914" s="51"/>
      <c r="S914" s="51"/>
      <c r="T914" s="51"/>
      <c r="U914" s="51"/>
      <c r="V914" s="51"/>
      <c r="W914" s="51"/>
      <c r="X914" s="51"/>
      <c r="Y914" s="51"/>
      <c r="Z914" s="51"/>
      <c r="AA914" s="51"/>
      <c r="AB914" s="51"/>
    </row>
    <row r="915" customFormat="false" ht="15.75" hidden="false" customHeight="false" outlineLevel="0" collapsed="false">
      <c r="A915" s="51"/>
      <c r="B915" s="51"/>
      <c r="C915" s="6"/>
      <c r="D915" s="49"/>
      <c r="E915" s="51"/>
      <c r="F915" s="6"/>
      <c r="G915" s="6"/>
      <c r="H915" s="6"/>
      <c r="I915" s="6"/>
      <c r="J915" s="6"/>
      <c r="K915" s="51"/>
      <c r="L915" s="51"/>
      <c r="M915" s="51"/>
      <c r="N915" s="51"/>
      <c r="O915" s="51"/>
      <c r="P915" s="51"/>
      <c r="Q915" s="51"/>
      <c r="R915" s="51"/>
      <c r="S915" s="51"/>
      <c r="T915" s="51"/>
      <c r="U915" s="51"/>
      <c r="V915" s="51"/>
      <c r="W915" s="51"/>
      <c r="X915" s="51"/>
      <c r="Y915" s="51"/>
      <c r="Z915" s="51"/>
      <c r="AA915" s="51"/>
      <c r="AB915" s="51"/>
    </row>
    <row r="916" customFormat="false" ht="15.75" hidden="false" customHeight="false" outlineLevel="0" collapsed="false">
      <c r="A916" s="51"/>
      <c r="B916" s="51"/>
      <c r="C916" s="6"/>
      <c r="D916" s="49"/>
      <c r="E916" s="51"/>
      <c r="F916" s="6"/>
      <c r="G916" s="6"/>
      <c r="H916" s="6"/>
      <c r="I916" s="6"/>
      <c r="J916" s="6"/>
      <c r="K916" s="51"/>
      <c r="L916" s="51"/>
      <c r="M916" s="51"/>
      <c r="N916" s="51"/>
      <c r="O916" s="51"/>
      <c r="P916" s="51"/>
      <c r="Q916" s="51"/>
      <c r="R916" s="51"/>
      <c r="S916" s="51"/>
      <c r="T916" s="51"/>
      <c r="U916" s="51"/>
      <c r="V916" s="51"/>
      <c r="W916" s="51"/>
      <c r="X916" s="51"/>
      <c r="Y916" s="51"/>
      <c r="Z916" s="51"/>
      <c r="AA916" s="51"/>
      <c r="AB916" s="51"/>
    </row>
    <row r="917" customFormat="false" ht="15.75" hidden="false" customHeight="false" outlineLevel="0" collapsed="false">
      <c r="A917" s="51"/>
      <c r="B917" s="51"/>
      <c r="C917" s="6"/>
      <c r="D917" s="49"/>
      <c r="E917" s="51"/>
      <c r="F917" s="6"/>
      <c r="G917" s="6"/>
      <c r="H917" s="6"/>
      <c r="I917" s="6"/>
      <c r="J917" s="6"/>
      <c r="K917" s="51"/>
      <c r="L917" s="51"/>
      <c r="M917" s="51"/>
      <c r="N917" s="51"/>
      <c r="O917" s="51"/>
      <c r="P917" s="51"/>
      <c r="Q917" s="51"/>
      <c r="R917" s="51"/>
      <c r="S917" s="51"/>
      <c r="T917" s="51"/>
      <c r="U917" s="51"/>
      <c r="V917" s="51"/>
      <c r="W917" s="51"/>
      <c r="X917" s="51"/>
      <c r="Y917" s="51"/>
      <c r="Z917" s="51"/>
      <c r="AA917" s="51"/>
      <c r="AB917" s="51"/>
    </row>
    <row r="918" customFormat="false" ht="15.75" hidden="false" customHeight="false" outlineLevel="0" collapsed="false">
      <c r="A918" s="51"/>
      <c r="B918" s="51"/>
      <c r="C918" s="6"/>
      <c r="D918" s="49"/>
      <c r="E918" s="51"/>
      <c r="F918" s="6"/>
      <c r="G918" s="6"/>
      <c r="H918" s="6"/>
      <c r="I918" s="6"/>
      <c r="J918" s="6"/>
      <c r="K918" s="51"/>
      <c r="L918" s="51"/>
      <c r="M918" s="51"/>
      <c r="N918" s="51"/>
      <c r="O918" s="51"/>
      <c r="P918" s="51"/>
      <c r="Q918" s="51"/>
      <c r="R918" s="51"/>
      <c r="S918" s="51"/>
      <c r="T918" s="51"/>
      <c r="U918" s="51"/>
      <c r="V918" s="51"/>
      <c r="W918" s="51"/>
      <c r="X918" s="51"/>
      <c r="Y918" s="51"/>
      <c r="Z918" s="51"/>
      <c r="AA918" s="51"/>
      <c r="AB918" s="51"/>
    </row>
    <row r="919" customFormat="false" ht="15.75" hidden="false" customHeight="false" outlineLevel="0" collapsed="false">
      <c r="A919" s="51"/>
      <c r="B919" s="51"/>
      <c r="C919" s="6"/>
      <c r="D919" s="49"/>
      <c r="E919" s="51"/>
      <c r="F919" s="6"/>
      <c r="G919" s="6"/>
      <c r="H919" s="6"/>
      <c r="I919" s="6"/>
      <c r="J919" s="6"/>
      <c r="K919" s="51"/>
      <c r="L919" s="51"/>
      <c r="M919" s="51"/>
      <c r="N919" s="51"/>
      <c r="O919" s="51"/>
      <c r="P919" s="51"/>
      <c r="Q919" s="51"/>
      <c r="R919" s="51"/>
      <c r="S919" s="51"/>
      <c r="T919" s="51"/>
      <c r="U919" s="51"/>
      <c r="V919" s="51"/>
      <c r="W919" s="51"/>
      <c r="X919" s="51"/>
      <c r="Y919" s="51"/>
      <c r="Z919" s="51"/>
      <c r="AA919" s="51"/>
      <c r="AB919" s="51"/>
    </row>
    <row r="920" customFormat="false" ht="15.75" hidden="false" customHeight="false" outlineLevel="0" collapsed="false">
      <c r="A920" s="51"/>
      <c r="B920" s="51"/>
      <c r="C920" s="6"/>
      <c r="D920" s="49"/>
      <c r="E920" s="51"/>
      <c r="F920" s="6"/>
      <c r="G920" s="6"/>
      <c r="H920" s="6"/>
      <c r="I920" s="6"/>
      <c r="J920" s="6"/>
      <c r="K920" s="51"/>
      <c r="L920" s="51"/>
      <c r="M920" s="51"/>
      <c r="N920" s="51"/>
      <c r="O920" s="51"/>
      <c r="P920" s="51"/>
      <c r="Q920" s="51"/>
      <c r="R920" s="51"/>
      <c r="S920" s="51"/>
      <c r="T920" s="51"/>
      <c r="U920" s="51"/>
      <c r="V920" s="51"/>
      <c r="W920" s="51"/>
      <c r="X920" s="51"/>
      <c r="Y920" s="51"/>
      <c r="Z920" s="51"/>
      <c r="AA920" s="51"/>
      <c r="AB920" s="51"/>
    </row>
    <row r="921" customFormat="false" ht="15.75" hidden="false" customHeight="false" outlineLevel="0" collapsed="false">
      <c r="A921" s="51"/>
      <c r="B921" s="51"/>
      <c r="C921" s="6"/>
      <c r="D921" s="49"/>
      <c r="E921" s="51"/>
      <c r="F921" s="6"/>
      <c r="G921" s="6"/>
      <c r="H921" s="6"/>
      <c r="I921" s="6"/>
      <c r="J921" s="6"/>
      <c r="K921" s="51"/>
      <c r="L921" s="51"/>
      <c r="M921" s="51"/>
      <c r="N921" s="51"/>
      <c r="O921" s="51"/>
      <c r="P921" s="51"/>
      <c r="Q921" s="51"/>
      <c r="R921" s="51"/>
      <c r="S921" s="51"/>
      <c r="T921" s="51"/>
      <c r="U921" s="51"/>
      <c r="V921" s="51"/>
      <c r="W921" s="51"/>
      <c r="X921" s="51"/>
      <c r="Y921" s="51"/>
      <c r="Z921" s="51"/>
      <c r="AA921" s="51"/>
      <c r="AB921" s="51"/>
    </row>
    <row r="922" customFormat="false" ht="15.75" hidden="false" customHeight="false" outlineLevel="0" collapsed="false">
      <c r="A922" s="51"/>
      <c r="B922" s="51"/>
      <c r="C922" s="6"/>
      <c r="D922" s="49"/>
      <c r="E922" s="51"/>
      <c r="F922" s="6"/>
      <c r="G922" s="6"/>
      <c r="H922" s="6"/>
      <c r="I922" s="6"/>
      <c r="J922" s="6"/>
      <c r="K922" s="51"/>
      <c r="L922" s="51"/>
      <c r="M922" s="51"/>
      <c r="N922" s="51"/>
      <c r="O922" s="51"/>
      <c r="P922" s="51"/>
      <c r="Q922" s="51"/>
      <c r="R922" s="51"/>
      <c r="S922" s="51"/>
      <c r="T922" s="51"/>
      <c r="U922" s="51"/>
      <c r="V922" s="51"/>
      <c r="W922" s="51"/>
      <c r="X922" s="51"/>
      <c r="Y922" s="51"/>
      <c r="Z922" s="51"/>
      <c r="AA922" s="51"/>
      <c r="AB922" s="51"/>
    </row>
    <row r="923" customFormat="false" ht="15.75" hidden="false" customHeight="false" outlineLevel="0" collapsed="false">
      <c r="A923" s="51"/>
      <c r="B923" s="51"/>
      <c r="C923" s="6"/>
      <c r="D923" s="49"/>
      <c r="E923" s="51"/>
      <c r="F923" s="6"/>
      <c r="G923" s="6"/>
      <c r="H923" s="6"/>
      <c r="I923" s="6"/>
      <c r="J923" s="6"/>
      <c r="K923" s="51"/>
      <c r="L923" s="51"/>
      <c r="M923" s="51"/>
      <c r="N923" s="51"/>
      <c r="O923" s="51"/>
      <c r="P923" s="51"/>
      <c r="Q923" s="51"/>
      <c r="R923" s="51"/>
      <c r="S923" s="51"/>
      <c r="T923" s="51"/>
      <c r="U923" s="51"/>
      <c r="V923" s="51"/>
      <c r="W923" s="51"/>
      <c r="X923" s="51"/>
      <c r="Y923" s="51"/>
      <c r="Z923" s="51"/>
      <c r="AA923" s="51"/>
      <c r="AB923" s="51"/>
    </row>
    <row r="924" customFormat="false" ht="15.75" hidden="false" customHeight="false" outlineLevel="0" collapsed="false">
      <c r="A924" s="51"/>
      <c r="B924" s="51"/>
      <c r="C924" s="6"/>
      <c r="D924" s="49"/>
      <c r="E924" s="51"/>
      <c r="F924" s="6"/>
      <c r="G924" s="6"/>
      <c r="H924" s="6"/>
      <c r="I924" s="6"/>
      <c r="J924" s="6"/>
      <c r="K924" s="51"/>
      <c r="L924" s="51"/>
      <c r="M924" s="51"/>
      <c r="N924" s="51"/>
      <c r="O924" s="51"/>
      <c r="P924" s="51"/>
      <c r="Q924" s="51"/>
      <c r="R924" s="51"/>
      <c r="S924" s="51"/>
      <c r="T924" s="51"/>
      <c r="U924" s="51"/>
      <c r="V924" s="51"/>
      <c r="W924" s="51"/>
      <c r="X924" s="51"/>
      <c r="Y924" s="51"/>
      <c r="Z924" s="51"/>
      <c r="AA924" s="51"/>
      <c r="AB924" s="51"/>
    </row>
    <row r="925" customFormat="false" ht="15.75" hidden="false" customHeight="false" outlineLevel="0" collapsed="false">
      <c r="A925" s="51"/>
      <c r="B925" s="51"/>
      <c r="C925" s="6"/>
      <c r="D925" s="49"/>
      <c r="E925" s="51"/>
      <c r="F925" s="6"/>
      <c r="G925" s="6"/>
      <c r="H925" s="6"/>
      <c r="I925" s="6"/>
      <c r="J925" s="6"/>
      <c r="K925" s="51"/>
      <c r="L925" s="51"/>
      <c r="M925" s="51"/>
      <c r="N925" s="51"/>
      <c r="O925" s="51"/>
      <c r="P925" s="51"/>
      <c r="Q925" s="51"/>
      <c r="R925" s="51"/>
      <c r="S925" s="51"/>
      <c r="T925" s="51"/>
      <c r="U925" s="51"/>
      <c r="V925" s="51"/>
      <c r="W925" s="51"/>
      <c r="X925" s="51"/>
      <c r="Y925" s="51"/>
      <c r="Z925" s="51"/>
      <c r="AA925" s="51"/>
      <c r="AB925" s="51"/>
    </row>
    <row r="926" customFormat="false" ht="15.75" hidden="false" customHeight="false" outlineLevel="0" collapsed="false">
      <c r="A926" s="51"/>
      <c r="B926" s="51"/>
      <c r="C926" s="6"/>
      <c r="D926" s="49"/>
      <c r="E926" s="51"/>
      <c r="F926" s="6"/>
      <c r="G926" s="6"/>
      <c r="H926" s="6"/>
      <c r="I926" s="6"/>
      <c r="J926" s="6"/>
      <c r="K926" s="51"/>
      <c r="L926" s="51"/>
      <c r="M926" s="51"/>
      <c r="N926" s="51"/>
      <c r="O926" s="51"/>
      <c r="P926" s="51"/>
      <c r="Q926" s="51"/>
      <c r="R926" s="51"/>
      <c r="S926" s="51"/>
      <c r="T926" s="51"/>
      <c r="U926" s="51"/>
      <c r="V926" s="51"/>
      <c r="W926" s="51"/>
      <c r="X926" s="51"/>
      <c r="Y926" s="51"/>
      <c r="Z926" s="51"/>
      <c r="AA926" s="51"/>
      <c r="AB926" s="51"/>
    </row>
    <row r="927" customFormat="false" ht="15.75" hidden="false" customHeight="false" outlineLevel="0" collapsed="false">
      <c r="A927" s="51"/>
      <c r="B927" s="51"/>
      <c r="C927" s="6"/>
      <c r="D927" s="49"/>
      <c r="E927" s="51"/>
      <c r="F927" s="6"/>
      <c r="G927" s="6"/>
      <c r="H927" s="6"/>
      <c r="I927" s="6"/>
      <c r="J927" s="6"/>
      <c r="K927" s="51"/>
      <c r="L927" s="51"/>
      <c r="M927" s="51"/>
      <c r="N927" s="51"/>
      <c r="O927" s="51"/>
      <c r="P927" s="51"/>
      <c r="Q927" s="51"/>
      <c r="R927" s="51"/>
      <c r="S927" s="51"/>
      <c r="T927" s="51"/>
      <c r="U927" s="51"/>
      <c r="V927" s="51"/>
      <c r="W927" s="51"/>
      <c r="X927" s="51"/>
      <c r="Y927" s="51"/>
      <c r="Z927" s="51"/>
      <c r="AA927" s="51"/>
      <c r="AB927" s="51"/>
    </row>
    <row r="928" customFormat="false" ht="15.75" hidden="false" customHeight="false" outlineLevel="0" collapsed="false">
      <c r="A928" s="51"/>
      <c r="B928" s="51"/>
      <c r="C928" s="6"/>
      <c r="D928" s="49"/>
      <c r="E928" s="51"/>
      <c r="F928" s="6"/>
      <c r="G928" s="6"/>
      <c r="H928" s="6"/>
      <c r="I928" s="6"/>
      <c r="J928" s="6"/>
      <c r="K928" s="51"/>
      <c r="L928" s="51"/>
      <c r="M928" s="51"/>
      <c r="N928" s="51"/>
      <c r="O928" s="51"/>
      <c r="P928" s="51"/>
      <c r="Q928" s="51"/>
      <c r="R928" s="51"/>
      <c r="S928" s="51"/>
      <c r="T928" s="51"/>
      <c r="U928" s="51"/>
      <c r="V928" s="51"/>
      <c r="W928" s="51"/>
      <c r="X928" s="51"/>
      <c r="Y928" s="51"/>
      <c r="Z928" s="51"/>
      <c r="AA928" s="51"/>
      <c r="AB928" s="51"/>
    </row>
    <row r="929" customFormat="false" ht="15.75" hidden="false" customHeight="false" outlineLevel="0" collapsed="false">
      <c r="A929" s="51"/>
      <c r="B929" s="51"/>
      <c r="C929" s="6"/>
      <c r="D929" s="49"/>
      <c r="E929" s="51"/>
      <c r="F929" s="6"/>
      <c r="G929" s="6"/>
      <c r="H929" s="6"/>
      <c r="I929" s="6"/>
      <c r="J929" s="6"/>
      <c r="K929" s="51"/>
      <c r="L929" s="51"/>
      <c r="M929" s="51"/>
      <c r="N929" s="51"/>
      <c r="O929" s="51"/>
      <c r="P929" s="51"/>
      <c r="Q929" s="51"/>
      <c r="R929" s="51"/>
      <c r="S929" s="51"/>
      <c r="T929" s="51"/>
      <c r="U929" s="51"/>
      <c r="V929" s="51"/>
      <c r="W929" s="51"/>
      <c r="X929" s="51"/>
      <c r="Y929" s="51"/>
      <c r="Z929" s="51"/>
      <c r="AA929" s="51"/>
      <c r="AB929" s="51"/>
    </row>
    <row r="930" customFormat="false" ht="15.75" hidden="false" customHeight="false" outlineLevel="0" collapsed="false">
      <c r="A930" s="51"/>
      <c r="B930" s="51"/>
      <c r="C930" s="6"/>
      <c r="D930" s="49"/>
      <c r="E930" s="51"/>
      <c r="F930" s="6"/>
      <c r="G930" s="6"/>
      <c r="H930" s="6"/>
      <c r="I930" s="6"/>
      <c r="J930" s="6"/>
      <c r="K930" s="51"/>
      <c r="L930" s="51"/>
      <c r="M930" s="51"/>
      <c r="N930" s="51"/>
      <c r="O930" s="51"/>
      <c r="P930" s="51"/>
      <c r="Q930" s="51"/>
      <c r="R930" s="51"/>
      <c r="S930" s="51"/>
      <c r="T930" s="51"/>
      <c r="U930" s="51"/>
      <c r="V930" s="51"/>
      <c r="W930" s="51"/>
      <c r="X930" s="51"/>
      <c r="Y930" s="51"/>
      <c r="Z930" s="51"/>
      <c r="AA930" s="51"/>
      <c r="AB930" s="51"/>
    </row>
    <row r="931" customFormat="false" ht="15.75" hidden="false" customHeight="false" outlineLevel="0" collapsed="false">
      <c r="A931" s="51"/>
      <c r="B931" s="51"/>
      <c r="C931" s="6"/>
      <c r="D931" s="49"/>
      <c r="E931" s="51"/>
      <c r="F931" s="6"/>
      <c r="G931" s="6"/>
      <c r="H931" s="6"/>
      <c r="I931" s="6"/>
      <c r="J931" s="6"/>
      <c r="K931" s="51"/>
      <c r="L931" s="51"/>
      <c r="M931" s="51"/>
      <c r="N931" s="51"/>
      <c r="O931" s="51"/>
      <c r="P931" s="51"/>
      <c r="Q931" s="51"/>
      <c r="R931" s="51"/>
      <c r="S931" s="51"/>
      <c r="T931" s="51"/>
      <c r="U931" s="51"/>
      <c r="V931" s="51"/>
      <c r="W931" s="51"/>
      <c r="X931" s="51"/>
      <c r="Y931" s="51"/>
      <c r="Z931" s="51"/>
      <c r="AA931" s="51"/>
      <c r="AB931" s="51"/>
    </row>
    <row r="932" customFormat="false" ht="15.75" hidden="false" customHeight="false" outlineLevel="0" collapsed="false">
      <c r="A932" s="51"/>
      <c r="B932" s="51"/>
      <c r="C932" s="6"/>
      <c r="D932" s="49"/>
      <c r="E932" s="51"/>
      <c r="F932" s="6"/>
      <c r="G932" s="6"/>
      <c r="H932" s="6"/>
      <c r="I932" s="6"/>
      <c r="J932" s="6"/>
      <c r="K932" s="51"/>
      <c r="L932" s="51"/>
      <c r="M932" s="51"/>
      <c r="N932" s="51"/>
      <c r="O932" s="51"/>
      <c r="P932" s="51"/>
      <c r="Q932" s="51"/>
      <c r="R932" s="51"/>
      <c r="S932" s="51"/>
      <c r="T932" s="51"/>
      <c r="U932" s="51"/>
      <c r="V932" s="51"/>
      <c r="W932" s="51"/>
      <c r="X932" s="51"/>
      <c r="Y932" s="51"/>
      <c r="Z932" s="51"/>
      <c r="AA932" s="51"/>
      <c r="AB932" s="51"/>
    </row>
    <row r="933" customFormat="false" ht="15.75" hidden="false" customHeight="false" outlineLevel="0" collapsed="false">
      <c r="A933" s="51"/>
      <c r="B933" s="51"/>
      <c r="C933" s="6"/>
      <c r="D933" s="49"/>
      <c r="E933" s="51"/>
      <c r="F933" s="6"/>
      <c r="G933" s="6"/>
      <c r="H933" s="6"/>
      <c r="I933" s="6"/>
      <c r="J933" s="6"/>
      <c r="K933" s="51"/>
      <c r="L933" s="51"/>
      <c r="M933" s="51"/>
      <c r="N933" s="51"/>
      <c r="O933" s="51"/>
      <c r="P933" s="51"/>
      <c r="Q933" s="51"/>
      <c r="R933" s="51"/>
      <c r="S933" s="51"/>
      <c r="T933" s="51"/>
      <c r="U933" s="51"/>
      <c r="V933" s="51"/>
      <c r="W933" s="51"/>
      <c r="X933" s="51"/>
      <c r="Y933" s="51"/>
      <c r="Z933" s="51"/>
      <c r="AA933" s="51"/>
      <c r="AB933" s="51"/>
    </row>
    <row r="934" customFormat="false" ht="15.75" hidden="false" customHeight="false" outlineLevel="0" collapsed="false">
      <c r="A934" s="51"/>
      <c r="B934" s="51"/>
      <c r="C934" s="6"/>
      <c r="D934" s="49"/>
      <c r="E934" s="51"/>
      <c r="F934" s="6"/>
      <c r="G934" s="6"/>
      <c r="H934" s="6"/>
      <c r="I934" s="6"/>
      <c r="J934" s="6"/>
      <c r="K934" s="51"/>
      <c r="L934" s="51"/>
      <c r="M934" s="51"/>
      <c r="N934" s="51"/>
      <c r="O934" s="51"/>
      <c r="P934" s="51"/>
      <c r="Q934" s="51"/>
      <c r="R934" s="51"/>
      <c r="S934" s="51"/>
      <c r="T934" s="51"/>
      <c r="U934" s="51"/>
      <c r="V934" s="51"/>
      <c r="W934" s="51"/>
      <c r="X934" s="51"/>
      <c r="Y934" s="51"/>
      <c r="Z934" s="51"/>
      <c r="AA934" s="51"/>
      <c r="AB934" s="51"/>
    </row>
    <row r="935" customFormat="false" ht="15.75" hidden="false" customHeight="false" outlineLevel="0" collapsed="false">
      <c r="A935" s="51"/>
      <c r="B935" s="51"/>
      <c r="C935" s="6"/>
      <c r="D935" s="49"/>
      <c r="E935" s="51"/>
      <c r="F935" s="6"/>
      <c r="G935" s="6"/>
      <c r="H935" s="6"/>
      <c r="I935" s="6"/>
      <c r="J935" s="6"/>
      <c r="K935" s="51"/>
      <c r="L935" s="51"/>
      <c r="M935" s="51"/>
      <c r="N935" s="51"/>
      <c r="O935" s="51"/>
      <c r="P935" s="51"/>
      <c r="Q935" s="51"/>
      <c r="R935" s="51"/>
      <c r="S935" s="51"/>
      <c r="T935" s="51"/>
      <c r="U935" s="51"/>
      <c r="V935" s="51"/>
      <c r="W935" s="51"/>
      <c r="X935" s="51"/>
      <c r="Y935" s="51"/>
      <c r="Z935" s="51"/>
      <c r="AA935" s="51"/>
      <c r="AB935" s="51"/>
    </row>
    <row r="936" customFormat="false" ht="15.75" hidden="false" customHeight="false" outlineLevel="0" collapsed="false">
      <c r="A936" s="51"/>
      <c r="B936" s="51"/>
      <c r="C936" s="6"/>
      <c r="D936" s="49"/>
      <c r="E936" s="51"/>
      <c r="F936" s="6"/>
      <c r="G936" s="6"/>
      <c r="H936" s="6"/>
      <c r="I936" s="6"/>
      <c r="J936" s="6"/>
      <c r="K936" s="51"/>
      <c r="L936" s="51"/>
      <c r="M936" s="51"/>
      <c r="N936" s="51"/>
      <c r="O936" s="51"/>
      <c r="P936" s="51"/>
      <c r="Q936" s="51"/>
      <c r="R936" s="51"/>
      <c r="S936" s="51"/>
      <c r="T936" s="51"/>
      <c r="U936" s="51"/>
      <c r="V936" s="51"/>
      <c r="W936" s="51"/>
      <c r="X936" s="51"/>
      <c r="Y936" s="51"/>
      <c r="Z936" s="51"/>
      <c r="AA936" s="51"/>
      <c r="AB936" s="51"/>
    </row>
    <row r="937" customFormat="false" ht="15.75" hidden="false" customHeight="false" outlineLevel="0" collapsed="false">
      <c r="A937" s="51"/>
      <c r="B937" s="51"/>
      <c r="C937" s="6"/>
      <c r="D937" s="49"/>
      <c r="E937" s="51"/>
      <c r="F937" s="6"/>
      <c r="G937" s="6"/>
      <c r="H937" s="6"/>
      <c r="I937" s="6"/>
      <c r="J937" s="6"/>
      <c r="K937" s="51"/>
      <c r="L937" s="51"/>
      <c r="M937" s="51"/>
      <c r="N937" s="51"/>
      <c r="O937" s="51"/>
      <c r="P937" s="51"/>
      <c r="Q937" s="51"/>
      <c r="R937" s="51"/>
      <c r="S937" s="51"/>
      <c r="T937" s="51"/>
      <c r="U937" s="51"/>
      <c r="V937" s="51"/>
      <c r="W937" s="51"/>
      <c r="X937" s="51"/>
      <c r="Y937" s="51"/>
      <c r="Z937" s="51"/>
      <c r="AA937" s="51"/>
      <c r="AB937" s="51"/>
    </row>
    <row r="938" customFormat="false" ht="15.75" hidden="false" customHeight="false" outlineLevel="0" collapsed="false">
      <c r="A938" s="51"/>
      <c r="B938" s="51"/>
      <c r="C938" s="6"/>
      <c r="D938" s="49"/>
      <c r="E938" s="51"/>
      <c r="F938" s="6"/>
      <c r="G938" s="6"/>
      <c r="H938" s="6"/>
      <c r="I938" s="6"/>
      <c r="J938" s="6"/>
      <c r="K938" s="51"/>
      <c r="L938" s="51"/>
      <c r="M938" s="51"/>
      <c r="N938" s="51"/>
      <c r="O938" s="51"/>
      <c r="P938" s="51"/>
      <c r="Q938" s="51"/>
      <c r="R938" s="51"/>
      <c r="S938" s="51"/>
      <c r="T938" s="51"/>
      <c r="U938" s="51"/>
      <c r="V938" s="51"/>
      <c r="W938" s="51"/>
      <c r="X938" s="51"/>
      <c r="Y938" s="51"/>
      <c r="Z938" s="51"/>
      <c r="AA938" s="51"/>
      <c r="AB938" s="51"/>
    </row>
    <row r="939" customFormat="false" ht="15.75" hidden="false" customHeight="false" outlineLevel="0" collapsed="false">
      <c r="A939" s="51"/>
      <c r="B939" s="51"/>
      <c r="C939" s="6"/>
      <c r="D939" s="49"/>
      <c r="E939" s="51"/>
      <c r="F939" s="6"/>
      <c r="G939" s="6"/>
      <c r="H939" s="6"/>
      <c r="I939" s="6"/>
      <c r="J939" s="6"/>
      <c r="K939" s="51"/>
      <c r="L939" s="51"/>
      <c r="M939" s="51"/>
      <c r="N939" s="51"/>
      <c r="O939" s="51"/>
      <c r="P939" s="51"/>
      <c r="Q939" s="51"/>
      <c r="R939" s="51"/>
      <c r="S939" s="51"/>
      <c r="T939" s="51"/>
      <c r="U939" s="51"/>
      <c r="V939" s="51"/>
      <c r="W939" s="51"/>
      <c r="X939" s="51"/>
      <c r="Y939" s="51"/>
      <c r="Z939" s="51"/>
      <c r="AA939" s="51"/>
      <c r="AB939" s="51"/>
    </row>
    <row r="940" customFormat="false" ht="15.75" hidden="false" customHeight="false" outlineLevel="0" collapsed="false">
      <c r="A940" s="51"/>
      <c r="B940" s="51"/>
      <c r="C940" s="6"/>
      <c r="D940" s="49"/>
      <c r="E940" s="51"/>
      <c r="F940" s="6"/>
      <c r="G940" s="6"/>
      <c r="H940" s="6"/>
      <c r="I940" s="6"/>
      <c r="J940" s="6"/>
      <c r="K940" s="51"/>
      <c r="L940" s="51"/>
      <c r="M940" s="51"/>
      <c r="N940" s="51"/>
      <c r="O940" s="51"/>
      <c r="P940" s="51"/>
      <c r="Q940" s="51"/>
      <c r="R940" s="51"/>
      <c r="S940" s="51"/>
      <c r="T940" s="51"/>
      <c r="U940" s="51"/>
      <c r="V940" s="51"/>
      <c r="W940" s="51"/>
      <c r="X940" s="51"/>
      <c r="Y940" s="51"/>
      <c r="Z940" s="51"/>
      <c r="AA940" s="51"/>
      <c r="AB940" s="51"/>
    </row>
    <row r="941" customFormat="false" ht="15.75" hidden="false" customHeight="false" outlineLevel="0" collapsed="false">
      <c r="A941" s="51"/>
      <c r="B941" s="51"/>
      <c r="C941" s="6"/>
      <c r="D941" s="49"/>
      <c r="E941" s="51"/>
      <c r="F941" s="6"/>
      <c r="G941" s="6"/>
      <c r="H941" s="6"/>
      <c r="I941" s="6"/>
      <c r="J941" s="6"/>
      <c r="K941" s="51"/>
      <c r="L941" s="51"/>
      <c r="M941" s="51"/>
      <c r="N941" s="51"/>
      <c r="O941" s="51"/>
      <c r="P941" s="51"/>
      <c r="Q941" s="51"/>
      <c r="R941" s="51"/>
      <c r="S941" s="51"/>
      <c r="T941" s="51"/>
      <c r="U941" s="51"/>
      <c r="V941" s="51"/>
      <c r="W941" s="51"/>
      <c r="X941" s="51"/>
      <c r="Y941" s="51"/>
      <c r="Z941" s="51"/>
      <c r="AA941" s="51"/>
      <c r="AB941" s="51"/>
    </row>
    <row r="942" customFormat="false" ht="15.75" hidden="false" customHeight="false" outlineLevel="0" collapsed="false">
      <c r="A942" s="51"/>
      <c r="B942" s="51"/>
      <c r="C942" s="6"/>
      <c r="D942" s="49"/>
      <c r="E942" s="51"/>
      <c r="F942" s="6"/>
      <c r="G942" s="6"/>
      <c r="H942" s="6"/>
      <c r="I942" s="6"/>
      <c r="J942" s="6"/>
      <c r="K942" s="51"/>
      <c r="L942" s="51"/>
      <c r="M942" s="51"/>
      <c r="N942" s="51"/>
      <c r="O942" s="51"/>
      <c r="P942" s="51"/>
      <c r="Q942" s="51"/>
      <c r="R942" s="51"/>
      <c r="S942" s="51"/>
      <c r="T942" s="51"/>
      <c r="U942" s="51"/>
      <c r="V942" s="51"/>
      <c r="W942" s="51"/>
      <c r="X942" s="51"/>
      <c r="Y942" s="51"/>
      <c r="Z942" s="51"/>
      <c r="AA942" s="51"/>
      <c r="AB942" s="51"/>
    </row>
    <row r="943" customFormat="false" ht="15.75" hidden="false" customHeight="false" outlineLevel="0" collapsed="false">
      <c r="A943" s="51"/>
      <c r="B943" s="51"/>
      <c r="C943" s="6"/>
      <c r="D943" s="49"/>
      <c r="E943" s="51"/>
      <c r="F943" s="6"/>
      <c r="G943" s="6"/>
      <c r="H943" s="6"/>
      <c r="I943" s="6"/>
      <c r="J943" s="6"/>
      <c r="K943" s="51"/>
      <c r="L943" s="51"/>
      <c r="M943" s="51"/>
      <c r="N943" s="51"/>
      <c r="O943" s="51"/>
      <c r="P943" s="51"/>
      <c r="Q943" s="51"/>
      <c r="R943" s="51"/>
      <c r="S943" s="51"/>
      <c r="T943" s="51"/>
      <c r="U943" s="51"/>
      <c r="V943" s="51"/>
      <c r="W943" s="51"/>
      <c r="X943" s="51"/>
      <c r="Y943" s="51"/>
      <c r="Z943" s="51"/>
      <c r="AA943" s="51"/>
      <c r="AB943" s="51"/>
    </row>
    <row r="944" customFormat="false" ht="15.75" hidden="false" customHeight="false" outlineLevel="0" collapsed="false">
      <c r="A944" s="51"/>
      <c r="B944" s="51"/>
      <c r="C944" s="6"/>
      <c r="D944" s="49"/>
      <c r="E944" s="51"/>
      <c r="F944" s="6"/>
      <c r="G944" s="6"/>
      <c r="H944" s="6"/>
      <c r="I944" s="6"/>
      <c r="J944" s="6"/>
      <c r="K944" s="51"/>
      <c r="L944" s="51"/>
      <c r="M944" s="51"/>
      <c r="N944" s="51"/>
      <c r="O944" s="51"/>
      <c r="P944" s="51"/>
      <c r="Q944" s="51"/>
      <c r="R944" s="51"/>
      <c r="S944" s="51"/>
      <c r="T944" s="51"/>
      <c r="U944" s="51"/>
      <c r="V944" s="51"/>
      <c r="W944" s="51"/>
      <c r="X944" s="51"/>
      <c r="Y944" s="51"/>
      <c r="Z944" s="51"/>
      <c r="AA944" s="51"/>
      <c r="AB944" s="51"/>
    </row>
    <row r="945" customFormat="false" ht="15.75" hidden="false" customHeight="false" outlineLevel="0" collapsed="false">
      <c r="A945" s="51"/>
      <c r="B945" s="51"/>
      <c r="C945" s="6"/>
      <c r="D945" s="49"/>
      <c r="E945" s="51"/>
      <c r="F945" s="6"/>
      <c r="G945" s="6"/>
      <c r="H945" s="6"/>
      <c r="I945" s="6"/>
      <c r="J945" s="6"/>
      <c r="K945" s="51"/>
      <c r="L945" s="51"/>
      <c r="M945" s="51"/>
      <c r="N945" s="51"/>
      <c r="O945" s="51"/>
      <c r="P945" s="51"/>
      <c r="Q945" s="51"/>
      <c r="R945" s="51"/>
      <c r="S945" s="51"/>
      <c r="T945" s="51"/>
      <c r="U945" s="51"/>
      <c r="V945" s="51"/>
      <c r="W945" s="51"/>
      <c r="X945" s="51"/>
      <c r="Y945" s="51"/>
      <c r="Z945" s="51"/>
      <c r="AA945" s="51"/>
      <c r="AB945" s="51"/>
    </row>
    <row r="946" customFormat="false" ht="15.75" hidden="false" customHeight="false" outlineLevel="0" collapsed="false">
      <c r="A946" s="51"/>
      <c r="B946" s="51"/>
      <c r="C946" s="6"/>
      <c r="D946" s="49"/>
      <c r="E946" s="51"/>
      <c r="F946" s="6"/>
      <c r="G946" s="6"/>
      <c r="H946" s="6"/>
      <c r="I946" s="6"/>
      <c r="J946" s="6"/>
      <c r="K946" s="51"/>
      <c r="L946" s="51"/>
      <c r="M946" s="51"/>
      <c r="N946" s="51"/>
      <c r="O946" s="51"/>
      <c r="P946" s="51"/>
      <c r="Q946" s="51"/>
      <c r="R946" s="51"/>
      <c r="S946" s="51"/>
      <c r="T946" s="51"/>
      <c r="U946" s="51"/>
      <c r="V946" s="51"/>
      <c r="W946" s="51"/>
      <c r="X946" s="51"/>
      <c r="Y946" s="51"/>
      <c r="Z946" s="51"/>
      <c r="AA946" s="51"/>
      <c r="AB946" s="51"/>
    </row>
    <row r="947" customFormat="false" ht="15.75" hidden="false" customHeight="false" outlineLevel="0" collapsed="false">
      <c r="A947" s="51"/>
      <c r="B947" s="51"/>
      <c r="C947" s="6"/>
      <c r="D947" s="49"/>
      <c r="E947" s="51"/>
      <c r="F947" s="6"/>
      <c r="G947" s="6"/>
      <c r="H947" s="6"/>
      <c r="I947" s="6"/>
      <c r="J947" s="6"/>
      <c r="K947" s="51"/>
      <c r="L947" s="51"/>
      <c r="M947" s="51"/>
      <c r="N947" s="51"/>
      <c r="O947" s="51"/>
      <c r="P947" s="51"/>
      <c r="Q947" s="51"/>
      <c r="R947" s="51"/>
      <c r="S947" s="51"/>
      <c r="T947" s="51"/>
      <c r="U947" s="51"/>
      <c r="V947" s="51"/>
      <c r="W947" s="51"/>
      <c r="X947" s="51"/>
      <c r="Y947" s="51"/>
      <c r="Z947" s="51"/>
      <c r="AA947" s="51"/>
      <c r="AB947" s="51"/>
    </row>
    <row r="948" customFormat="false" ht="15.75" hidden="false" customHeight="false" outlineLevel="0" collapsed="false">
      <c r="A948" s="51"/>
      <c r="B948" s="51"/>
      <c r="C948" s="6"/>
      <c r="D948" s="49"/>
      <c r="E948" s="51"/>
      <c r="F948" s="6"/>
      <c r="G948" s="6"/>
      <c r="H948" s="6"/>
      <c r="I948" s="6"/>
      <c r="J948" s="6"/>
      <c r="K948" s="51"/>
      <c r="L948" s="51"/>
      <c r="M948" s="51"/>
      <c r="N948" s="51"/>
      <c r="O948" s="51"/>
      <c r="P948" s="51"/>
      <c r="Q948" s="51"/>
      <c r="R948" s="51"/>
      <c r="S948" s="51"/>
      <c r="T948" s="51"/>
      <c r="U948" s="51"/>
      <c r="V948" s="51"/>
      <c r="W948" s="51"/>
      <c r="X948" s="51"/>
      <c r="Y948" s="51"/>
      <c r="Z948" s="51"/>
      <c r="AA948" s="51"/>
      <c r="AB948" s="51"/>
    </row>
    <row r="949" customFormat="false" ht="15.75" hidden="false" customHeight="false" outlineLevel="0" collapsed="false">
      <c r="A949" s="51"/>
      <c r="B949" s="51"/>
      <c r="C949" s="6"/>
      <c r="D949" s="49"/>
      <c r="E949" s="51"/>
      <c r="F949" s="6"/>
      <c r="G949" s="6"/>
      <c r="H949" s="6"/>
      <c r="I949" s="6"/>
      <c r="J949" s="6"/>
      <c r="K949" s="51"/>
      <c r="L949" s="51"/>
      <c r="M949" s="51"/>
      <c r="N949" s="51"/>
      <c r="O949" s="51"/>
      <c r="P949" s="51"/>
      <c r="Q949" s="51"/>
      <c r="R949" s="51"/>
      <c r="S949" s="51"/>
      <c r="T949" s="51"/>
      <c r="U949" s="51"/>
      <c r="V949" s="51"/>
      <c r="W949" s="51"/>
      <c r="X949" s="51"/>
      <c r="Y949" s="51"/>
      <c r="Z949" s="51"/>
      <c r="AA949" s="51"/>
      <c r="AB949" s="51"/>
    </row>
    <row r="950" customFormat="false" ht="15.75" hidden="false" customHeight="false" outlineLevel="0" collapsed="false">
      <c r="A950" s="51"/>
      <c r="B950" s="51"/>
      <c r="C950" s="6"/>
      <c r="D950" s="49"/>
      <c r="E950" s="51"/>
      <c r="F950" s="6"/>
      <c r="G950" s="6"/>
      <c r="H950" s="6"/>
      <c r="I950" s="6"/>
      <c r="J950" s="6"/>
      <c r="K950" s="51"/>
      <c r="L950" s="51"/>
      <c r="M950" s="51"/>
      <c r="N950" s="51"/>
      <c r="O950" s="51"/>
      <c r="P950" s="51"/>
      <c r="Q950" s="51"/>
      <c r="R950" s="51"/>
      <c r="S950" s="51"/>
      <c r="T950" s="51"/>
      <c r="U950" s="51"/>
      <c r="V950" s="51"/>
      <c r="W950" s="51"/>
      <c r="X950" s="51"/>
      <c r="Y950" s="51"/>
      <c r="Z950" s="51"/>
      <c r="AA950" s="51"/>
      <c r="AB950" s="51"/>
    </row>
    <row r="951" customFormat="false" ht="15.75" hidden="false" customHeight="false" outlineLevel="0" collapsed="false">
      <c r="A951" s="51"/>
      <c r="B951" s="51"/>
      <c r="C951" s="6"/>
      <c r="D951" s="49"/>
      <c r="E951" s="51"/>
      <c r="F951" s="6"/>
      <c r="G951" s="6"/>
      <c r="H951" s="6"/>
      <c r="I951" s="6"/>
      <c r="J951" s="6"/>
      <c r="K951" s="51"/>
      <c r="L951" s="51"/>
      <c r="M951" s="51"/>
      <c r="N951" s="51"/>
      <c r="O951" s="51"/>
      <c r="P951" s="51"/>
      <c r="Q951" s="51"/>
      <c r="R951" s="51"/>
      <c r="S951" s="51"/>
      <c r="T951" s="51"/>
      <c r="U951" s="51"/>
      <c r="V951" s="51"/>
      <c r="W951" s="51"/>
      <c r="X951" s="51"/>
      <c r="Y951" s="51"/>
      <c r="Z951" s="51"/>
      <c r="AA951" s="51"/>
      <c r="AB951" s="51"/>
    </row>
    <row r="952" customFormat="false" ht="15.75" hidden="false" customHeight="false" outlineLevel="0" collapsed="false">
      <c r="A952" s="51"/>
      <c r="B952" s="51"/>
      <c r="C952" s="6"/>
      <c r="D952" s="49"/>
      <c r="E952" s="51"/>
      <c r="F952" s="6"/>
      <c r="G952" s="6"/>
      <c r="H952" s="6"/>
      <c r="I952" s="6"/>
      <c r="J952" s="6"/>
      <c r="K952" s="51"/>
      <c r="L952" s="51"/>
      <c r="M952" s="51"/>
      <c r="N952" s="51"/>
      <c r="O952" s="51"/>
      <c r="P952" s="51"/>
      <c r="Q952" s="51"/>
      <c r="R952" s="51"/>
      <c r="S952" s="51"/>
      <c r="T952" s="51"/>
      <c r="U952" s="51"/>
      <c r="V952" s="51"/>
      <c r="W952" s="51"/>
      <c r="X952" s="51"/>
      <c r="Y952" s="51"/>
      <c r="Z952" s="51"/>
      <c r="AA952" s="51"/>
      <c r="AB952" s="51"/>
    </row>
    <row r="953" customFormat="false" ht="15.75" hidden="false" customHeight="false" outlineLevel="0" collapsed="false">
      <c r="A953" s="51"/>
      <c r="B953" s="51"/>
      <c r="C953" s="6"/>
      <c r="D953" s="49"/>
      <c r="E953" s="51"/>
      <c r="F953" s="6"/>
      <c r="G953" s="6"/>
      <c r="H953" s="6"/>
      <c r="I953" s="6"/>
      <c r="J953" s="6"/>
      <c r="K953" s="51"/>
      <c r="L953" s="51"/>
      <c r="M953" s="51"/>
      <c r="N953" s="51"/>
      <c r="O953" s="51"/>
      <c r="P953" s="51"/>
      <c r="Q953" s="51"/>
      <c r="R953" s="51"/>
      <c r="S953" s="51"/>
      <c r="T953" s="51"/>
      <c r="U953" s="51"/>
      <c r="V953" s="51"/>
      <c r="W953" s="51"/>
      <c r="X953" s="51"/>
      <c r="Y953" s="51"/>
      <c r="Z953" s="51"/>
      <c r="AA953" s="51"/>
      <c r="AB953" s="51"/>
    </row>
    <row r="954" customFormat="false" ht="15.75" hidden="false" customHeight="false" outlineLevel="0" collapsed="false">
      <c r="A954" s="51"/>
      <c r="B954" s="51"/>
      <c r="C954" s="6"/>
      <c r="D954" s="49"/>
      <c r="E954" s="51"/>
      <c r="F954" s="6"/>
      <c r="G954" s="6"/>
      <c r="H954" s="6"/>
      <c r="I954" s="6"/>
      <c r="J954" s="6"/>
      <c r="K954" s="51"/>
      <c r="L954" s="51"/>
      <c r="M954" s="51"/>
      <c r="N954" s="51"/>
      <c r="O954" s="51"/>
      <c r="P954" s="51"/>
      <c r="Q954" s="51"/>
      <c r="R954" s="51"/>
      <c r="S954" s="51"/>
      <c r="T954" s="51"/>
      <c r="U954" s="51"/>
      <c r="V954" s="51"/>
      <c r="W954" s="51"/>
      <c r="X954" s="51"/>
      <c r="Y954" s="51"/>
      <c r="Z954" s="51"/>
      <c r="AA954" s="51"/>
      <c r="AB954" s="51"/>
    </row>
    <row r="955" customFormat="false" ht="15.75" hidden="false" customHeight="false" outlineLevel="0" collapsed="false">
      <c r="A955" s="51"/>
      <c r="B955" s="51"/>
      <c r="C955" s="6"/>
      <c r="D955" s="49"/>
      <c r="E955" s="51"/>
      <c r="F955" s="6"/>
      <c r="G955" s="6"/>
      <c r="H955" s="6"/>
      <c r="I955" s="6"/>
      <c r="J955" s="6"/>
      <c r="K955" s="51"/>
      <c r="L955" s="51"/>
      <c r="M955" s="51"/>
      <c r="N955" s="51"/>
      <c r="O955" s="51"/>
      <c r="P955" s="51"/>
      <c r="Q955" s="51"/>
      <c r="R955" s="51"/>
      <c r="S955" s="51"/>
      <c r="T955" s="51"/>
      <c r="U955" s="51"/>
      <c r="V955" s="51"/>
      <c r="W955" s="51"/>
      <c r="X955" s="51"/>
      <c r="Y955" s="51"/>
      <c r="Z955" s="51"/>
      <c r="AA955" s="51"/>
      <c r="AB955" s="51"/>
    </row>
    <row r="956" customFormat="false" ht="15.75" hidden="false" customHeight="false" outlineLevel="0" collapsed="false">
      <c r="A956" s="51"/>
      <c r="B956" s="51"/>
      <c r="C956" s="6"/>
      <c r="D956" s="49"/>
      <c r="E956" s="51"/>
      <c r="F956" s="6"/>
      <c r="G956" s="6"/>
      <c r="H956" s="6"/>
      <c r="I956" s="6"/>
      <c r="J956" s="6"/>
      <c r="K956" s="51"/>
      <c r="L956" s="51"/>
      <c r="M956" s="51"/>
      <c r="N956" s="51"/>
      <c r="O956" s="51"/>
      <c r="P956" s="51"/>
      <c r="Q956" s="51"/>
      <c r="R956" s="51"/>
      <c r="S956" s="51"/>
      <c r="T956" s="51"/>
      <c r="U956" s="51"/>
      <c r="V956" s="51"/>
      <c r="W956" s="51"/>
      <c r="X956" s="51"/>
      <c r="Y956" s="51"/>
      <c r="Z956" s="51"/>
      <c r="AA956" s="51"/>
      <c r="AB956" s="51"/>
    </row>
    <row r="957" customFormat="false" ht="15.75" hidden="false" customHeight="false" outlineLevel="0" collapsed="false">
      <c r="A957" s="51"/>
      <c r="B957" s="51"/>
      <c r="C957" s="6"/>
      <c r="D957" s="49"/>
      <c r="E957" s="51"/>
      <c r="F957" s="6"/>
      <c r="G957" s="6"/>
      <c r="H957" s="6"/>
      <c r="I957" s="6"/>
      <c r="J957" s="6"/>
      <c r="K957" s="51"/>
      <c r="L957" s="51"/>
      <c r="M957" s="51"/>
      <c r="N957" s="51"/>
      <c r="O957" s="51"/>
      <c r="P957" s="51"/>
      <c r="Q957" s="51"/>
      <c r="R957" s="51"/>
      <c r="S957" s="51"/>
      <c r="T957" s="51"/>
      <c r="U957" s="51"/>
      <c r="V957" s="51"/>
      <c r="W957" s="51"/>
      <c r="X957" s="51"/>
      <c r="Y957" s="51"/>
      <c r="Z957" s="51"/>
      <c r="AA957" s="51"/>
      <c r="AB957" s="51"/>
    </row>
    <row r="958" customFormat="false" ht="15.75" hidden="false" customHeight="false" outlineLevel="0" collapsed="false">
      <c r="A958" s="51"/>
      <c r="B958" s="51"/>
      <c r="C958" s="6"/>
      <c r="D958" s="49"/>
      <c r="E958" s="51"/>
      <c r="F958" s="6"/>
      <c r="G958" s="6"/>
      <c r="H958" s="6"/>
      <c r="I958" s="6"/>
      <c r="J958" s="6"/>
      <c r="K958" s="51"/>
      <c r="L958" s="51"/>
      <c r="M958" s="51"/>
      <c r="N958" s="51"/>
      <c r="O958" s="51"/>
      <c r="P958" s="51"/>
      <c r="Q958" s="51"/>
      <c r="R958" s="51"/>
      <c r="S958" s="51"/>
      <c r="T958" s="51"/>
      <c r="U958" s="51"/>
      <c r="V958" s="51"/>
      <c r="W958" s="51"/>
      <c r="X958" s="51"/>
      <c r="Y958" s="51"/>
      <c r="Z958" s="51"/>
      <c r="AA958" s="51"/>
      <c r="AB958" s="51"/>
    </row>
    <row r="959" customFormat="false" ht="15.75" hidden="false" customHeight="false" outlineLevel="0" collapsed="false">
      <c r="A959" s="51"/>
      <c r="B959" s="51"/>
      <c r="C959" s="6"/>
      <c r="D959" s="49"/>
      <c r="E959" s="51"/>
      <c r="F959" s="6"/>
      <c r="G959" s="6"/>
      <c r="H959" s="6"/>
      <c r="I959" s="6"/>
      <c r="J959" s="6"/>
      <c r="K959" s="51"/>
      <c r="L959" s="51"/>
      <c r="M959" s="51"/>
      <c r="N959" s="51"/>
      <c r="O959" s="51"/>
      <c r="P959" s="51"/>
      <c r="Q959" s="51"/>
      <c r="R959" s="51"/>
      <c r="S959" s="51"/>
      <c r="T959" s="51"/>
      <c r="U959" s="51"/>
      <c r="V959" s="51"/>
      <c r="W959" s="51"/>
      <c r="X959" s="51"/>
      <c r="Y959" s="51"/>
      <c r="Z959" s="51"/>
      <c r="AA959" s="51"/>
      <c r="AB959" s="51"/>
    </row>
    <row r="960" customFormat="false" ht="15.75" hidden="false" customHeight="false" outlineLevel="0" collapsed="false">
      <c r="A960" s="51"/>
      <c r="B960" s="51"/>
      <c r="C960" s="6"/>
      <c r="D960" s="49"/>
      <c r="E960" s="51"/>
      <c r="F960" s="6"/>
      <c r="G960" s="6"/>
      <c r="H960" s="6"/>
      <c r="I960" s="6"/>
      <c r="J960" s="6"/>
      <c r="K960" s="51"/>
      <c r="L960" s="51"/>
      <c r="M960" s="51"/>
      <c r="N960" s="51"/>
      <c r="O960" s="51"/>
      <c r="P960" s="51"/>
      <c r="Q960" s="51"/>
      <c r="R960" s="51"/>
      <c r="S960" s="51"/>
      <c r="T960" s="51"/>
      <c r="U960" s="51"/>
      <c r="V960" s="51"/>
      <c r="W960" s="51"/>
      <c r="X960" s="51"/>
      <c r="Y960" s="51"/>
      <c r="Z960" s="51"/>
      <c r="AA960" s="51"/>
      <c r="AB960" s="51"/>
    </row>
    <row r="961" customFormat="false" ht="15.75" hidden="false" customHeight="false" outlineLevel="0" collapsed="false">
      <c r="A961" s="51"/>
      <c r="B961" s="51"/>
      <c r="C961" s="6"/>
      <c r="D961" s="49"/>
      <c r="E961" s="51"/>
      <c r="F961" s="6"/>
      <c r="G961" s="6"/>
      <c r="H961" s="6"/>
      <c r="I961" s="6"/>
      <c r="J961" s="6"/>
      <c r="K961" s="51"/>
      <c r="L961" s="51"/>
      <c r="M961" s="51"/>
      <c r="N961" s="51"/>
      <c r="O961" s="51"/>
      <c r="P961" s="51"/>
      <c r="Q961" s="51"/>
      <c r="R961" s="51"/>
      <c r="S961" s="51"/>
      <c r="T961" s="51"/>
      <c r="U961" s="51"/>
      <c r="V961" s="51"/>
      <c r="W961" s="51"/>
      <c r="X961" s="51"/>
      <c r="Y961" s="51"/>
      <c r="Z961" s="51"/>
      <c r="AA961" s="51"/>
      <c r="AB961" s="51"/>
    </row>
    <row r="962" customFormat="false" ht="15.75" hidden="false" customHeight="false" outlineLevel="0" collapsed="false">
      <c r="A962" s="51"/>
      <c r="B962" s="51"/>
      <c r="C962" s="6"/>
      <c r="D962" s="49"/>
      <c r="E962" s="51"/>
      <c r="F962" s="6"/>
      <c r="G962" s="6"/>
      <c r="H962" s="6"/>
      <c r="I962" s="6"/>
      <c r="J962" s="6"/>
      <c r="K962" s="51"/>
      <c r="L962" s="51"/>
      <c r="M962" s="51"/>
      <c r="N962" s="51"/>
      <c r="O962" s="51"/>
      <c r="P962" s="51"/>
      <c r="Q962" s="51"/>
      <c r="R962" s="51"/>
      <c r="S962" s="51"/>
      <c r="T962" s="51"/>
      <c r="U962" s="51"/>
      <c r="V962" s="51"/>
      <c r="W962" s="51"/>
      <c r="X962" s="51"/>
      <c r="Y962" s="51"/>
      <c r="Z962" s="51"/>
      <c r="AA962" s="51"/>
      <c r="AB962" s="51"/>
    </row>
    <row r="963" customFormat="false" ht="15.75" hidden="false" customHeight="false" outlineLevel="0" collapsed="false">
      <c r="A963" s="51"/>
      <c r="B963" s="51"/>
      <c r="C963" s="6"/>
      <c r="D963" s="49"/>
      <c r="E963" s="51"/>
      <c r="F963" s="6"/>
      <c r="G963" s="6"/>
      <c r="H963" s="6"/>
      <c r="I963" s="6"/>
      <c r="J963" s="6"/>
      <c r="K963" s="51"/>
      <c r="L963" s="51"/>
      <c r="M963" s="51"/>
      <c r="N963" s="51"/>
      <c r="O963" s="51"/>
      <c r="P963" s="51"/>
      <c r="Q963" s="51"/>
      <c r="R963" s="51"/>
      <c r="S963" s="51"/>
      <c r="T963" s="51"/>
      <c r="U963" s="51"/>
      <c r="V963" s="51"/>
      <c r="W963" s="51"/>
      <c r="X963" s="51"/>
      <c r="Y963" s="51"/>
      <c r="Z963" s="51"/>
      <c r="AA963" s="51"/>
      <c r="AB963" s="51"/>
    </row>
    <row r="964" customFormat="false" ht="15.75" hidden="false" customHeight="false" outlineLevel="0" collapsed="false">
      <c r="A964" s="51"/>
      <c r="B964" s="51"/>
      <c r="C964" s="6"/>
      <c r="D964" s="49"/>
      <c r="E964" s="51"/>
      <c r="F964" s="6"/>
      <c r="G964" s="6"/>
      <c r="H964" s="6"/>
      <c r="I964" s="6"/>
      <c r="J964" s="6"/>
      <c r="K964" s="51"/>
      <c r="L964" s="51"/>
      <c r="M964" s="51"/>
      <c r="N964" s="51"/>
      <c r="O964" s="51"/>
      <c r="P964" s="51"/>
      <c r="Q964" s="51"/>
      <c r="R964" s="51"/>
      <c r="S964" s="51"/>
      <c r="T964" s="51"/>
      <c r="U964" s="51"/>
      <c r="V964" s="51"/>
      <c r="W964" s="51"/>
      <c r="X964" s="51"/>
      <c r="Y964" s="51"/>
      <c r="Z964" s="51"/>
      <c r="AA964" s="51"/>
      <c r="AB964" s="51"/>
    </row>
    <row r="965" customFormat="false" ht="15.75" hidden="false" customHeight="false" outlineLevel="0" collapsed="false">
      <c r="A965" s="51"/>
      <c r="B965" s="51"/>
      <c r="C965" s="6"/>
      <c r="D965" s="49"/>
      <c r="E965" s="51"/>
      <c r="F965" s="6"/>
      <c r="G965" s="6"/>
      <c r="H965" s="6"/>
      <c r="I965" s="6"/>
      <c r="J965" s="6"/>
      <c r="K965" s="51"/>
      <c r="L965" s="51"/>
      <c r="M965" s="51"/>
      <c r="N965" s="51"/>
      <c r="O965" s="51"/>
      <c r="P965" s="51"/>
      <c r="Q965" s="51"/>
      <c r="R965" s="51"/>
      <c r="S965" s="51"/>
      <c r="T965" s="51"/>
      <c r="U965" s="51"/>
      <c r="V965" s="51"/>
      <c r="W965" s="51"/>
      <c r="X965" s="51"/>
      <c r="Y965" s="51"/>
      <c r="Z965" s="51"/>
      <c r="AA965" s="51"/>
      <c r="AB965" s="51"/>
    </row>
    <row r="966" customFormat="false" ht="15.75" hidden="false" customHeight="false" outlineLevel="0" collapsed="false">
      <c r="A966" s="51"/>
      <c r="B966" s="51"/>
      <c r="C966" s="6"/>
      <c r="D966" s="49"/>
      <c r="E966" s="51"/>
      <c r="F966" s="6"/>
      <c r="G966" s="6"/>
      <c r="H966" s="6"/>
      <c r="I966" s="6"/>
      <c r="J966" s="6"/>
      <c r="K966" s="51"/>
      <c r="L966" s="51"/>
      <c r="M966" s="51"/>
      <c r="N966" s="51"/>
      <c r="O966" s="51"/>
      <c r="P966" s="51"/>
      <c r="Q966" s="51"/>
      <c r="R966" s="51"/>
      <c r="S966" s="51"/>
      <c r="T966" s="51"/>
      <c r="U966" s="51"/>
      <c r="V966" s="51"/>
      <c r="W966" s="51"/>
      <c r="X966" s="51"/>
      <c r="Y966" s="51"/>
      <c r="Z966" s="51"/>
      <c r="AA966" s="51"/>
      <c r="AB966" s="51"/>
    </row>
    <row r="967" customFormat="false" ht="15.75" hidden="false" customHeight="false" outlineLevel="0" collapsed="false">
      <c r="A967" s="51"/>
      <c r="B967" s="51"/>
      <c r="C967" s="6"/>
      <c r="D967" s="49"/>
      <c r="E967" s="51"/>
      <c r="F967" s="6"/>
      <c r="G967" s="6"/>
      <c r="H967" s="6"/>
      <c r="I967" s="6"/>
      <c r="J967" s="6"/>
      <c r="K967" s="51"/>
      <c r="L967" s="51"/>
      <c r="M967" s="51"/>
      <c r="N967" s="51"/>
      <c r="O967" s="51"/>
      <c r="P967" s="51"/>
      <c r="Q967" s="51"/>
      <c r="R967" s="51"/>
      <c r="S967" s="51"/>
      <c r="T967" s="51"/>
      <c r="U967" s="51"/>
      <c r="V967" s="51"/>
      <c r="W967" s="51"/>
      <c r="X967" s="51"/>
      <c r="Y967" s="51"/>
      <c r="Z967" s="51"/>
      <c r="AA967" s="51"/>
      <c r="AB967" s="51"/>
    </row>
    <row r="968" customFormat="false" ht="15.75" hidden="false" customHeight="false" outlineLevel="0" collapsed="false">
      <c r="A968" s="51"/>
      <c r="B968" s="51"/>
      <c r="C968" s="6"/>
      <c r="D968" s="49"/>
      <c r="E968" s="51"/>
      <c r="F968" s="6"/>
      <c r="G968" s="6"/>
      <c r="H968" s="6"/>
      <c r="I968" s="6"/>
      <c r="J968" s="6"/>
      <c r="K968" s="51"/>
      <c r="L968" s="51"/>
      <c r="M968" s="51"/>
      <c r="N968" s="51"/>
      <c r="O968" s="51"/>
      <c r="P968" s="51"/>
      <c r="Q968" s="51"/>
      <c r="R968" s="51"/>
      <c r="S968" s="51"/>
      <c r="T968" s="51"/>
      <c r="U968" s="51"/>
      <c r="V968" s="51"/>
      <c r="W968" s="51"/>
      <c r="X968" s="51"/>
      <c r="Y968" s="51"/>
      <c r="Z968" s="51"/>
      <c r="AA968" s="51"/>
      <c r="AB968" s="51"/>
    </row>
    <row r="969" customFormat="false" ht="15.75" hidden="false" customHeight="false" outlineLevel="0" collapsed="false">
      <c r="A969" s="51"/>
      <c r="B969" s="51"/>
      <c r="C969" s="6"/>
      <c r="D969" s="49"/>
      <c r="E969" s="51"/>
      <c r="F969" s="6"/>
      <c r="G969" s="6"/>
      <c r="H969" s="6"/>
      <c r="I969" s="6"/>
      <c r="J969" s="6"/>
      <c r="K969" s="51"/>
      <c r="L969" s="51"/>
      <c r="M969" s="51"/>
      <c r="N969" s="51"/>
      <c r="O969" s="51"/>
      <c r="P969" s="51"/>
      <c r="Q969" s="51"/>
      <c r="R969" s="51"/>
      <c r="S969" s="51"/>
      <c r="T969" s="51"/>
      <c r="U969" s="51"/>
      <c r="V969" s="51"/>
      <c r="W969" s="51"/>
      <c r="X969" s="51"/>
      <c r="Y969" s="51"/>
      <c r="Z969" s="51"/>
      <c r="AA969" s="51"/>
      <c r="AB969" s="51"/>
    </row>
    <row r="970" customFormat="false" ht="15.75" hidden="false" customHeight="false" outlineLevel="0" collapsed="false">
      <c r="A970" s="51"/>
      <c r="B970" s="51"/>
      <c r="C970" s="6"/>
      <c r="D970" s="49"/>
      <c r="E970" s="51"/>
      <c r="F970" s="6"/>
      <c r="G970" s="6"/>
      <c r="H970" s="6"/>
      <c r="I970" s="6"/>
      <c r="J970" s="6"/>
      <c r="K970" s="51"/>
      <c r="L970" s="51"/>
      <c r="M970" s="51"/>
      <c r="N970" s="51"/>
      <c r="O970" s="51"/>
      <c r="P970" s="51"/>
      <c r="Q970" s="51"/>
      <c r="R970" s="51"/>
      <c r="S970" s="51"/>
      <c r="T970" s="51"/>
      <c r="U970" s="51"/>
      <c r="V970" s="51"/>
      <c r="W970" s="51"/>
      <c r="X970" s="51"/>
      <c r="Y970" s="51"/>
      <c r="Z970" s="51"/>
      <c r="AA970" s="51"/>
      <c r="AB970" s="51"/>
    </row>
    <row r="971" customFormat="false" ht="15.75" hidden="false" customHeight="false" outlineLevel="0" collapsed="false">
      <c r="A971" s="51"/>
      <c r="B971" s="51"/>
      <c r="C971" s="6"/>
      <c r="D971" s="49"/>
      <c r="E971" s="51"/>
      <c r="F971" s="6"/>
      <c r="G971" s="6"/>
      <c r="H971" s="6"/>
      <c r="I971" s="6"/>
      <c r="J971" s="6"/>
      <c r="K971" s="51"/>
      <c r="L971" s="51"/>
      <c r="M971" s="51"/>
      <c r="N971" s="51"/>
      <c r="O971" s="51"/>
      <c r="P971" s="51"/>
      <c r="Q971" s="51"/>
      <c r="R971" s="51"/>
      <c r="S971" s="51"/>
      <c r="T971" s="51"/>
      <c r="U971" s="51"/>
      <c r="V971" s="51"/>
      <c r="W971" s="51"/>
      <c r="X971" s="51"/>
      <c r="Y971" s="51"/>
      <c r="Z971" s="51"/>
      <c r="AA971" s="51"/>
      <c r="AB971" s="51"/>
    </row>
    <row r="972" customFormat="false" ht="15.75" hidden="false" customHeight="false" outlineLevel="0" collapsed="false">
      <c r="A972" s="51"/>
      <c r="B972" s="51"/>
      <c r="C972" s="6"/>
      <c r="D972" s="49"/>
      <c r="E972" s="51"/>
      <c r="F972" s="6"/>
      <c r="G972" s="6"/>
      <c r="H972" s="6"/>
      <c r="I972" s="6"/>
      <c r="J972" s="6"/>
      <c r="K972" s="51"/>
      <c r="L972" s="51"/>
      <c r="M972" s="51"/>
      <c r="N972" s="51"/>
      <c r="O972" s="51"/>
      <c r="P972" s="51"/>
      <c r="Q972" s="51"/>
      <c r="R972" s="51"/>
      <c r="S972" s="51"/>
      <c r="T972" s="51"/>
      <c r="U972" s="51"/>
      <c r="V972" s="51"/>
      <c r="W972" s="51"/>
      <c r="X972" s="51"/>
      <c r="Y972" s="51"/>
      <c r="Z972" s="51"/>
      <c r="AA972" s="51"/>
      <c r="AB972" s="51"/>
    </row>
    <row r="973" customFormat="false" ht="15.75" hidden="false" customHeight="false" outlineLevel="0" collapsed="false">
      <c r="A973" s="51"/>
      <c r="B973" s="51"/>
      <c r="C973" s="6"/>
      <c r="D973" s="49"/>
      <c r="E973" s="51"/>
      <c r="F973" s="6"/>
      <c r="G973" s="6"/>
      <c r="H973" s="6"/>
      <c r="I973" s="6"/>
      <c r="J973" s="6"/>
      <c r="K973" s="51"/>
      <c r="L973" s="51"/>
      <c r="M973" s="51"/>
      <c r="N973" s="51"/>
      <c r="O973" s="51"/>
      <c r="P973" s="51"/>
      <c r="Q973" s="51"/>
      <c r="R973" s="51"/>
      <c r="S973" s="51"/>
      <c r="T973" s="51"/>
      <c r="U973" s="51"/>
      <c r="V973" s="51"/>
      <c r="W973" s="51"/>
      <c r="X973" s="51"/>
      <c r="Y973" s="51"/>
      <c r="Z973" s="51"/>
      <c r="AA973" s="51"/>
      <c r="AB973" s="51"/>
    </row>
    <row r="974" customFormat="false" ht="15.75" hidden="false" customHeight="false" outlineLevel="0" collapsed="false">
      <c r="A974" s="51"/>
      <c r="B974" s="51"/>
      <c r="C974" s="6"/>
      <c r="D974" s="49"/>
      <c r="E974" s="51"/>
      <c r="F974" s="6"/>
      <c r="G974" s="6"/>
      <c r="H974" s="6"/>
      <c r="I974" s="6"/>
      <c r="J974" s="6"/>
      <c r="K974" s="51"/>
      <c r="L974" s="51"/>
      <c r="M974" s="51"/>
      <c r="N974" s="51"/>
      <c r="O974" s="51"/>
      <c r="P974" s="51"/>
      <c r="Q974" s="51"/>
      <c r="R974" s="51"/>
      <c r="S974" s="51"/>
      <c r="T974" s="51"/>
      <c r="U974" s="51"/>
      <c r="V974" s="51"/>
      <c r="W974" s="51"/>
      <c r="X974" s="51"/>
      <c r="Y974" s="51"/>
      <c r="Z974" s="51"/>
      <c r="AA974" s="51"/>
      <c r="AB974" s="51"/>
    </row>
    <row r="975" customFormat="false" ht="15.75" hidden="false" customHeight="false" outlineLevel="0" collapsed="false">
      <c r="A975" s="51"/>
      <c r="B975" s="51"/>
      <c r="C975" s="6"/>
      <c r="D975" s="49"/>
      <c r="E975" s="51"/>
      <c r="F975" s="6"/>
      <c r="G975" s="6"/>
      <c r="H975" s="6"/>
      <c r="I975" s="6"/>
      <c r="J975" s="6"/>
      <c r="K975" s="51"/>
      <c r="L975" s="51"/>
      <c r="M975" s="51"/>
      <c r="N975" s="51"/>
      <c r="O975" s="51"/>
      <c r="P975" s="51"/>
      <c r="Q975" s="51"/>
      <c r="R975" s="51"/>
      <c r="S975" s="51"/>
      <c r="T975" s="51"/>
      <c r="U975" s="51"/>
      <c r="V975" s="51"/>
      <c r="W975" s="51"/>
      <c r="X975" s="51"/>
      <c r="Y975" s="51"/>
      <c r="Z975" s="51"/>
      <c r="AA975" s="51"/>
      <c r="AB975" s="51"/>
    </row>
    <row r="976" customFormat="false" ht="15.75" hidden="false" customHeight="false" outlineLevel="0" collapsed="false">
      <c r="A976" s="51"/>
      <c r="B976" s="51"/>
      <c r="C976" s="6"/>
      <c r="D976" s="49"/>
      <c r="E976" s="51"/>
      <c r="F976" s="6"/>
      <c r="G976" s="6"/>
      <c r="H976" s="6"/>
      <c r="I976" s="6"/>
      <c r="J976" s="6"/>
      <c r="K976" s="51"/>
      <c r="L976" s="51"/>
      <c r="M976" s="51"/>
      <c r="N976" s="51"/>
      <c r="O976" s="51"/>
      <c r="P976" s="51"/>
      <c r="Q976" s="51"/>
      <c r="R976" s="51"/>
      <c r="S976" s="51"/>
      <c r="T976" s="51"/>
      <c r="U976" s="51"/>
      <c r="V976" s="51"/>
      <c r="W976" s="51"/>
      <c r="X976" s="51"/>
      <c r="Y976" s="51"/>
      <c r="Z976" s="51"/>
      <c r="AA976" s="51"/>
      <c r="AB976" s="51"/>
    </row>
    <row r="977" customFormat="false" ht="15.75" hidden="false" customHeight="false" outlineLevel="0" collapsed="false">
      <c r="A977" s="51"/>
      <c r="B977" s="51"/>
      <c r="C977" s="6"/>
      <c r="D977" s="49"/>
      <c r="E977" s="51"/>
      <c r="F977" s="6"/>
      <c r="G977" s="6"/>
      <c r="H977" s="6"/>
      <c r="I977" s="6"/>
      <c r="J977" s="6"/>
      <c r="K977" s="51"/>
      <c r="L977" s="51"/>
      <c r="M977" s="51"/>
      <c r="N977" s="51"/>
      <c r="O977" s="51"/>
      <c r="P977" s="51"/>
      <c r="Q977" s="51"/>
      <c r="R977" s="51"/>
      <c r="S977" s="51"/>
      <c r="T977" s="51"/>
      <c r="U977" s="51"/>
      <c r="V977" s="51"/>
      <c r="W977" s="51"/>
      <c r="X977" s="51"/>
      <c r="Y977" s="51"/>
      <c r="Z977" s="51"/>
      <c r="AA977" s="51"/>
      <c r="AB977" s="51"/>
    </row>
    <row r="978" customFormat="false" ht="15.75" hidden="false" customHeight="false" outlineLevel="0" collapsed="false">
      <c r="A978" s="51"/>
      <c r="B978" s="51"/>
      <c r="C978" s="6"/>
      <c r="D978" s="49"/>
      <c r="E978" s="51"/>
      <c r="F978" s="6"/>
      <c r="G978" s="6"/>
      <c r="H978" s="6"/>
      <c r="I978" s="6"/>
      <c r="J978" s="6"/>
      <c r="K978" s="51"/>
      <c r="L978" s="51"/>
      <c r="M978" s="51"/>
      <c r="N978" s="51"/>
      <c r="O978" s="51"/>
      <c r="P978" s="51"/>
      <c r="Q978" s="51"/>
      <c r="R978" s="51"/>
      <c r="S978" s="51"/>
      <c r="T978" s="51"/>
      <c r="U978" s="51"/>
      <c r="V978" s="51"/>
      <c r="W978" s="51"/>
      <c r="X978" s="51"/>
      <c r="Y978" s="51"/>
      <c r="Z978" s="51"/>
      <c r="AA978" s="51"/>
      <c r="AB978" s="51"/>
    </row>
    <row r="979" customFormat="false" ht="15.75" hidden="false" customHeight="false" outlineLevel="0" collapsed="false">
      <c r="A979" s="51"/>
      <c r="B979" s="51"/>
      <c r="C979" s="6"/>
      <c r="D979" s="49"/>
      <c r="E979" s="51"/>
      <c r="F979" s="6"/>
      <c r="G979" s="6"/>
      <c r="H979" s="6"/>
      <c r="I979" s="6"/>
      <c r="J979" s="6"/>
      <c r="K979" s="51"/>
      <c r="L979" s="51"/>
      <c r="M979" s="51"/>
      <c r="N979" s="51"/>
      <c r="O979" s="51"/>
      <c r="P979" s="51"/>
      <c r="Q979" s="51"/>
      <c r="R979" s="51"/>
      <c r="S979" s="51"/>
      <c r="T979" s="51"/>
      <c r="U979" s="51"/>
      <c r="V979" s="51"/>
      <c r="W979" s="51"/>
      <c r="X979" s="51"/>
      <c r="Y979" s="51"/>
      <c r="Z979" s="51"/>
      <c r="AA979" s="51"/>
      <c r="AB979" s="51"/>
    </row>
    <row r="980" customFormat="false" ht="15.75" hidden="false" customHeight="false" outlineLevel="0" collapsed="false">
      <c r="A980" s="51"/>
      <c r="B980" s="51"/>
      <c r="C980" s="6"/>
      <c r="D980" s="49"/>
      <c r="E980" s="51"/>
      <c r="F980" s="6"/>
      <c r="G980" s="6"/>
      <c r="H980" s="6"/>
      <c r="I980" s="6"/>
      <c r="J980" s="6"/>
      <c r="K980" s="51"/>
      <c r="L980" s="51"/>
      <c r="M980" s="51"/>
      <c r="N980" s="51"/>
      <c r="O980" s="51"/>
      <c r="P980" s="51"/>
      <c r="Q980" s="51"/>
      <c r="R980" s="51"/>
      <c r="S980" s="51"/>
      <c r="T980" s="51"/>
      <c r="U980" s="51"/>
      <c r="V980" s="51"/>
      <c r="W980" s="51"/>
      <c r="X980" s="51"/>
      <c r="Y980" s="51"/>
      <c r="Z980" s="51"/>
      <c r="AA980" s="51"/>
      <c r="AB980" s="51"/>
    </row>
    <row r="981" customFormat="false" ht="15.75" hidden="false" customHeight="false" outlineLevel="0" collapsed="false">
      <c r="A981" s="51"/>
      <c r="B981" s="51"/>
      <c r="C981" s="6"/>
      <c r="D981" s="49"/>
      <c r="E981" s="51"/>
      <c r="F981" s="6"/>
      <c r="G981" s="6"/>
      <c r="H981" s="6"/>
      <c r="I981" s="6"/>
      <c r="J981" s="6"/>
      <c r="K981" s="51"/>
      <c r="L981" s="51"/>
      <c r="M981" s="51"/>
      <c r="N981" s="51"/>
      <c r="O981" s="51"/>
      <c r="P981" s="51"/>
      <c r="Q981" s="51"/>
      <c r="R981" s="51"/>
      <c r="S981" s="51"/>
      <c r="T981" s="51"/>
      <c r="U981" s="51"/>
      <c r="V981" s="51"/>
      <c r="W981" s="51"/>
      <c r="X981" s="51"/>
      <c r="Y981" s="51"/>
      <c r="Z981" s="51"/>
      <c r="AA981" s="51"/>
      <c r="AB981" s="51"/>
    </row>
    <row r="982" customFormat="false" ht="15.75" hidden="false" customHeight="false" outlineLevel="0" collapsed="false">
      <c r="A982" s="51"/>
      <c r="B982" s="51"/>
      <c r="C982" s="6"/>
      <c r="D982" s="49"/>
      <c r="E982" s="51"/>
      <c r="F982" s="6"/>
      <c r="G982" s="6"/>
      <c r="H982" s="6"/>
      <c r="I982" s="6"/>
      <c r="J982" s="6"/>
      <c r="K982" s="51"/>
      <c r="L982" s="51"/>
      <c r="M982" s="51"/>
      <c r="N982" s="51"/>
      <c r="O982" s="51"/>
      <c r="P982" s="51"/>
      <c r="Q982" s="51"/>
      <c r="R982" s="51"/>
      <c r="S982" s="51"/>
      <c r="T982" s="51"/>
      <c r="U982" s="51"/>
      <c r="V982" s="51"/>
      <c r="W982" s="51"/>
      <c r="X982" s="51"/>
      <c r="Y982" s="51"/>
      <c r="Z982" s="51"/>
      <c r="AA982" s="51"/>
      <c r="AB982" s="51"/>
    </row>
    <row r="983" customFormat="false" ht="15.75" hidden="false" customHeight="false" outlineLevel="0" collapsed="false">
      <c r="A983" s="51"/>
      <c r="B983" s="51"/>
      <c r="C983" s="6"/>
      <c r="D983" s="49"/>
      <c r="E983" s="51"/>
      <c r="F983" s="6"/>
      <c r="G983" s="6"/>
      <c r="H983" s="6"/>
      <c r="I983" s="6"/>
      <c r="J983" s="6"/>
      <c r="K983" s="51"/>
      <c r="L983" s="51"/>
      <c r="M983" s="51"/>
      <c r="N983" s="51"/>
      <c r="O983" s="51"/>
      <c r="P983" s="51"/>
      <c r="Q983" s="51"/>
      <c r="R983" s="51"/>
      <c r="S983" s="51"/>
      <c r="T983" s="51"/>
      <c r="U983" s="51"/>
      <c r="V983" s="51"/>
      <c r="W983" s="51"/>
      <c r="X983" s="51"/>
      <c r="Y983" s="51"/>
      <c r="Z983" s="51"/>
      <c r="AA983" s="51"/>
      <c r="AB983" s="51"/>
    </row>
    <row r="984" customFormat="false" ht="15.75" hidden="false" customHeight="false" outlineLevel="0" collapsed="false">
      <c r="A984" s="51"/>
      <c r="B984" s="51"/>
      <c r="C984" s="6"/>
      <c r="D984" s="49"/>
      <c r="E984" s="51"/>
      <c r="F984" s="6"/>
      <c r="G984" s="6"/>
      <c r="H984" s="6"/>
      <c r="I984" s="6"/>
      <c r="J984" s="6"/>
      <c r="K984" s="51"/>
      <c r="L984" s="51"/>
      <c r="M984" s="51"/>
      <c r="N984" s="51"/>
      <c r="O984" s="51"/>
      <c r="P984" s="51"/>
      <c r="Q984" s="51"/>
      <c r="R984" s="51"/>
      <c r="S984" s="51"/>
      <c r="T984" s="51"/>
      <c r="U984" s="51"/>
      <c r="V984" s="51"/>
      <c r="W984" s="51"/>
      <c r="X984" s="51"/>
      <c r="Y984" s="51"/>
      <c r="Z984" s="51"/>
      <c r="AA984" s="51"/>
      <c r="AB984" s="51"/>
    </row>
    <row r="985" customFormat="false" ht="15.75" hidden="false" customHeight="false" outlineLevel="0" collapsed="false">
      <c r="A985" s="51"/>
      <c r="B985" s="51"/>
      <c r="C985" s="6"/>
      <c r="D985" s="49"/>
      <c r="E985" s="51"/>
      <c r="F985" s="6"/>
      <c r="G985" s="6"/>
      <c r="H985" s="6"/>
      <c r="I985" s="6"/>
      <c r="J985" s="6"/>
      <c r="K985" s="51"/>
      <c r="L985" s="51"/>
      <c r="M985" s="51"/>
      <c r="N985" s="51"/>
      <c r="O985" s="51"/>
      <c r="P985" s="51"/>
      <c r="Q985" s="51"/>
      <c r="R985" s="51"/>
      <c r="S985" s="51"/>
      <c r="T985" s="51"/>
      <c r="U985" s="51"/>
      <c r="V985" s="51"/>
      <c r="W985" s="51"/>
      <c r="X985" s="51"/>
      <c r="Y985" s="51"/>
      <c r="Z985" s="51"/>
      <c r="AA985" s="51"/>
      <c r="AB985" s="51"/>
    </row>
    <row r="986" customFormat="false" ht="15.75" hidden="false" customHeight="false" outlineLevel="0" collapsed="false">
      <c r="A986" s="51"/>
      <c r="B986" s="51"/>
      <c r="C986" s="6"/>
      <c r="D986" s="49"/>
      <c r="E986" s="51"/>
      <c r="F986" s="6"/>
      <c r="G986" s="6"/>
      <c r="H986" s="6"/>
      <c r="I986" s="6"/>
      <c r="J986" s="6"/>
      <c r="K986" s="51"/>
      <c r="L986" s="51"/>
      <c r="M986" s="51"/>
      <c r="N986" s="51"/>
      <c r="O986" s="51"/>
      <c r="P986" s="51"/>
      <c r="Q986" s="51"/>
      <c r="R986" s="51"/>
      <c r="S986" s="51"/>
      <c r="T986" s="51"/>
      <c r="U986" s="51"/>
      <c r="V986" s="51"/>
      <c r="W986" s="51"/>
      <c r="X986" s="51"/>
      <c r="Y986" s="51"/>
      <c r="Z986" s="51"/>
      <c r="AA986" s="51"/>
      <c r="AB986" s="51"/>
    </row>
    <row r="987" customFormat="false" ht="15.75" hidden="false" customHeight="false" outlineLevel="0" collapsed="false">
      <c r="A987" s="51"/>
      <c r="B987" s="51"/>
      <c r="C987" s="6"/>
      <c r="D987" s="49"/>
      <c r="E987" s="51"/>
      <c r="F987" s="6"/>
      <c r="G987" s="6"/>
      <c r="H987" s="6"/>
      <c r="I987" s="6"/>
      <c r="J987" s="6"/>
      <c r="K987" s="51"/>
      <c r="L987" s="51"/>
      <c r="M987" s="51"/>
      <c r="N987" s="51"/>
      <c r="O987" s="51"/>
      <c r="P987" s="51"/>
      <c r="Q987" s="51"/>
      <c r="R987" s="51"/>
      <c r="S987" s="51"/>
      <c r="T987" s="51"/>
      <c r="U987" s="51"/>
      <c r="V987" s="51"/>
      <c r="W987" s="51"/>
      <c r="X987" s="51"/>
      <c r="Y987" s="51"/>
      <c r="Z987" s="51"/>
      <c r="AA987" s="51"/>
      <c r="AB987" s="51"/>
    </row>
    <row r="988" customFormat="false" ht="15.75" hidden="false" customHeight="false" outlineLevel="0" collapsed="false">
      <c r="A988" s="51"/>
      <c r="B988" s="51"/>
      <c r="C988" s="6"/>
      <c r="D988" s="49"/>
      <c r="E988" s="51"/>
      <c r="F988" s="6"/>
      <c r="G988" s="6"/>
      <c r="H988" s="6"/>
      <c r="I988" s="6"/>
      <c r="J988" s="6"/>
      <c r="K988" s="51"/>
      <c r="L988" s="51"/>
      <c r="M988" s="51"/>
      <c r="N988" s="51"/>
      <c r="O988" s="51"/>
      <c r="P988" s="51"/>
      <c r="Q988" s="51"/>
      <c r="R988" s="51"/>
      <c r="S988" s="51"/>
      <c r="T988" s="51"/>
      <c r="U988" s="51"/>
      <c r="V988" s="51"/>
      <c r="W988" s="51"/>
      <c r="X988" s="51"/>
      <c r="Y988" s="51"/>
      <c r="Z988" s="51"/>
      <c r="AA988" s="51"/>
      <c r="AB988" s="51"/>
    </row>
    <row r="989" customFormat="false" ht="15.75" hidden="false" customHeight="false" outlineLevel="0" collapsed="false">
      <c r="A989" s="51"/>
      <c r="B989" s="51"/>
      <c r="C989" s="6"/>
      <c r="D989" s="49"/>
      <c r="E989" s="51"/>
      <c r="F989" s="6"/>
      <c r="G989" s="6"/>
      <c r="H989" s="6"/>
      <c r="I989" s="6"/>
      <c r="J989" s="6"/>
      <c r="K989" s="51"/>
      <c r="L989" s="51"/>
      <c r="M989" s="51"/>
      <c r="N989" s="51"/>
      <c r="O989" s="51"/>
      <c r="P989" s="51"/>
      <c r="Q989" s="51"/>
      <c r="R989" s="51"/>
      <c r="S989" s="51"/>
      <c r="T989" s="51"/>
      <c r="U989" s="51"/>
      <c r="V989" s="51"/>
      <c r="W989" s="51"/>
      <c r="X989" s="51"/>
      <c r="Y989" s="51"/>
      <c r="Z989" s="51"/>
      <c r="AA989" s="51"/>
      <c r="AB989" s="51"/>
    </row>
    <row r="990" customFormat="false" ht="15.75" hidden="false" customHeight="false" outlineLevel="0" collapsed="false">
      <c r="A990" s="51"/>
      <c r="B990" s="51"/>
      <c r="C990" s="6"/>
      <c r="D990" s="49"/>
      <c r="E990" s="51"/>
      <c r="F990" s="6"/>
      <c r="G990" s="6"/>
      <c r="H990" s="6"/>
      <c r="I990" s="6"/>
      <c r="J990" s="6"/>
      <c r="K990" s="51"/>
      <c r="L990" s="51"/>
      <c r="M990" s="51"/>
      <c r="N990" s="51"/>
      <c r="O990" s="51"/>
      <c r="P990" s="51"/>
      <c r="Q990" s="51"/>
      <c r="R990" s="51"/>
      <c r="S990" s="51"/>
      <c r="T990" s="51"/>
      <c r="U990" s="51"/>
      <c r="V990" s="51"/>
      <c r="W990" s="51"/>
      <c r="X990" s="51"/>
      <c r="Y990" s="51"/>
      <c r="Z990" s="51"/>
      <c r="AA990" s="51"/>
      <c r="AB990" s="51"/>
    </row>
    <row r="991" customFormat="false" ht="15.75" hidden="false" customHeight="false" outlineLevel="0" collapsed="false">
      <c r="A991" s="51"/>
      <c r="B991" s="51"/>
      <c r="C991" s="6"/>
      <c r="D991" s="49"/>
      <c r="E991" s="51"/>
      <c r="F991" s="6"/>
      <c r="G991" s="6"/>
      <c r="H991" s="6"/>
      <c r="I991" s="6"/>
      <c r="J991" s="6"/>
      <c r="K991" s="51"/>
      <c r="L991" s="51"/>
      <c r="M991" s="51"/>
      <c r="N991" s="51"/>
      <c r="O991" s="51"/>
      <c r="P991" s="51"/>
      <c r="Q991" s="51"/>
      <c r="R991" s="51"/>
      <c r="S991" s="51"/>
      <c r="T991" s="51"/>
      <c r="U991" s="51"/>
      <c r="V991" s="51"/>
      <c r="W991" s="51"/>
      <c r="X991" s="51"/>
      <c r="Y991" s="51"/>
      <c r="Z991" s="51"/>
      <c r="AA991" s="51"/>
      <c r="AB991" s="51"/>
    </row>
    <row r="992" customFormat="false" ht="15.75" hidden="false" customHeight="false" outlineLevel="0" collapsed="false">
      <c r="A992" s="51"/>
      <c r="B992" s="51"/>
      <c r="C992" s="6"/>
      <c r="D992" s="49"/>
      <c r="E992" s="51"/>
      <c r="F992" s="6"/>
      <c r="G992" s="6"/>
      <c r="H992" s="6"/>
      <c r="I992" s="6"/>
      <c r="J992" s="6"/>
      <c r="K992" s="51"/>
      <c r="L992" s="51"/>
      <c r="M992" s="51"/>
      <c r="N992" s="51"/>
      <c r="O992" s="51"/>
      <c r="P992" s="51"/>
      <c r="Q992" s="51"/>
      <c r="R992" s="51"/>
      <c r="S992" s="51"/>
      <c r="T992" s="51"/>
      <c r="U992" s="51"/>
      <c r="V992" s="51"/>
      <c r="W992" s="51"/>
      <c r="X992" s="51"/>
      <c r="Y992" s="51"/>
      <c r="Z992" s="51"/>
      <c r="AA992" s="51"/>
      <c r="AB992" s="51"/>
    </row>
    <row r="993" customFormat="false" ht="15.75" hidden="false" customHeight="false" outlineLevel="0" collapsed="false">
      <c r="A993" s="51"/>
      <c r="B993" s="51"/>
      <c r="C993" s="6"/>
      <c r="D993" s="49"/>
      <c r="E993" s="51"/>
      <c r="F993" s="6"/>
      <c r="G993" s="6"/>
      <c r="H993" s="6"/>
      <c r="I993" s="6"/>
      <c r="J993" s="6"/>
      <c r="K993" s="51"/>
      <c r="L993" s="51"/>
      <c r="M993" s="51"/>
      <c r="N993" s="51"/>
      <c r="O993" s="51"/>
      <c r="P993" s="51"/>
      <c r="Q993" s="51"/>
      <c r="R993" s="51"/>
      <c r="S993" s="51"/>
      <c r="T993" s="51"/>
      <c r="U993" s="51"/>
      <c r="V993" s="51"/>
      <c r="W993" s="51"/>
      <c r="X993" s="51"/>
      <c r="Y993" s="51"/>
      <c r="Z993" s="51"/>
      <c r="AA993" s="51"/>
      <c r="AB993" s="51"/>
    </row>
    <row r="994" customFormat="false" ht="15.75" hidden="false" customHeight="false" outlineLevel="0" collapsed="false">
      <c r="A994" s="51"/>
      <c r="B994" s="51"/>
      <c r="C994" s="6"/>
      <c r="D994" s="49"/>
      <c r="E994" s="51"/>
      <c r="F994" s="6"/>
      <c r="G994" s="6"/>
      <c r="H994" s="6"/>
      <c r="I994" s="6"/>
      <c r="J994" s="6"/>
      <c r="K994" s="51"/>
      <c r="L994" s="51"/>
      <c r="M994" s="51"/>
      <c r="N994" s="51"/>
      <c r="O994" s="51"/>
      <c r="P994" s="51"/>
      <c r="Q994" s="51"/>
      <c r="R994" s="51"/>
      <c r="S994" s="51"/>
      <c r="T994" s="51"/>
      <c r="U994" s="51"/>
      <c r="V994" s="51"/>
      <c r="W994" s="51"/>
      <c r="X994" s="51"/>
      <c r="Y994" s="51"/>
      <c r="Z994" s="51"/>
      <c r="AA994" s="51"/>
      <c r="AB994" s="51"/>
    </row>
    <row r="995" customFormat="false" ht="15.75" hidden="false" customHeight="false" outlineLevel="0" collapsed="false">
      <c r="A995" s="51"/>
      <c r="B995" s="51"/>
      <c r="C995" s="6"/>
      <c r="D995" s="49"/>
      <c r="E995" s="51"/>
      <c r="F995" s="6"/>
      <c r="G995" s="6"/>
      <c r="H995" s="6"/>
      <c r="I995" s="6"/>
      <c r="J995" s="6"/>
      <c r="K995" s="51"/>
      <c r="L995" s="51"/>
      <c r="M995" s="51"/>
      <c r="N995" s="51"/>
      <c r="O995" s="51"/>
      <c r="P995" s="51"/>
      <c r="Q995" s="51"/>
      <c r="R995" s="51"/>
      <c r="S995" s="51"/>
      <c r="T995" s="51"/>
      <c r="U995" s="51"/>
      <c r="V995" s="51"/>
      <c r="W995" s="51"/>
      <c r="X995" s="51"/>
      <c r="Y995" s="51"/>
      <c r="Z995" s="51"/>
      <c r="AA995" s="51"/>
      <c r="AB995" s="51"/>
    </row>
    <row r="996" customFormat="false" ht="15.75" hidden="false" customHeight="false" outlineLevel="0" collapsed="false">
      <c r="A996" s="51"/>
      <c r="B996" s="51"/>
      <c r="C996" s="6"/>
      <c r="D996" s="49"/>
      <c r="E996" s="51"/>
      <c r="F996" s="6"/>
      <c r="G996" s="6"/>
      <c r="H996" s="6"/>
      <c r="I996" s="6"/>
      <c r="J996" s="6"/>
      <c r="K996" s="51"/>
      <c r="L996" s="51"/>
      <c r="M996" s="51"/>
      <c r="N996" s="51"/>
      <c r="O996" s="51"/>
      <c r="P996" s="51"/>
      <c r="Q996" s="51"/>
      <c r="R996" s="51"/>
      <c r="S996" s="51"/>
      <c r="T996" s="51"/>
      <c r="U996" s="51"/>
      <c r="V996" s="51"/>
      <c r="W996" s="51"/>
      <c r="X996" s="51"/>
      <c r="Y996" s="51"/>
      <c r="Z996" s="51"/>
      <c r="AA996" s="51"/>
      <c r="AB996" s="51"/>
    </row>
    <row r="997" customFormat="false" ht="15.75" hidden="false" customHeight="false" outlineLevel="0" collapsed="false">
      <c r="A997" s="51"/>
      <c r="B997" s="51"/>
      <c r="C997" s="6"/>
      <c r="D997" s="49"/>
      <c r="E997" s="51"/>
      <c r="F997" s="6"/>
      <c r="G997" s="6"/>
      <c r="H997" s="6"/>
      <c r="I997" s="6"/>
      <c r="J997" s="6"/>
      <c r="K997" s="51"/>
      <c r="L997" s="51"/>
      <c r="M997" s="51"/>
      <c r="N997" s="51"/>
      <c r="O997" s="51"/>
      <c r="P997" s="51"/>
      <c r="Q997" s="51"/>
      <c r="R997" s="51"/>
      <c r="S997" s="51"/>
      <c r="T997" s="51"/>
      <c r="U997" s="51"/>
      <c r="V997" s="51"/>
      <c r="W997" s="51"/>
      <c r="X997" s="51"/>
      <c r="Y997" s="51"/>
      <c r="Z997" s="51"/>
      <c r="AA997" s="51"/>
      <c r="AB997" s="51"/>
    </row>
    <row r="998" customFormat="false" ht="15.75" hidden="false" customHeight="false" outlineLevel="0" collapsed="false">
      <c r="A998" s="51"/>
      <c r="B998" s="51"/>
      <c r="C998" s="6"/>
      <c r="D998" s="49"/>
      <c r="E998" s="51"/>
      <c r="F998" s="6"/>
      <c r="G998" s="6"/>
      <c r="H998" s="6"/>
      <c r="I998" s="6"/>
      <c r="J998" s="6"/>
      <c r="K998" s="51"/>
      <c r="L998" s="51"/>
      <c r="M998" s="51"/>
      <c r="N998" s="51"/>
      <c r="O998" s="51"/>
      <c r="P998" s="51"/>
      <c r="Q998" s="51"/>
      <c r="R998" s="51"/>
      <c r="S998" s="51"/>
      <c r="T998" s="51"/>
      <c r="U998" s="51"/>
      <c r="V998" s="51"/>
      <c r="W998" s="51"/>
      <c r="X998" s="51"/>
      <c r="Y998" s="51"/>
      <c r="Z998" s="51"/>
      <c r="AA998" s="51"/>
      <c r="AB998" s="51"/>
    </row>
    <row r="999" customFormat="false" ht="15.75" hidden="false" customHeight="false" outlineLevel="0" collapsed="false">
      <c r="A999" s="51"/>
      <c r="B999" s="51"/>
      <c r="C999" s="6"/>
      <c r="D999" s="49"/>
      <c r="E999" s="51"/>
      <c r="F999" s="6"/>
      <c r="G999" s="6"/>
      <c r="H999" s="6"/>
      <c r="I999" s="6"/>
      <c r="J999" s="6"/>
      <c r="K999" s="51"/>
      <c r="L999" s="51"/>
      <c r="M999" s="51"/>
      <c r="N999" s="51"/>
      <c r="O999" s="51"/>
      <c r="P999" s="51"/>
      <c r="Q999" s="51"/>
      <c r="R999" s="51"/>
      <c r="S999" s="51"/>
      <c r="T999" s="51"/>
      <c r="U999" s="51"/>
      <c r="V999" s="51"/>
      <c r="W999" s="51"/>
      <c r="X999" s="51"/>
      <c r="Y999" s="51"/>
      <c r="Z999" s="51"/>
      <c r="AA999" s="51"/>
      <c r="AB999" s="51"/>
    </row>
    <row r="1000" customFormat="false" ht="15.75" hidden="false" customHeight="false" outlineLevel="0" collapsed="false">
      <c r="A1000" s="51"/>
      <c r="B1000" s="51"/>
      <c r="C1000" s="6"/>
      <c r="D1000" s="49"/>
      <c r="E1000" s="51"/>
      <c r="F1000" s="6"/>
      <c r="G1000" s="6"/>
      <c r="H1000" s="6"/>
      <c r="I1000" s="6"/>
      <c r="J1000" s="6"/>
      <c r="K1000" s="51"/>
      <c r="L1000" s="51"/>
      <c r="M1000" s="51"/>
      <c r="N1000" s="51"/>
      <c r="O1000" s="51"/>
      <c r="P1000" s="51"/>
      <c r="Q1000" s="51"/>
      <c r="R1000" s="51"/>
      <c r="S1000" s="51"/>
      <c r="T1000" s="51"/>
      <c r="U1000" s="51"/>
      <c r="V1000" s="51"/>
      <c r="W1000" s="51"/>
      <c r="X1000" s="51"/>
      <c r="Y1000" s="51"/>
      <c r="Z1000" s="51"/>
      <c r="AA1000" s="51"/>
      <c r="AB1000" s="51"/>
    </row>
    <row r="1001" customFormat="false" ht="15.75" hidden="false" customHeight="false" outlineLevel="0" collapsed="false">
      <c r="A1001" s="51"/>
      <c r="B1001" s="51"/>
      <c r="C1001" s="6"/>
      <c r="D1001" s="49"/>
      <c r="E1001" s="51"/>
      <c r="F1001" s="6"/>
      <c r="G1001" s="6"/>
      <c r="H1001" s="6"/>
      <c r="I1001" s="6"/>
      <c r="J1001" s="6"/>
      <c r="K1001" s="51"/>
      <c r="L1001" s="51"/>
      <c r="M1001" s="51"/>
      <c r="N1001" s="51"/>
      <c r="O1001" s="51"/>
      <c r="P1001" s="51"/>
      <c r="Q1001" s="51"/>
      <c r="R1001" s="51"/>
      <c r="S1001" s="51"/>
      <c r="T1001" s="51"/>
      <c r="U1001" s="51"/>
      <c r="V1001" s="51"/>
      <c r="W1001" s="51"/>
      <c r="X1001" s="51"/>
      <c r="Y1001" s="51"/>
      <c r="Z1001" s="51"/>
      <c r="AA1001" s="51"/>
      <c r="AB1001" s="51"/>
    </row>
    <row r="1002" customFormat="false" ht="15.75" hidden="false" customHeight="false" outlineLevel="0" collapsed="false">
      <c r="A1002" s="51"/>
      <c r="B1002" s="51"/>
      <c r="C1002" s="6"/>
      <c r="D1002" s="49"/>
      <c r="E1002" s="51"/>
      <c r="F1002" s="6"/>
      <c r="G1002" s="6"/>
      <c r="H1002" s="6"/>
      <c r="I1002" s="6"/>
      <c r="J1002" s="6"/>
      <c r="K1002" s="51"/>
      <c r="L1002" s="51"/>
      <c r="M1002" s="51"/>
      <c r="N1002" s="51"/>
      <c r="O1002" s="51"/>
      <c r="P1002" s="51"/>
      <c r="Q1002" s="51"/>
      <c r="R1002" s="51"/>
      <c r="S1002" s="51"/>
      <c r="T1002" s="51"/>
      <c r="U1002" s="51"/>
      <c r="V1002" s="51"/>
      <c r="W1002" s="51"/>
      <c r="X1002" s="51"/>
      <c r="Y1002" s="51"/>
      <c r="Z1002" s="51"/>
      <c r="AA1002" s="51"/>
      <c r="AB1002" s="51"/>
    </row>
  </sheetData>
  <mergeCells count="66">
    <mergeCell ref="A2:A5"/>
    <mergeCell ref="B2:B5"/>
    <mergeCell ref="A7:A10"/>
    <mergeCell ref="B7:B10"/>
    <mergeCell ref="A12:A15"/>
    <mergeCell ref="B12:B15"/>
    <mergeCell ref="A17:A20"/>
    <mergeCell ref="B17:B20"/>
    <mergeCell ref="A22:A25"/>
    <mergeCell ref="B22:B25"/>
    <mergeCell ref="A27:A30"/>
    <mergeCell ref="B27:B30"/>
    <mergeCell ref="A32:A35"/>
    <mergeCell ref="B32:B35"/>
    <mergeCell ref="A37:A40"/>
    <mergeCell ref="B37:B40"/>
    <mergeCell ref="A42:A45"/>
    <mergeCell ref="B42:B45"/>
    <mergeCell ref="A47:A50"/>
    <mergeCell ref="B47:B50"/>
    <mergeCell ref="A52:A55"/>
    <mergeCell ref="B52:B55"/>
    <mergeCell ref="A57:A60"/>
    <mergeCell ref="B57:B60"/>
    <mergeCell ref="A62:A65"/>
    <mergeCell ref="B62:B65"/>
    <mergeCell ref="A67:A70"/>
    <mergeCell ref="B67:B70"/>
    <mergeCell ref="A72:A75"/>
    <mergeCell ref="B72:B75"/>
    <mergeCell ref="A77:A80"/>
    <mergeCell ref="B77:B80"/>
    <mergeCell ref="A82:A85"/>
    <mergeCell ref="B82:B85"/>
    <mergeCell ref="A87:A90"/>
    <mergeCell ref="B87:B90"/>
    <mergeCell ref="A92:A95"/>
    <mergeCell ref="B92:B95"/>
    <mergeCell ref="A97:A100"/>
    <mergeCell ref="B97:B100"/>
    <mergeCell ref="A102:A105"/>
    <mergeCell ref="B102:B105"/>
    <mergeCell ref="A107:A110"/>
    <mergeCell ref="B107:B110"/>
    <mergeCell ref="A112:A115"/>
    <mergeCell ref="B112:B115"/>
    <mergeCell ref="A117:A120"/>
    <mergeCell ref="B117:B120"/>
    <mergeCell ref="A122:A125"/>
    <mergeCell ref="B122:B125"/>
    <mergeCell ref="A127:A130"/>
    <mergeCell ref="B127:B130"/>
    <mergeCell ref="A132:A135"/>
    <mergeCell ref="B132:B135"/>
    <mergeCell ref="A137:A140"/>
    <mergeCell ref="B137:B140"/>
    <mergeCell ref="A142:A145"/>
    <mergeCell ref="B142:B145"/>
    <mergeCell ref="A147:A150"/>
    <mergeCell ref="B147:B150"/>
    <mergeCell ref="A152:A155"/>
    <mergeCell ref="B152:B155"/>
    <mergeCell ref="A157:A160"/>
    <mergeCell ref="B157:B160"/>
    <mergeCell ref="A162:A165"/>
    <mergeCell ref="B162:B165"/>
  </mergeCells>
  <conditionalFormatting sqref="E7:E10 E12:E15 E17:E20 E22:E25 E27:E30 E32:E35 E37:E40 E42:E45 E47:E50 E52:E55 E57:E60 E62:E65 E67:E70 E72:E75 E77:E80 E82:E85 E87:E90 E92:E95 E97:E100 E102:E105 E107:E110 E112:E115 E117:E120 E122:E125 E127:E130 E132:E135 E137:E140 E142:E145 E147:E150 E152:E155 E157:E160 E162:E165">
    <cfRule type="colorScale" priority="2">
      <colorScale>
        <cfvo type="formula" val="0"/>
        <cfvo type="formula" val="0.5"/>
        <cfvo type="formula" val="1"/>
        <color rgb="FFFFFFFF"/>
        <color rgb="FFF3BEB9"/>
        <color rgb="FFE67C73"/>
      </colorScale>
    </cfRule>
  </conditionalFormatting>
  <conditionalFormatting sqref="E2:E1002">
    <cfRule type="colorScale" priority="3">
      <colorScale>
        <cfvo type="formula" val="0"/>
        <cfvo type="formula" val="1"/>
        <color rgb="FFFFFFFF"/>
        <color rgb="FFE67C73"/>
      </colorScale>
    </cfRule>
  </conditionalFormatting>
  <dataValidations count="2">
    <dataValidation allowBlank="true" errorStyle="stop" operator="between" showDropDown="false" showErrorMessage="true" showInputMessage="false" sqref="F2:J1002" type="list">
      <formula1>"1,2,3,4,5"</formula1>
      <formula2>0</formula2>
    </dataValidation>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type="list">
      <formula1>"Heading,Jeremy,Naiara,Begoña,Alba"</formula1>
      <formula2>0</formula2>
    </dataValidation>
  </dataValidations>
  <hyperlinks>
    <hyperlink ref="A2" r:id="rId2" display="https://www.berria.eus/ekonomia/urte-eta-erdiko-kartzela-zigorra-eta-30000-euroko-kalte-ordainak-zorroza-gestion-enpresan-hil-zen-langileagatik_2124960_102.html"/>
    <hyperlink ref="A7" r:id="rId3" display="https://www.berria.eus/kirola/hirutik-hiru-jaka-mariezkurrenarentzat_2117677_102.html"/>
    <hyperlink ref="A12" r:id="rId4" display="https://www.berria.eus/bizigiro/larreen-eta-larrabereen-balioaz_2126273_102.html"/>
    <hyperlink ref="A17" r:id="rId5" display="https://www.berria.eus/kirola/olatua-hartuta-parisera_2121856_102.html"/>
    <hyperlink ref="A22" r:id="rId6" display="https://www.berria.eus/bizigiro/badago-ezkutuan-dagoen-sektore-bat-sarietatik-kanpo-idazten-ari-dena_2119644_102.html"/>
    <hyperlink ref="A27" r:id="rId7" display="https://www.berria.eus/bizigiro/istorioak-irudien-bidez-kontatzen-ditut-oso-hizkuntza-unibertsala-da_2121576_102.html"/>
    <hyperlink ref="A32" r:id="rId8" display="https://www.berria.eus/euskal-herria/etxeko-atxiloaldia-ezarri-diote-labioko-hiltzaileari_2124515_102.html"/>
    <hyperlink ref="A37" r:id="rId9" display="https://www.berria.eus/ekonomia/sektore-eolikoa-eta-milaka-lanpostu-desagertzeko-arriskuaz-ohartarazi-du-elak_233844_102.html"/>
    <hyperlink ref="A42" r:id="rId10" display="https://www.berria.eus/kultura/mikroipuinak-txikiak-baina-ez-hutsalak_2121931_102.html"/>
    <hyperlink ref="A47" r:id="rId11" display="https://www.berria.eus/euskal-herria/guardia-zibilak-dio-europako-speed-laborategi-handiena-aurkitu-duela-euskal-herrian_2125543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1" width="3"/>
    <col collapsed="false" customWidth="true" hidden="false" outlineLevel="0" max="2" min="2" style="1" width="63.88"/>
    <col collapsed="false" customWidth="true" hidden="false" outlineLevel="0" max="4" min="4" style="1" width="77"/>
    <col collapsed="false" customWidth="true" hidden="false" outlineLevel="0" max="5" min="5" style="1" width="5.75"/>
  </cols>
  <sheetData>
    <row r="1" customFormat="false" ht="15.75" hidden="false" customHeight="false" outlineLevel="0" collapsed="false">
      <c r="A1" s="3" t="s">
        <v>0</v>
      </c>
      <c r="B1" s="3" t="s">
        <v>27</v>
      </c>
      <c r="C1" s="3" t="s">
        <v>2</v>
      </c>
      <c r="D1" s="45" t="s">
        <v>29</v>
      </c>
      <c r="E1" s="46" t="s">
        <v>3</v>
      </c>
      <c r="F1" s="3" t="s">
        <v>4</v>
      </c>
      <c r="G1" s="3" t="s">
        <v>5</v>
      </c>
      <c r="H1" s="3" t="s">
        <v>6</v>
      </c>
      <c r="I1" s="3" t="s">
        <v>7</v>
      </c>
      <c r="J1" s="3" t="s">
        <v>8</v>
      </c>
      <c r="K1" s="3"/>
      <c r="L1" s="3"/>
      <c r="M1" s="3"/>
      <c r="N1" s="3"/>
      <c r="O1" s="3"/>
      <c r="P1" s="3"/>
      <c r="Q1" s="3"/>
      <c r="R1" s="3"/>
      <c r="S1" s="3"/>
      <c r="T1" s="3"/>
      <c r="U1" s="3"/>
      <c r="V1" s="3"/>
      <c r="W1" s="3"/>
      <c r="X1" s="3"/>
      <c r="Y1" s="3"/>
      <c r="Z1" s="3"/>
      <c r="AA1" s="3"/>
      <c r="AB1" s="3"/>
    </row>
    <row r="2" customFormat="false" ht="225" hidden="false" customHeight="true" outlineLevel="0" collapsed="false">
      <c r="A2" s="47" t="s">
        <v>30</v>
      </c>
      <c r="B2" s="48" t="s">
        <v>31</v>
      </c>
      <c r="C2" s="6" t="s">
        <v>18</v>
      </c>
      <c r="D2" s="49" t="s">
        <v>71</v>
      </c>
      <c r="E2" s="76" t="n">
        <f aca="false">IFERROR(__xludf.dummyfunction("COUNTA(SPLIT(D2,"" ""))/COUNTA(SPLIT($B$2,"" ""))"),1.29230769230769)</f>
        <v>1.292307692</v>
      </c>
      <c r="F2" s="6" t="n">
        <v>5</v>
      </c>
      <c r="G2" s="6" t="n">
        <v>5</v>
      </c>
      <c r="H2" s="6" t="n">
        <v>1</v>
      </c>
      <c r="I2" s="6" t="n">
        <v>1</v>
      </c>
      <c r="J2" s="6" t="n">
        <v>5</v>
      </c>
      <c r="K2" s="51"/>
      <c r="L2" s="51"/>
      <c r="M2" s="51"/>
      <c r="N2" s="51"/>
      <c r="O2" s="51"/>
      <c r="P2" s="51"/>
      <c r="Q2" s="51"/>
      <c r="R2" s="51"/>
      <c r="S2" s="51"/>
      <c r="T2" s="51"/>
      <c r="U2" s="51"/>
      <c r="V2" s="51"/>
      <c r="W2" s="51"/>
      <c r="X2" s="51"/>
      <c r="Y2" s="51"/>
      <c r="Z2" s="51"/>
      <c r="AA2" s="51"/>
      <c r="AB2" s="51"/>
    </row>
    <row r="3" customFormat="false" ht="225" hidden="false" customHeight="true" outlineLevel="0" collapsed="false">
      <c r="A3" s="47"/>
      <c r="B3" s="47"/>
      <c r="C3" s="6" t="s">
        <v>19</v>
      </c>
      <c r="D3" s="77" t="s">
        <v>72</v>
      </c>
      <c r="E3" s="78" t="n">
        <f aca="false">IFERROR(__xludf.dummyfunction("COUNTA(SPLIT(D3,"" ""))/COUNTA(SPLIT($B$2,"" ""))"),0.528205128205128)</f>
        <v>0.5282051282</v>
      </c>
      <c r="F3" s="6" t="n">
        <v>3</v>
      </c>
      <c r="G3" s="6" t="n">
        <v>5</v>
      </c>
      <c r="H3" s="6" t="n">
        <v>4</v>
      </c>
      <c r="I3" s="6" t="n">
        <v>3</v>
      </c>
      <c r="J3" s="6" t="n">
        <v>4</v>
      </c>
      <c r="K3" s="51"/>
      <c r="L3" s="51"/>
      <c r="M3" s="51"/>
      <c r="N3" s="51"/>
      <c r="O3" s="51"/>
      <c r="P3" s="51"/>
      <c r="Q3" s="51"/>
      <c r="R3" s="51"/>
      <c r="S3" s="51"/>
      <c r="T3" s="51"/>
      <c r="U3" s="51"/>
      <c r="V3" s="51"/>
      <c r="W3" s="51"/>
      <c r="X3" s="51"/>
      <c r="Y3" s="51"/>
      <c r="Z3" s="51"/>
      <c r="AA3" s="51"/>
      <c r="AB3" s="51"/>
    </row>
    <row r="4" customFormat="false" ht="225" hidden="false" customHeight="true" outlineLevel="0" collapsed="false">
      <c r="A4" s="47"/>
      <c r="B4" s="47"/>
      <c r="C4" s="6" t="s">
        <v>8</v>
      </c>
      <c r="D4" s="77" t="s">
        <v>73</v>
      </c>
      <c r="E4" s="79" t="n">
        <f aca="false">IFERROR(__xludf.dummyfunction("COUNTA(SPLIT(D4,"" ""))/COUNTA(SPLIT($B$2,"" ""))"),0.738461538461539)</f>
        <v>0.7384615385</v>
      </c>
      <c r="F4" s="6" t="n">
        <v>2</v>
      </c>
      <c r="G4" s="6" t="n">
        <v>4</v>
      </c>
      <c r="H4" s="6" t="n">
        <v>4</v>
      </c>
      <c r="I4" s="6" t="n">
        <v>3</v>
      </c>
      <c r="J4" s="6" t="n">
        <v>5</v>
      </c>
      <c r="K4" s="51"/>
      <c r="L4" s="51"/>
      <c r="M4" s="51"/>
      <c r="N4" s="51"/>
      <c r="O4" s="51"/>
      <c r="P4" s="51"/>
      <c r="Q4" s="51"/>
      <c r="R4" s="51"/>
      <c r="S4" s="51"/>
      <c r="T4" s="51"/>
      <c r="U4" s="51"/>
      <c r="V4" s="51"/>
      <c r="W4" s="51"/>
      <c r="X4" s="51"/>
      <c r="Y4" s="51"/>
      <c r="Z4" s="51"/>
      <c r="AA4" s="51"/>
      <c r="AB4" s="51"/>
    </row>
    <row r="5" customFormat="false" ht="225" hidden="false" customHeight="true" outlineLevel="0" collapsed="false">
      <c r="A5" s="47"/>
      <c r="B5" s="47"/>
      <c r="C5" s="6" t="s">
        <v>20</v>
      </c>
      <c r="D5" s="77" t="s">
        <v>74</v>
      </c>
      <c r="E5" s="80" t="n">
        <f aca="false">IFERROR(__xludf.dummyfunction("COUNTA(SPLIT(D5,"" ""))/COUNTA(SPLIT($B$2,"" ""))"),0.405128205128205)</f>
        <v>0.4051282051</v>
      </c>
      <c r="F5" s="6" t="n">
        <v>3</v>
      </c>
      <c r="G5" s="6" t="n">
        <v>5</v>
      </c>
      <c r="H5" s="6" t="n">
        <v>3</v>
      </c>
      <c r="I5" s="6" t="n">
        <v>4</v>
      </c>
      <c r="J5" s="6" t="n">
        <v>5</v>
      </c>
      <c r="K5" s="51"/>
      <c r="L5" s="51"/>
      <c r="M5" s="51"/>
      <c r="N5" s="51"/>
      <c r="O5" s="51"/>
      <c r="P5" s="51"/>
      <c r="Q5" s="51"/>
      <c r="R5" s="51"/>
      <c r="S5" s="51"/>
      <c r="T5" s="51"/>
      <c r="U5" s="51"/>
      <c r="V5" s="51"/>
      <c r="W5" s="51"/>
      <c r="X5" s="51"/>
      <c r="Y5" s="51"/>
      <c r="Z5" s="51"/>
      <c r="AA5" s="51"/>
      <c r="AB5" s="51"/>
    </row>
    <row r="6" customFormat="false" ht="15.75" hidden="false" customHeight="false" outlineLevel="0" collapsed="false">
      <c r="A6" s="51"/>
      <c r="B6" s="51"/>
      <c r="C6" s="6"/>
      <c r="D6" s="49"/>
      <c r="E6" s="53"/>
      <c r="F6" s="6"/>
      <c r="G6" s="6"/>
      <c r="H6" s="6"/>
      <c r="I6" s="6"/>
      <c r="J6" s="6"/>
      <c r="K6" s="51"/>
      <c r="L6" s="51"/>
      <c r="M6" s="51"/>
      <c r="N6" s="51"/>
      <c r="O6" s="51"/>
      <c r="P6" s="51"/>
      <c r="Q6" s="51"/>
      <c r="R6" s="51"/>
      <c r="S6" s="51"/>
      <c r="T6" s="51"/>
      <c r="U6" s="51"/>
      <c r="V6" s="51"/>
      <c r="W6" s="51"/>
      <c r="X6" s="51"/>
      <c r="Y6" s="51"/>
      <c r="Z6" s="51"/>
      <c r="AA6" s="51"/>
      <c r="AB6" s="51"/>
    </row>
    <row r="7" customFormat="false" ht="225" hidden="false" customHeight="true" outlineLevel="0" collapsed="false">
      <c r="A7" s="54" t="s">
        <v>35</v>
      </c>
      <c r="B7" s="55" t="s">
        <v>36</v>
      </c>
      <c r="C7" s="56" t="s">
        <v>18</v>
      </c>
      <c r="D7" s="57" t="s">
        <v>75</v>
      </c>
      <c r="E7" s="81" t="n">
        <f aca="false">IFERROR(__xludf.dummyfunction("COUNTA(SPLIT(D7,"" ""))/COUNTA(SPLIT($B$7,"" ""))"),1.0297619047619)</f>
        <v>1.029761905</v>
      </c>
      <c r="F7" s="56" t="n">
        <v>4</v>
      </c>
      <c r="G7" s="56" t="n">
        <v>5</v>
      </c>
      <c r="H7" s="56" t="n">
        <v>1</v>
      </c>
      <c r="I7" s="56" t="n">
        <v>2</v>
      </c>
      <c r="J7" s="56" t="n">
        <v>4</v>
      </c>
      <c r="K7" s="59"/>
      <c r="L7" s="59"/>
      <c r="M7" s="59"/>
      <c r="N7" s="59"/>
      <c r="O7" s="59"/>
      <c r="P7" s="59"/>
      <c r="Q7" s="59"/>
      <c r="R7" s="59"/>
      <c r="S7" s="59"/>
      <c r="T7" s="59"/>
      <c r="U7" s="59"/>
      <c r="V7" s="59"/>
      <c r="W7" s="59"/>
      <c r="X7" s="59"/>
      <c r="Y7" s="59"/>
      <c r="Z7" s="59"/>
      <c r="AA7" s="59"/>
      <c r="AB7" s="59"/>
    </row>
    <row r="8" customFormat="false" ht="225" hidden="false" customHeight="true" outlineLevel="0" collapsed="false">
      <c r="A8" s="54"/>
      <c r="B8" s="54"/>
      <c r="C8" s="6" t="s">
        <v>19</v>
      </c>
      <c r="D8" s="49" t="s">
        <v>76</v>
      </c>
      <c r="E8" s="82" t="n">
        <f aca="false">IFERROR(__xludf.dummyfunction("COUNTA(SPLIT(D8,"" ""))/COUNTA(SPLIT($B$7,"" ""))"),0.619047619047619)</f>
        <v>0.619047619</v>
      </c>
      <c r="F8" s="6" t="n">
        <v>3</v>
      </c>
      <c r="G8" s="6" t="n">
        <v>4</v>
      </c>
      <c r="H8" s="6" t="n">
        <v>4</v>
      </c>
      <c r="I8" s="6" t="n">
        <v>3</v>
      </c>
      <c r="J8" s="6" t="n">
        <v>4</v>
      </c>
      <c r="K8" s="51"/>
      <c r="L8" s="51"/>
      <c r="M8" s="51"/>
      <c r="N8" s="51"/>
      <c r="O8" s="51"/>
      <c r="P8" s="51"/>
      <c r="Q8" s="51"/>
      <c r="R8" s="51"/>
      <c r="S8" s="51"/>
      <c r="T8" s="51"/>
      <c r="U8" s="51"/>
      <c r="V8" s="51"/>
      <c r="W8" s="51"/>
      <c r="X8" s="51"/>
      <c r="Y8" s="51"/>
      <c r="Z8" s="51"/>
      <c r="AA8" s="51"/>
      <c r="AB8" s="51"/>
    </row>
    <row r="9" customFormat="false" ht="225" hidden="false" customHeight="true" outlineLevel="0" collapsed="false">
      <c r="A9" s="54"/>
      <c r="B9" s="54"/>
      <c r="C9" s="6" t="s">
        <v>8</v>
      </c>
      <c r="D9" s="49" t="s">
        <v>77</v>
      </c>
      <c r="E9" s="83" t="n">
        <f aca="false">IFERROR(__xludf.dummyfunction("COUNTA(SPLIT(D9,"" ""))/COUNTA(SPLIT($B$7,"" ""))"),0.648809523809524)</f>
        <v>0.6488095238</v>
      </c>
      <c r="F9" s="6" t="n">
        <v>3</v>
      </c>
      <c r="G9" s="6" t="n">
        <v>3</v>
      </c>
      <c r="H9" s="6" t="n">
        <v>4</v>
      </c>
      <c r="I9" s="6" t="n">
        <v>3</v>
      </c>
      <c r="J9" s="6" t="n">
        <v>5</v>
      </c>
      <c r="K9" s="51"/>
      <c r="L9" s="51"/>
      <c r="M9" s="51"/>
      <c r="N9" s="51"/>
      <c r="O9" s="51"/>
      <c r="P9" s="51"/>
      <c r="Q9" s="51"/>
      <c r="R9" s="51"/>
      <c r="S9" s="51"/>
      <c r="T9" s="51"/>
      <c r="U9" s="51"/>
      <c r="V9" s="51"/>
      <c r="W9" s="51"/>
      <c r="X9" s="51"/>
      <c r="Y9" s="51"/>
      <c r="Z9" s="51"/>
      <c r="AA9" s="51"/>
      <c r="AB9" s="51"/>
    </row>
    <row r="10" customFormat="false" ht="225" hidden="false" customHeight="true" outlineLevel="0" collapsed="false">
      <c r="A10" s="54"/>
      <c r="B10" s="54"/>
      <c r="C10" s="6" t="s">
        <v>20</v>
      </c>
      <c r="D10" s="49" t="s">
        <v>78</v>
      </c>
      <c r="E10" s="66" t="n">
        <f aca="false">IFERROR(__xludf.dummyfunction("COUNTA(SPLIT(D10,"" ""))/COUNTA(SPLIT($B$7,"" ""))"),0.505952380952381)</f>
        <v>0.505952381</v>
      </c>
      <c r="F10" s="6" t="n">
        <v>4</v>
      </c>
      <c r="G10" s="6" t="n">
        <v>5</v>
      </c>
      <c r="H10" s="6" t="n">
        <v>1</v>
      </c>
      <c r="I10" s="6" t="n">
        <v>4</v>
      </c>
      <c r="J10" s="6" t="n">
        <v>4</v>
      </c>
      <c r="K10" s="51"/>
      <c r="L10" s="51"/>
      <c r="M10" s="51"/>
      <c r="N10" s="51"/>
      <c r="O10" s="51"/>
      <c r="P10" s="51"/>
      <c r="Q10" s="51"/>
      <c r="R10" s="51"/>
      <c r="S10" s="51"/>
      <c r="T10" s="51"/>
      <c r="U10" s="51"/>
      <c r="V10" s="51"/>
      <c r="W10" s="51"/>
      <c r="X10" s="51"/>
      <c r="Y10" s="51"/>
      <c r="Z10" s="51"/>
      <c r="AA10" s="51"/>
      <c r="AB10" s="51"/>
    </row>
    <row r="11" customFormat="false" ht="15.75" hidden="false" customHeight="false" outlineLevel="0" collapsed="false">
      <c r="A11" s="51"/>
      <c r="B11" s="51"/>
      <c r="C11" s="6"/>
      <c r="D11" s="49"/>
      <c r="E11" s="53"/>
      <c r="F11" s="6"/>
      <c r="G11" s="6"/>
      <c r="H11" s="6"/>
      <c r="I11" s="6"/>
      <c r="J11" s="6"/>
      <c r="K11" s="51"/>
      <c r="L11" s="51"/>
      <c r="M11" s="51"/>
      <c r="N11" s="51"/>
      <c r="O11" s="51"/>
      <c r="P11" s="51"/>
      <c r="Q11" s="51"/>
      <c r="R11" s="51"/>
      <c r="S11" s="51"/>
      <c r="T11" s="51"/>
      <c r="U11" s="51"/>
      <c r="V11" s="51"/>
      <c r="W11" s="51"/>
      <c r="X11" s="51"/>
      <c r="Y11" s="51"/>
      <c r="Z11" s="51"/>
      <c r="AA11" s="51"/>
      <c r="AB11" s="51"/>
    </row>
    <row r="12" customFormat="false" ht="225" hidden="false" customHeight="true" outlineLevel="0" collapsed="false">
      <c r="A12" s="54" t="s">
        <v>39</v>
      </c>
      <c r="B12" s="55" t="s">
        <v>40</v>
      </c>
      <c r="C12" s="56" t="s">
        <v>18</v>
      </c>
      <c r="D12" s="57" t="s">
        <v>79</v>
      </c>
      <c r="E12" s="84" t="n">
        <f aca="false">IFERROR(__xludf.dummyfunction("COUNTA(SPLIT(D12,"" ""))/COUNTA(SPLIT($B$12,"" ""))"),0.340961098398169)</f>
        <v>0.3409610984</v>
      </c>
      <c r="F12" s="56" t="n">
        <v>3</v>
      </c>
      <c r="G12" s="56" t="n">
        <v>5</v>
      </c>
      <c r="H12" s="56" t="n">
        <v>5</v>
      </c>
      <c r="I12" s="56" t="n">
        <v>3</v>
      </c>
      <c r="J12" s="56" t="n">
        <v>5</v>
      </c>
      <c r="K12" s="59"/>
      <c r="L12" s="59"/>
      <c r="M12" s="59"/>
      <c r="N12" s="59"/>
      <c r="O12" s="59"/>
      <c r="P12" s="59"/>
      <c r="Q12" s="59"/>
      <c r="R12" s="59"/>
      <c r="S12" s="59"/>
      <c r="T12" s="59"/>
      <c r="U12" s="59"/>
      <c r="V12" s="59"/>
      <c r="W12" s="59"/>
      <c r="X12" s="59"/>
      <c r="Y12" s="59"/>
      <c r="Z12" s="59"/>
      <c r="AA12" s="59"/>
      <c r="AB12" s="59"/>
    </row>
    <row r="13" customFormat="false" ht="225" hidden="false" customHeight="true" outlineLevel="0" collapsed="false">
      <c r="A13" s="54"/>
      <c r="B13" s="54"/>
      <c r="C13" s="6" t="s">
        <v>19</v>
      </c>
      <c r="D13" s="49" t="s">
        <v>80</v>
      </c>
      <c r="E13" s="84" t="n">
        <f aca="false">IFERROR(__xludf.dummyfunction("COUNTA(SPLIT(D13,"" ""))/COUNTA(SPLIT($B$12,"" ""))"),0.22883295194508)</f>
        <v>0.2288329519</v>
      </c>
      <c r="F13" s="6" t="n">
        <v>4</v>
      </c>
      <c r="G13" s="6" t="n">
        <v>5</v>
      </c>
      <c r="H13" s="6" t="n">
        <v>4</v>
      </c>
      <c r="I13" s="6" t="n">
        <v>4</v>
      </c>
      <c r="J13" s="6" t="n">
        <v>5</v>
      </c>
      <c r="K13" s="51"/>
      <c r="L13" s="51"/>
      <c r="M13" s="51"/>
      <c r="N13" s="51"/>
      <c r="O13" s="51"/>
      <c r="P13" s="51"/>
      <c r="Q13" s="51"/>
      <c r="R13" s="51"/>
      <c r="S13" s="51"/>
      <c r="T13" s="51"/>
      <c r="U13" s="51"/>
      <c r="V13" s="51"/>
      <c r="W13" s="51"/>
      <c r="X13" s="51"/>
      <c r="Y13" s="51"/>
      <c r="Z13" s="51"/>
      <c r="AA13" s="51"/>
      <c r="AB13" s="51"/>
    </row>
    <row r="14" customFormat="false" ht="225" hidden="false" customHeight="true" outlineLevel="0" collapsed="false">
      <c r="A14" s="54"/>
      <c r="B14" s="54"/>
      <c r="C14" s="6" t="s">
        <v>8</v>
      </c>
      <c r="D14" s="49" t="s">
        <v>81</v>
      </c>
      <c r="E14" s="85" t="n">
        <f aca="false">IFERROR(__xludf.dummyfunction("COUNTA(SPLIT(D14,"" ""))/COUNTA(SPLIT($B$12,"" ""))"),0.393592677345538)</f>
        <v>0.3935926773</v>
      </c>
      <c r="F14" s="6" t="n">
        <v>3</v>
      </c>
      <c r="G14" s="6" t="n">
        <v>5</v>
      </c>
      <c r="H14" s="6" t="n">
        <v>4</v>
      </c>
      <c r="I14" s="6" t="n">
        <v>3</v>
      </c>
      <c r="J14" s="6" t="n">
        <v>5</v>
      </c>
      <c r="K14" s="51"/>
      <c r="L14" s="51"/>
      <c r="M14" s="51"/>
      <c r="N14" s="51"/>
      <c r="O14" s="51"/>
      <c r="P14" s="51"/>
      <c r="Q14" s="51"/>
      <c r="R14" s="51"/>
      <c r="S14" s="51"/>
      <c r="T14" s="51"/>
      <c r="U14" s="51"/>
      <c r="V14" s="51"/>
      <c r="W14" s="51"/>
      <c r="X14" s="51"/>
      <c r="Y14" s="51"/>
      <c r="Z14" s="51"/>
      <c r="AA14" s="51"/>
      <c r="AB14" s="51"/>
    </row>
    <row r="15" customFormat="false" ht="225" hidden="false" customHeight="true" outlineLevel="0" collapsed="false">
      <c r="A15" s="54"/>
      <c r="B15" s="54"/>
      <c r="C15" s="6" t="s">
        <v>20</v>
      </c>
      <c r="D15" s="49" t="s">
        <v>82</v>
      </c>
      <c r="E15" s="86" t="n">
        <f aca="false">IFERROR(__xludf.dummyfunction("COUNTA(SPLIT(D15,"" ""))/COUNTA(SPLIT($B$12,"" ""))"),0.366132723112128)</f>
        <v>0.3661327231</v>
      </c>
      <c r="F15" s="6" t="n">
        <v>4</v>
      </c>
      <c r="G15" s="6" t="n">
        <v>5</v>
      </c>
      <c r="H15" s="6" t="n">
        <v>1</v>
      </c>
      <c r="I15" s="6" t="n">
        <v>4</v>
      </c>
      <c r="J15" s="6" t="n">
        <v>5</v>
      </c>
      <c r="K15" s="51"/>
      <c r="L15" s="51"/>
      <c r="M15" s="51"/>
      <c r="N15" s="51"/>
      <c r="O15" s="51"/>
      <c r="P15" s="51"/>
      <c r="Q15" s="51"/>
      <c r="R15" s="51"/>
      <c r="S15" s="51"/>
      <c r="T15" s="51"/>
      <c r="U15" s="51"/>
      <c r="V15" s="51"/>
      <c r="W15" s="51"/>
      <c r="X15" s="51"/>
      <c r="Y15" s="51"/>
      <c r="Z15" s="51"/>
      <c r="AA15" s="51"/>
      <c r="AB15" s="51"/>
    </row>
    <row r="16" customFormat="false" ht="15.75" hidden="false" customHeight="false" outlineLevel="0" collapsed="false">
      <c r="A16" s="51"/>
      <c r="B16" s="51"/>
      <c r="C16" s="6"/>
      <c r="D16" s="49"/>
      <c r="E16" s="53"/>
      <c r="F16" s="6"/>
      <c r="G16" s="6"/>
      <c r="H16" s="6"/>
      <c r="I16" s="6"/>
      <c r="J16" s="6"/>
      <c r="K16" s="51"/>
      <c r="L16" s="51"/>
      <c r="M16" s="51"/>
      <c r="N16" s="51"/>
      <c r="O16" s="51"/>
      <c r="P16" s="51"/>
      <c r="Q16" s="51"/>
      <c r="R16" s="51"/>
      <c r="S16" s="51"/>
      <c r="T16" s="51"/>
      <c r="U16" s="51"/>
      <c r="V16" s="51"/>
      <c r="W16" s="51"/>
      <c r="X16" s="51"/>
      <c r="Y16" s="51"/>
      <c r="Z16" s="51"/>
      <c r="AA16" s="51"/>
      <c r="AB16" s="51"/>
    </row>
    <row r="17" customFormat="false" ht="225" hidden="false" customHeight="true" outlineLevel="0" collapsed="false">
      <c r="A17" s="54" t="s">
        <v>43</v>
      </c>
      <c r="B17" s="55" t="s">
        <v>44</v>
      </c>
      <c r="C17" s="56" t="s">
        <v>18</v>
      </c>
      <c r="D17" s="57" t="s">
        <v>83</v>
      </c>
      <c r="E17" s="87" t="n">
        <f aca="false">IFERROR(__xludf.dummyfunction("COUNTA(SPLIT(D17,"" ""))/COUNTA(SPLIT($B$17,"" ""))"),0.548223350253807)</f>
        <v>0.5482233503</v>
      </c>
      <c r="F17" s="56" t="n">
        <v>4</v>
      </c>
      <c r="G17" s="56" t="n">
        <v>5</v>
      </c>
      <c r="H17" s="56" t="n">
        <v>1</v>
      </c>
      <c r="I17" s="56" t="n">
        <v>3</v>
      </c>
      <c r="J17" s="56" t="n">
        <v>5</v>
      </c>
      <c r="K17" s="59"/>
      <c r="L17" s="59"/>
      <c r="M17" s="59"/>
      <c r="N17" s="59"/>
      <c r="O17" s="59"/>
      <c r="P17" s="59"/>
      <c r="Q17" s="59"/>
      <c r="R17" s="59"/>
      <c r="S17" s="59"/>
      <c r="T17" s="59"/>
      <c r="U17" s="59"/>
      <c r="V17" s="59"/>
      <c r="W17" s="59"/>
      <c r="X17" s="59"/>
      <c r="Y17" s="59"/>
      <c r="Z17" s="59"/>
      <c r="AA17" s="59"/>
      <c r="AB17" s="59"/>
    </row>
    <row r="18" customFormat="false" ht="225" hidden="false" customHeight="true" outlineLevel="0" collapsed="false">
      <c r="A18" s="54"/>
      <c r="B18" s="54"/>
      <c r="C18" s="6" t="s">
        <v>19</v>
      </c>
      <c r="D18" s="49" t="s">
        <v>84</v>
      </c>
      <c r="E18" s="88" t="n">
        <f aca="false">IFERROR(__xludf.dummyfunction("COUNTA(SPLIT(D18,"" ""))/COUNTA(SPLIT($B$17,"" ""))"),0.223350253807107)</f>
        <v>0.2233502538</v>
      </c>
      <c r="F18" s="6" t="n">
        <v>4</v>
      </c>
      <c r="G18" s="6" t="n">
        <v>5</v>
      </c>
      <c r="H18" s="6" t="n">
        <v>5</v>
      </c>
      <c r="I18" s="6" t="n">
        <v>4</v>
      </c>
      <c r="J18" s="6" t="n">
        <v>3</v>
      </c>
      <c r="K18" s="51"/>
      <c r="L18" s="51"/>
      <c r="M18" s="51"/>
      <c r="N18" s="51"/>
      <c r="O18" s="51"/>
      <c r="P18" s="51"/>
      <c r="Q18" s="51"/>
      <c r="R18" s="51"/>
      <c r="S18" s="51"/>
      <c r="T18" s="51"/>
      <c r="U18" s="51"/>
      <c r="V18" s="51"/>
      <c r="W18" s="51"/>
      <c r="X18" s="51"/>
      <c r="Y18" s="51"/>
      <c r="Z18" s="51"/>
      <c r="AA18" s="51"/>
      <c r="AB18" s="51"/>
    </row>
    <row r="19" customFormat="false" ht="225" hidden="false" customHeight="true" outlineLevel="0" collapsed="false">
      <c r="A19" s="54"/>
      <c r="B19" s="54"/>
      <c r="C19" s="6" t="s">
        <v>8</v>
      </c>
      <c r="D19" s="49" t="s">
        <v>85</v>
      </c>
      <c r="E19" s="84" t="n">
        <f aca="false">IFERROR(__xludf.dummyfunction("COUNTA(SPLIT(D19,"" ""))/COUNTA(SPLIT($B$17,"" ""))"),0.314720812182741)</f>
        <v>0.3147208122</v>
      </c>
      <c r="F19" s="6" t="n">
        <v>3</v>
      </c>
      <c r="G19" s="6" t="n">
        <v>5</v>
      </c>
      <c r="H19" s="6" t="n">
        <v>5</v>
      </c>
      <c r="I19" s="6" t="n">
        <v>3</v>
      </c>
      <c r="J19" s="6" t="n">
        <v>5</v>
      </c>
      <c r="K19" s="51"/>
      <c r="L19" s="51"/>
      <c r="M19" s="51"/>
      <c r="N19" s="51"/>
      <c r="O19" s="51"/>
      <c r="P19" s="51"/>
      <c r="Q19" s="51"/>
      <c r="R19" s="51"/>
      <c r="S19" s="51"/>
      <c r="T19" s="51"/>
      <c r="U19" s="51"/>
      <c r="V19" s="51"/>
      <c r="W19" s="51"/>
      <c r="X19" s="51"/>
      <c r="Y19" s="51"/>
      <c r="Z19" s="51"/>
      <c r="AA19" s="51"/>
      <c r="AB19" s="51"/>
    </row>
    <row r="20" customFormat="false" ht="225" hidden="false" customHeight="true" outlineLevel="0" collapsed="false">
      <c r="A20" s="54"/>
      <c r="B20" s="54"/>
      <c r="C20" s="6" t="s">
        <v>20</v>
      </c>
      <c r="D20" s="49" t="s">
        <v>86</v>
      </c>
      <c r="E20" s="89" t="n">
        <f aca="false">IFERROR(__xludf.dummyfunction("COUNTA(SPLIT(D20,"" ""))/COUNTA(SPLIT($B$17,"" ""))"),0.393401015228426)</f>
        <v>0.3934010152</v>
      </c>
      <c r="F20" s="6" t="n">
        <v>4</v>
      </c>
      <c r="G20" s="6" t="n">
        <v>5</v>
      </c>
      <c r="H20" s="6" t="n">
        <v>1</v>
      </c>
      <c r="I20" s="6" t="n">
        <v>4</v>
      </c>
      <c r="J20" s="6" t="n">
        <v>5</v>
      </c>
      <c r="K20" s="51"/>
      <c r="L20" s="51"/>
      <c r="M20" s="51"/>
      <c r="N20" s="51"/>
      <c r="O20" s="51"/>
      <c r="P20" s="51"/>
      <c r="Q20" s="51"/>
      <c r="R20" s="51"/>
      <c r="S20" s="51"/>
      <c r="T20" s="51"/>
      <c r="U20" s="51"/>
      <c r="V20" s="51"/>
      <c r="W20" s="51"/>
      <c r="X20" s="51"/>
      <c r="Y20" s="51"/>
      <c r="Z20" s="51"/>
      <c r="AA20" s="51"/>
      <c r="AB20" s="51"/>
    </row>
    <row r="21" customFormat="false" ht="15.75" hidden="false" customHeight="false" outlineLevel="0" collapsed="false">
      <c r="A21" s="51"/>
      <c r="B21" s="51"/>
      <c r="C21" s="6"/>
      <c r="D21" s="49"/>
      <c r="E21" s="53"/>
      <c r="F21" s="6"/>
      <c r="G21" s="6"/>
      <c r="H21" s="6"/>
      <c r="I21" s="6"/>
      <c r="J21" s="6"/>
      <c r="K21" s="51"/>
      <c r="L21" s="51"/>
      <c r="M21" s="51"/>
      <c r="N21" s="51"/>
      <c r="O21" s="51"/>
      <c r="P21" s="51"/>
      <c r="Q21" s="51"/>
      <c r="R21" s="51"/>
      <c r="S21" s="51"/>
      <c r="T21" s="51"/>
      <c r="U21" s="51"/>
      <c r="V21" s="51"/>
      <c r="W21" s="51"/>
      <c r="X21" s="51"/>
      <c r="Y21" s="51"/>
      <c r="Z21" s="51"/>
      <c r="AA21" s="51"/>
      <c r="AB21" s="51"/>
    </row>
    <row r="22" customFormat="false" ht="225" hidden="false" customHeight="true" outlineLevel="0" collapsed="false">
      <c r="A22" s="54" t="s">
        <v>47</v>
      </c>
      <c r="B22" s="55" t="s">
        <v>48</v>
      </c>
      <c r="C22" s="56" t="s">
        <v>18</v>
      </c>
      <c r="D22" s="57" t="s">
        <v>87</v>
      </c>
      <c r="E22" s="90" t="n">
        <f aca="false">IFERROR(__xludf.dummyfunction("COUNTA(SPLIT(D22,"" ""))/COUNTA(SPLIT($B$22,"" ""))"),0.50561797752809)</f>
        <v>0.5056179775</v>
      </c>
      <c r="F22" s="56" t="n">
        <v>3</v>
      </c>
      <c r="G22" s="56" t="n">
        <v>5</v>
      </c>
      <c r="H22" s="56" t="n">
        <v>1</v>
      </c>
      <c r="I22" s="56" t="n">
        <v>3</v>
      </c>
      <c r="J22" s="56" t="n">
        <v>5</v>
      </c>
      <c r="K22" s="59"/>
      <c r="L22" s="59"/>
      <c r="M22" s="59"/>
      <c r="N22" s="59"/>
      <c r="O22" s="59"/>
      <c r="P22" s="59"/>
      <c r="Q22" s="59"/>
      <c r="R22" s="59"/>
      <c r="S22" s="59"/>
      <c r="T22" s="59"/>
      <c r="U22" s="59"/>
      <c r="V22" s="59"/>
      <c r="W22" s="59"/>
      <c r="X22" s="59"/>
      <c r="Y22" s="59"/>
      <c r="Z22" s="59"/>
      <c r="AA22" s="59"/>
      <c r="AB22" s="59"/>
    </row>
    <row r="23" customFormat="false" ht="225" hidden="false" customHeight="true" outlineLevel="0" collapsed="false">
      <c r="A23" s="54"/>
      <c r="B23" s="54"/>
      <c r="C23" s="6" t="s">
        <v>19</v>
      </c>
      <c r="D23" s="49" t="s">
        <v>88</v>
      </c>
      <c r="E23" s="91" t="n">
        <f aca="false">IFERROR(__xludf.dummyfunction("COUNTA(SPLIT(D23,"" ""))/COUNTA(SPLIT($B$22,"" ""))"),0.195505617977528)</f>
        <v>0.195505618</v>
      </c>
      <c r="F23" s="6" t="n">
        <v>3</v>
      </c>
      <c r="G23" s="6" t="n">
        <v>5</v>
      </c>
      <c r="H23" s="6" t="n">
        <v>5</v>
      </c>
      <c r="I23" s="6" t="n">
        <v>4</v>
      </c>
      <c r="J23" s="6" t="n">
        <v>5</v>
      </c>
      <c r="K23" s="51"/>
      <c r="L23" s="51"/>
      <c r="M23" s="51"/>
      <c r="N23" s="51"/>
      <c r="O23" s="51"/>
      <c r="P23" s="51"/>
      <c r="Q23" s="51"/>
      <c r="R23" s="51"/>
      <c r="S23" s="51"/>
      <c r="T23" s="51"/>
      <c r="U23" s="51"/>
      <c r="V23" s="51"/>
      <c r="W23" s="51"/>
      <c r="X23" s="51"/>
      <c r="Y23" s="51"/>
      <c r="Z23" s="51"/>
      <c r="AA23" s="51"/>
      <c r="AB23" s="51"/>
    </row>
    <row r="24" customFormat="false" ht="225" hidden="false" customHeight="true" outlineLevel="0" collapsed="false">
      <c r="A24" s="54"/>
      <c r="B24" s="54"/>
      <c r="C24" s="6" t="s">
        <v>8</v>
      </c>
      <c r="D24" s="49" t="s">
        <v>89</v>
      </c>
      <c r="E24" s="92" t="n">
        <f aca="false">IFERROR(__xludf.dummyfunction("COUNTA(SPLIT(D24,"" ""))/COUNTA(SPLIT($B$22,"" ""))"),0.346067415730337)</f>
        <v>0.3460674157</v>
      </c>
      <c r="F24" s="6" t="n">
        <v>3</v>
      </c>
      <c r="G24" s="6" t="n">
        <v>4</v>
      </c>
      <c r="H24" s="6" t="n">
        <v>5</v>
      </c>
      <c r="I24" s="6" t="n">
        <v>3</v>
      </c>
      <c r="J24" s="6" t="n">
        <v>5</v>
      </c>
      <c r="K24" s="51"/>
      <c r="L24" s="51"/>
      <c r="M24" s="51"/>
      <c r="N24" s="51"/>
      <c r="O24" s="51"/>
      <c r="P24" s="51"/>
      <c r="Q24" s="51"/>
      <c r="R24" s="51"/>
      <c r="S24" s="51"/>
      <c r="T24" s="51"/>
      <c r="U24" s="51"/>
      <c r="V24" s="51"/>
      <c r="W24" s="51"/>
      <c r="X24" s="51"/>
      <c r="Y24" s="51"/>
      <c r="Z24" s="51"/>
      <c r="AA24" s="51"/>
      <c r="AB24" s="51"/>
    </row>
    <row r="25" customFormat="false" ht="225" hidden="false" customHeight="true" outlineLevel="0" collapsed="false">
      <c r="A25" s="54"/>
      <c r="B25" s="54"/>
      <c r="C25" s="6" t="s">
        <v>20</v>
      </c>
      <c r="D25" s="49" t="s">
        <v>90</v>
      </c>
      <c r="E25" s="69" t="n">
        <f aca="false">IFERROR(__xludf.dummyfunction("COUNTA(SPLIT(D25,"" ""))/COUNTA(SPLIT($B$22,"" ""))"),0.413483146067416)</f>
        <v>0.4134831461</v>
      </c>
      <c r="F25" s="6" t="n">
        <v>2</v>
      </c>
      <c r="G25" s="6" t="n">
        <v>4</v>
      </c>
      <c r="H25" s="6" t="n">
        <v>1</v>
      </c>
      <c r="I25" s="6" t="n">
        <v>3</v>
      </c>
      <c r="J25" s="6" t="n">
        <v>5</v>
      </c>
      <c r="K25" s="51"/>
      <c r="L25" s="51"/>
      <c r="M25" s="51"/>
      <c r="N25" s="51"/>
      <c r="O25" s="51"/>
      <c r="P25" s="51"/>
      <c r="Q25" s="51"/>
      <c r="R25" s="51"/>
      <c r="S25" s="51"/>
      <c r="T25" s="51"/>
      <c r="U25" s="51"/>
      <c r="V25" s="51"/>
      <c r="W25" s="51"/>
      <c r="X25" s="51"/>
      <c r="Y25" s="51"/>
      <c r="Z25" s="51"/>
      <c r="AA25" s="51"/>
      <c r="AB25" s="51"/>
    </row>
    <row r="26" customFormat="false" ht="15.75" hidden="false" customHeight="false" outlineLevel="0" collapsed="false">
      <c r="A26" s="51"/>
      <c r="B26" s="51"/>
      <c r="C26" s="6"/>
      <c r="D26" s="49"/>
      <c r="E26" s="53"/>
      <c r="F26" s="6"/>
      <c r="G26" s="6"/>
      <c r="H26" s="6"/>
      <c r="I26" s="6"/>
      <c r="J26" s="6"/>
      <c r="K26" s="51"/>
      <c r="L26" s="51"/>
      <c r="M26" s="51"/>
      <c r="N26" s="51"/>
      <c r="O26" s="51"/>
      <c r="P26" s="51"/>
      <c r="Q26" s="51"/>
      <c r="R26" s="51"/>
      <c r="S26" s="51"/>
      <c r="T26" s="51"/>
      <c r="U26" s="51"/>
      <c r="V26" s="51"/>
      <c r="W26" s="51"/>
      <c r="X26" s="51"/>
      <c r="Y26" s="51"/>
      <c r="Z26" s="51"/>
      <c r="AA26" s="51"/>
      <c r="AB26" s="51"/>
    </row>
    <row r="27" customFormat="false" ht="225" hidden="false" customHeight="true" outlineLevel="0" collapsed="false">
      <c r="A27" s="54" t="s">
        <v>51</v>
      </c>
      <c r="B27" s="55" t="s">
        <v>52</v>
      </c>
      <c r="C27" s="56" t="s">
        <v>18</v>
      </c>
      <c r="D27" s="93" t="s">
        <v>91</v>
      </c>
      <c r="E27" s="94" t="n">
        <f aca="false">IFERROR(__xludf.dummyfunction("COUNTA(SPLIT(D27,"" ""))/COUNTA(SPLIT($B$27,"" ""))"),0.545454545454545)</f>
        <v>0.5454545455</v>
      </c>
      <c r="F27" s="56" t="n">
        <v>3</v>
      </c>
      <c r="G27" s="56" t="n">
        <v>5</v>
      </c>
      <c r="H27" s="56" t="n">
        <v>1</v>
      </c>
      <c r="I27" s="56" t="n">
        <v>3</v>
      </c>
      <c r="J27" s="56" t="n">
        <v>5</v>
      </c>
      <c r="K27" s="59"/>
      <c r="L27" s="59"/>
      <c r="M27" s="59"/>
      <c r="N27" s="59"/>
      <c r="O27" s="59"/>
      <c r="P27" s="59"/>
      <c r="Q27" s="59"/>
      <c r="R27" s="59"/>
      <c r="S27" s="59"/>
      <c r="T27" s="59"/>
      <c r="U27" s="59"/>
      <c r="V27" s="59"/>
      <c r="W27" s="59"/>
      <c r="X27" s="59"/>
      <c r="Y27" s="59"/>
      <c r="Z27" s="59"/>
      <c r="AA27" s="59"/>
      <c r="AB27" s="59"/>
    </row>
    <row r="28" customFormat="false" ht="225" hidden="false" customHeight="true" outlineLevel="0" collapsed="false">
      <c r="A28" s="54"/>
      <c r="B28" s="54"/>
      <c r="C28" s="6" t="s">
        <v>19</v>
      </c>
      <c r="D28" s="49" t="s">
        <v>92</v>
      </c>
      <c r="E28" s="95" t="n">
        <f aca="false">IFERROR(__xludf.dummyfunction("COUNTA(SPLIT(D28,"" ""))/COUNTA(SPLIT($B$27,"" ""))"),0.199556541019956)</f>
        <v>0.199556541</v>
      </c>
      <c r="F28" s="6" t="n">
        <v>4</v>
      </c>
      <c r="G28" s="6" t="n">
        <v>5</v>
      </c>
      <c r="H28" s="6" t="n">
        <v>5</v>
      </c>
      <c r="I28" s="6" t="n">
        <v>4</v>
      </c>
      <c r="J28" s="6" t="n">
        <v>5</v>
      </c>
      <c r="K28" s="51"/>
      <c r="L28" s="51"/>
      <c r="M28" s="51"/>
      <c r="N28" s="51"/>
      <c r="O28" s="51"/>
      <c r="P28" s="51"/>
      <c r="Q28" s="51"/>
      <c r="R28" s="51"/>
      <c r="S28" s="51"/>
      <c r="T28" s="51"/>
      <c r="U28" s="51"/>
      <c r="V28" s="51"/>
      <c r="W28" s="51"/>
      <c r="X28" s="51"/>
      <c r="Y28" s="51"/>
      <c r="Z28" s="51"/>
      <c r="AA28" s="51"/>
      <c r="AB28" s="51"/>
    </row>
    <row r="29" customFormat="false" ht="225" hidden="false" customHeight="true" outlineLevel="0" collapsed="false">
      <c r="A29" s="54"/>
      <c r="B29" s="54"/>
      <c r="C29" s="6" t="s">
        <v>8</v>
      </c>
      <c r="D29" s="49" t="s">
        <v>93</v>
      </c>
      <c r="E29" s="89" t="n">
        <f aca="false">IFERROR(__xludf.dummyfunction("COUNTA(SPLIT(D29,"" ""))/COUNTA(SPLIT($B$27,"" ""))"),0.30820399113082)</f>
        <v>0.3082039911</v>
      </c>
      <c r="F29" s="6" t="n">
        <v>3</v>
      </c>
      <c r="G29" s="6" t="n">
        <v>4</v>
      </c>
      <c r="H29" s="6" t="n">
        <v>5</v>
      </c>
      <c r="I29" s="6" t="n">
        <v>3</v>
      </c>
      <c r="J29" s="6" t="n">
        <v>5</v>
      </c>
      <c r="K29" s="51"/>
      <c r="L29" s="51"/>
      <c r="M29" s="51"/>
      <c r="N29" s="51"/>
      <c r="O29" s="51"/>
      <c r="P29" s="51"/>
      <c r="Q29" s="51"/>
      <c r="R29" s="51"/>
      <c r="S29" s="51"/>
      <c r="T29" s="51"/>
      <c r="U29" s="51"/>
      <c r="V29" s="51"/>
      <c r="W29" s="51"/>
      <c r="X29" s="51"/>
      <c r="Y29" s="51"/>
      <c r="Z29" s="51"/>
      <c r="AA29" s="51"/>
      <c r="AB29" s="51"/>
    </row>
    <row r="30" customFormat="false" ht="225" hidden="false" customHeight="true" outlineLevel="0" collapsed="false">
      <c r="A30" s="54"/>
      <c r="B30" s="54"/>
      <c r="C30" s="6" t="s">
        <v>20</v>
      </c>
      <c r="D30" s="49" t="s">
        <v>94</v>
      </c>
      <c r="E30" s="96" t="n">
        <f aca="false">IFERROR(__xludf.dummyfunction("COUNTA(SPLIT(D30,"" ""))/COUNTA(SPLIT($B$27,"" ""))"),0.46119733924612)</f>
        <v>0.4611973392</v>
      </c>
      <c r="F30" s="6" t="n">
        <v>3</v>
      </c>
      <c r="G30" s="6" t="n">
        <v>5</v>
      </c>
      <c r="H30" s="6" t="n">
        <v>1</v>
      </c>
      <c r="I30" s="6" t="n">
        <v>3</v>
      </c>
      <c r="J30" s="6" t="n">
        <v>5</v>
      </c>
      <c r="K30" s="51"/>
      <c r="L30" s="51"/>
      <c r="M30" s="51"/>
      <c r="N30" s="51"/>
      <c r="O30" s="51"/>
      <c r="P30" s="51"/>
      <c r="Q30" s="51"/>
      <c r="R30" s="51"/>
      <c r="S30" s="51"/>
      <c r="T30" s="51"/>
      <c r="U30" s="51"/>
      <c r="V30" s="51"/>
      <c r="W30" s="51"/>
      <c r="X30" s="51"/>
      <c r="Y30" s="51"/>
      <c r="Z30" s="51"/>
      <c r="AA30" s="51"/>
      <c r="AB30" s="51"/>
    </row>
    <row r="31" customFormat="false" ht="15.75" hidden="false" customHeight="false" outlineLevel="0" collapsed="false">
      <c r="A31" s="51"/>
      <c r="B31" s="51"/>
      <c r="C31" s="6"/>
      <c r="D31" s="49"/>
      <c r="E31" s="53"/>
      <c r="F31" s="6"/>
      <c r="G31" s="6"/>
      <c r="H31" s="6"/>
      <c r="I31" s="6"/>
      <c r="J31" s="6"/>
      <c r="K31" s="51"/>
      <c r="L31" s="51"/>
      <c r="M31" s="51"/>
      <c r="N31" s="51"/>
      <c r="O31" s="51"/>
      <c r="P31" s="51"/>
      <c r="Q31" s="51"/>
      <c r="R31" s="51"/>
      <c r="S31" s="51"/>
      <c r="T31" s="51"/>
      <c r="U31" s="51"/>
      <c r="V31" s="51"/>
      <c r="W31" s="51"/>
      <c r="X31" s="51"/>
      <c r="Y31" s="51"/>
      <c r="Z31" s="51"/>
      <c r="AA31" s="51"/>
      <c r="AB31" s="51"/>
    </row>
    <row r="32" customFormat="false" ht="225" hidden="false" customHeight="true" outlineLevel="0" collapsed="false">
      <c r="A32" s="54" t="s">
        <v>55</v>
      </c>
      <c r="B32" s="55" t="s">
        <v>56</v>
      </c>
      <c r="C32" s="56" t="s">
        <v>18</v>
      </c>
      <c r="D32" s="57" t="s">
        <v>95</v>
      </c>
      <c r="E32" s="68" t="n">
        <f aca="false">IFERROR(__xludf.dummyfunction("COUNTA(SPLIT(D32,"" ""))/COUNTA(SPLIT($B$32,"" ""))"),0.518518518518519)</f>
        <v>0.5185185185</v>
      </c>
      <c r="F32" s="56" t="n">
        <v>3</v>
      </c>
      <c r="G32" s="56" t="n">
        <v>5</v>
      </c>
      <c r="H32" s="56" t="n">
        <v>4</v>
      </c>
      <c r="I32" s="56" t="n">
        <v>3</v>
      </c>
      <c r="J32" s="56" t="n">
        <v>3</v>
      </c>
      <c r="K32" s="59"/>
      <c r="L32" s="59"/>
      <c r="M32" s="59"/>
      <c r="N32" s="59"/>
      <c r="O32" s="59"/>
      <c r="P32" s="59"/>
      <c r="Q32" s="59"/>
      <c r="R32" s="59"/>
      <c r="S32" s="59"/>
      <c r="T32" s="59"/>
      <c r="U32" s="59"/>
      <c r="V32" s="59"/>
      <c r="W32" s="59"/>
      <c r="X32" s="59"/>
      <c r="Y32" s="59"/>
      <c r="Z32" s="59"/>
      <c r="AA32" s="59"/>
      <c r="AB32" s="59"/>
    </row>
    <row r="33" customFormat="false" ht="225" hidden="false" customHeight="true" outlineLevel="0" collapsed="false">
      <c r="A33" s="54"/>
      <c r="B33" s="54"/>
      <c r="C33" s="6" t="s">
        <v>19</v>
      </c>
      <c r="D33" s="49" t="s">
        <v>96</v>
      </c>
      <c r="E33" s="97" t="n">
        <f aca="false">IFERROR(__xludf.dummyfunction("COUNTA(SPLIT(D33,"" ""))/COUNTA(SPLIT($B$32,"" ""))"),0.359259259259259)</f>
        <v>0.3592592593</v>
      </c>
      <c r="F33" s="6" t="n">
        <v>4</v>
      </c>
      <c r="G33" s="6" t="n">
        <v>5</v>
      </c>
      <c r="H33" s="6" t="n">
        <v>5</v>
      </c>
      <c r="I33" s="6" t="n">
        <v>4</v>
      </c>
      <c r="J33" s="6" t="n">
        <v>3</v>
      </c>
      <c r="K33" s="51"/>
      <c r="L33" s="51"/>
      <c r="M33" s="51"/>
      <c r="N33" s="51"/>
      <c r="O33" s="51"/>
      <c r="P33" s="51"/>
      <c r="Q33" s="51"/>
      <c r="R33" s="51"/>
      <c r="S33" s="51"/>
      <c r="T33" s="51"/>
      <c r="U33" s="51"/>
      <c r="V33" s="51"/>
      <c r="W33" s="51"/>
      <c r="X33" s="51"/>
      <c r="Y33" s="51"/>
      <c r="Z33" s="51"/>
      <c r="AA33" s="51"/>
      <c r="AB33" s="51"/>
    </row>
    <row r="34" customFormat="false" ht="225" hidden="false" customHeight="true" outlineLevel="0" collapsed="false">
      <c r="A34" s="54"/>
      <c r="B34" s="54"/>
      <c r="C34" s="6" t="s">
        <v>8</v>
      </c>
      <c r="D34" s="49" t="s">
        <v>97</v>
      </c>
      <c r="E34" s="98" t="n">
        <f aca="false">IFERROR(__xludf.dummyfunction("COUNTA(SPLIT(D34,"" ""))/COUNTA(SPLIT($B$32,"" ""))"),0.540740740740741)</f>
        <v>0.5407407407</v>
      </c>
      <c r="F34" s="6" t="n">
        <v>2</v>
      </c>
      <c r="G34" s="6" t="n">
        <v>4</v>
      </c>
      <c r="H34" s="6" t="n">
        <v>4</v>
      </c>
      <c r="I34" s="6" t="n">
        <v>3</v>
      </c>
      <c r="J34" s="6" t="n">
        <v>4</v>
      </c>
      <c r="K34" s="51"/>
      <c r="L34" s="51"/>
      <c r="M34" s="51"/>
      <c r="N34" s="51"/>
      <c r="O34" s="51"/>
      <c r="P34" s="51"/>
      <c r="Q34" s="51"/>
      <c r="R34" s="51"/>
      <c r="S34" s="51"/>
      <c r="T34" s="51"/>
      <c r="U34" s="51"/>
      <c r="V34" s="51"/>
      <c r="W34" s="51"/>
      <c r="X34" s="51"/>
      <c r="Y34" s="51"/>
      <c r="Z34" s="51"/>
      <c r="AA34" s="51"/>
      <c r="AB34" s="51"/>
    </row>
    <row r="35" customFormat="false" ht="225" hidden="false" customHeight="true" outlineLevel="0" collapsed="false">
      <c r="A35" s="54"/>
      <c r="B35" s="54"/>
      <c r="C35" s="6" t="s">
        <v>20</v>
      </c>
      <c r="D35" s="49" t="s">
        <v>98</v>
      </c>
      <c r="E35" s="64" t="n">
        <f aca="false">IFERROR(__xludf.dummyfunction("COUNTA(SPLIT(D35,"" ""))/COUNTA(SPLIT($B$32,"" ""))"),0.266666666666667)</f>
        <v>0.2666666667</v>
      </c>
      <c r="F35" s="6" t="n">
        <v>4</v>
      </c>
      <c r="G35" s="6" t="n">
        <v>5</v>
      </c>
      <c r="H35" s="6" t="n">
        <v>4</v>
      </c>
      <c r="I35" s="6" t="n">
        <v>4</v>
      </c>
      <c r="J35" s="6" t="n">
        <v>3</v>
      </c>
      <c r="K35" s="51"/>
      <c r="L35" s="51"/>
      <c r="M35" s="51"/>
      <c r="N35" s="51"/>
      <c r="O35" s="51"/>
      <c r="P35" s="51"/>
      <c r="Q35" s="51"/>
      <c r="R35" s="51"/>
      <c r="S35" s="51"/>
      <c r="T35" s="51"/>
      <c r="U35" s="51"/>
      <c r="V35" s="51"/>
      <c r="W35" s="51"/>
      <c r="X35" s="51"/>
      <c r="Y35" s="51"/>
      <c r="Z35" s="51"/>
      <c r="AA35" s="51"/>
      <c r="AB35" s="51"/>
    </row>
    <row r="36" customFormat="false" ht="15.75" hidden="false" customHeight="false" outlineLevel="0" collapsed="false">
      <c r="A36" s="51"/>
      <c r="B36" s="51"/>
      <c r="C36" s="6"/>
      <c r="D36" s="49"/>
      <c r="E36" s="53"/>
      <c r="F36" s="6"/>
      <c r="G36" s="6"/>
      <c r="H36" s="6"/>
      <c r="I36" s="6"/>
      <c r="J36" s="6"/>
      <c r="K36" s="51"/>
      <c r="L36" s="51"/>
      <c r="M36" s="51"/>
      <c r="N36" s="51"/>
      <c r="O36" s="51"/>
      <c r="P36" s="51"/>
      <c r="Q36" s="51"/>
      <c r="R36" s="51"/>
      <c r="S36" s="51"/>
      <c r="T36" s="51"/>
      <c r="U36" s="51"/>
      <c r="V36" s="51"/>
      <c r="W36" s="51"/>
      <c r="X36" s="51"/>
      <c r="Y36" s="51"/>
      <c r="Z36" s="51"/>
      <c r="AA36" s="51"/>
      <c r="AB36" s="51"/>
    </row>
    <row r="37" customFormat="false" ht="225" hidden="false" customHeight="true" outlineLevel="0" collapsed="false">
      <c r="A37" s="99" t="s">
        <v>59</v>
      </c>
      <c r="B37" s="55" t="s">
        <v>60</v>
      </c>
      <c r="C37" s="56" t="s">
        <v>18</v>
      </c>
      <c r="D37" s="57" t="s">
        <v>99</v>
      </c>
      <c r="E37" s="78" t="n">
        <f aca="false">IFERROR(__xludf.dummyfunction("COUNTA(SPLIT(D37,"" ""))/COUNTA(SPLIT($B$37,"" ""))"),0.346698113207547)</f>
        <v>0.3466981132</v>
      </c>
      <c r="F37" s="56" t="n">
        <v>3</v>
      </c>
      <c r="G37" s="56" t="n">
        <v>5</v>
      </c>
      <c r="H37" s="56" t="n">
        <v>5</v>
      </c>
      <c r="I37" s="56" t="n">
        <v>4</v>
      </c>
      <c r="J37" s="56" t="n">
        <v>5</v>
      </c>
      <c r="K37" s="59"/>
      <c r="L37" s="59"/>
      <c r="M37" s="59"/>
      <c r="N37" s="59"/>
      <c r="O37" s="59"/>
      <c r="P37" s="59"/>
      <c r="Q37" s="59"/>
      <c r="R37" s="59"/>
      <c r="S37" s="59"/>
      <c r="T37" s="59"/>
      <c r="U37" s="59"/>
      <c r="V37" s="59"/>
      <c r="W37" s="59"/>
      <c r="X37" s="59"/>
      <c r="Y37" s="59"/>
      <c r="Z37" s="59"/>
      <c r="AA37" s="59"/>
      <c r="AB37" s="59"/>
    </row>
    <row r="38" customFormat="false" ht="225" hidden="false" customHeight="true" outlineLevel="0" collapsed="false">
      <c r="A38" s="99"/>
      <c r="B38" s="99"/>
      <c r="C38" s="6" t="s">
        <v>19</v>
      </c>
      <c r="D38" s="49" t="s">
        <v>100</v>
      </c>
      <c r="E38" s="100" t="n">
        <f aca="false">IFERROR(__xludf.dummyfunction("COUNTA(SPLIT(D38,"" ""))/COUNTA(SPLIT($B$37,"" ""))"),0.233490566037736)</f>
        <v>0.233490566</v>
      </c>
      <c r="F38" s="6" t="n">
        <v>4</v>
      </c>
      <c r="G38" s="6" t="n">
        <v>4</v>
      </c>
      <c r="H38" s="6" t="n">
        <v>4</v>
      </c>
      <c r="I38" s="6" t="n">
        <v>4</v>
      </c>
      <c r="J38" s="6" t="n">
        <v>4</v>
      </c>
      <c r="K38" s="51"/>
      <c r="L38" s="51"/>
      <c r="M38" s="51"/>
      <c r="N38" s="51"/>
      <c r="O38" s="51"/>
      <c r="P38" s="51"/>
      <c r="Q38" s="51"/>
      <c r="R38" s="51"/>
      <c r="S38" s="51"/>
      <c r="T38" s="51"/>
      <c r="U38" s="51"/>
      <c r="V38" s="51"/>
      <c r="W38" s="51"/>
      <c r="X38" s="51"/>
      <c r="Y38" s="51"/>
      <c r="Z38" s="51"/>
      <c r="AA38" s="51"/>
      <c r="AB38" s="51"/>
    </row>
    <row r="39" customFormat="false" ht="225" hidden="false" customHeight="true" outlineLevel="0" collapsed="false">
      <c r="A39" s="99"/>
      <c r="B39" s="99"/>
      <c r="C39" s="6" t="s">
        <v>8</v>
      </c>
      <c r="D39" s="49" t="s">
        <v>101</v>
      </c>
      <c r="E39" s="86" t="n">
        <f aca="false">IFERROR(__xludf.dummyfunction("COUNTA(SPLIT(D39,"" ""))/COUNTA(SPLIT($B$37,"" ""))"),0.30188679245283)</f>
        <v>0.3018867925</v>
      </c>
      <c r="F39" s="6" t="n">
        <v>2</v>
      </c>
      <c r="G39" s="6" t="n">
        <v>5</v>
      </c>
      <c r="H39" s="6" t="n">
        <v>5</v>
      </c>
      <c r="I39" s="6" t="n">
        <v>3</v>
      </c>
      <c r="J39" s="6" t="n">
        <v>4</v>
      </c>
      <c r="K39" s="51"/>
      <c r="L39" s="51"/>
      <c r="M39" s="51"/>
      <c r="N39" s="51"/>
      <c r="O39" s="51"/>
      <c r="P39" s="51"/>
      <c r="Q39" s="51"/>
      <c r="R39" s="51"/>
      <c r="S39" s="51"/>
      <c r="T39" s="51"/>
      <c r="U39" s="51"/>
      <c r="V39" s="51"/>
      <c r="W39" s="51"/>
      <c r="X39" s="51"/>
      <c r="Y39" s="51"/>
      <c r="Z39" s="51"/>
      <c r="AA39" s="51"/>
      <c r="AB39" s="51"/>
    </row>
    <row r="40" customFormat="false" ht="225" hidden="false" customHeight="true" outlineLevel="0" collapsed="false">
      <c r="A40" s="99"/>
      <c r="B40" s="99"/>
      <c r="C40" s="6" t="s">
        <v>20</v>
      </c>
      <c r="D40" s="49" t="s">
        <v>102</v>
      </c>
      <c r="E40" s="80" t="n">
        <f aca="false">IFERROR(__xludf.dummyfunction("COUNTA(SPLIT(D40,"" ""))/COUNTA(SPLIT($B$37,"" ""))"),0.346698113207547)</f>
        <v>0.3466981132</v>
      </c>
      <c r="F40" s="6" t="n">
        <v>3</v>
      </c>
      <c r="G40" s="6" t="n">
        <v>5</v>
      </c>
      <c r="H40" s="6" t="n">
        <v>1</v>
      </c>
      <c r="I40" s="6" t="n">
        <v>5</v>
      </c>
      <c r="J40" s="6" t="n">
        <v>5</v>
      </c>
      <c r="K40" s="51"/>
      <c r="L40" s="51"/>
      <c r="M40" s="51"/>
      <c r="N40" s="51"/>
      <c r="O40" s="51"/>
      <c r="P40" s="51"/>
      <c r="Q40" s="51"/>
      <c r="R40" s="51"/>
      <c r="S40" s="51"/>
      <c r="T40" s="51"/>
      <c r="U40" s="51"/>
      <c r="V40" s="51"/>
      <c r="W40" s="51"/>
      <c r="X40" s="51"/>
      <c r="Y40" s="51"/>
      <c r="Z40" s="51"/>
      <c r="AA40" s="51"/>
      <c r="AB40" s="51"/>
    </row>
    <row r="41" customFormat="false" ht="15.75" hidden="false" customHeight="false" outlineLevel="0" collapsed="false">
      <c r="A41" s="51"/>
      <c r="B41" s="51"/>
      <c r="C41" s="6"/>
      <c r="D41" s="49"/>
      <c r="E41" s="53"/>
      <c r="F41" s="6"/>
      <c r="G41" s="6"/>
      <c r="H41" s="6"/>
      <c r="I41" s="6"/>
      <c r="J41" s="6"/>
      <c r="K41" s="51"/>
      <c r="L41" s="51"/>
      <c r="M41" s="51"/>
      <c r="N41" s="51"/>
      <c r="O41" s="51"/>
      <c r="P41" s="51"/>
      <c r="Q41" s="51"/>
      <c r="R41" s="51"/>
      <c r="S41" s="51"/>
      <c r="T41" s="51"/>
      <c r="U41" s="51"/>
      <c r="V41" s="51"/>
      <c r="W41" s="51"/>
      <c r="X41" s="51"/>
      <c r="Y41" s="51"/>
      <c r="Z41" s="51"/>
      <c r="AA41" s="51"/>
      <c r="AB41" s="51"/>
    </row>
    <row r="42" customFormat="false" ht="225" hidden="false" customHeight="true" outlineLevel="0" collapsed="false">
      <c r="A42" s="54" t="s">
        <v>63</v>
      </c>
      <c r="B42" s="55" t="s">
        <v>64</v>
      </c>
      <c r="C42" s="56" t="s">
        <v>18</v>
      </c>
      <c r="D42" s="57" t="s">
        <v>103</v>
      </c>
      <c r="E42" s="78" t="n">
        <f aca="false">IFERROR(__xludf.dummyfunction("COUNTA(SPLIT(D42,"" ""))/COUNTA(SPLIT($B$42,"" ""))"),0.238754325259516)</f>
        <v>0.2387543253</v>
      </c>
      <c r="F42" s="56" t="n">
        <v>3</v>
      </c>
      <c r="G42" s="56" t="n">
        <v>5</v>
      </c>
      <c r="H42" s="56" t="n">
        <v>4</v>
      </c>
      <c r="I42" s="56" t="n">
        <v>4</v>
      </c>
      <c r="J42" s="56" t="n">
        <v>4</v>
      </c>
      <c r="K42" s="59"/>
      <c r="L42" s="59"/>
      <c r="M42" s="59"/>
      <c r="N42" s="59"/>
      <c r="O42" s="59"/>
      <c r="P42" s="59"/>
      <c r="Q42" s="59"/>
      <c r="R42" s="59"/>
      <c r="S42" s="59"/>
      <c r="T42" s="59"/>
      <c r="U42" s="59"/>
      <c r="V42" s="59"/>
      <c r="W42" s="59"/>
      <c r="X42" s="59"/>
      <c r="Y42" s="59"/>
      <c r="Z42" s="59"/>
      <c r="AA42" s="59"/>
      <c r="AB42" s="59"/>
    </row>
    <row r="43" customFormat="false" ht="225" hidden="false" customHeight="true" outlineLevel="0" collapsed="false">
      <c r="A43" s="54"/>
      <c r="B43" s="54"/>
      <c r="C43" s="6" t="s">
        <v>19</v>
      </c>
      <c r="D43" s="49" t="s">
        <v>104</v>
      </c>
      <c r="E43" s="78" t="n">
        <f aca="false">IFERROR(__xludf.dummyfunction("COUNTA(SPLIT(D43,"" ""))/COUNTA(SPLIT($B$42,"" ""))"),0.167820069204152)</f>
        <v>0.1678200692</v>
      </c>
      <c r="F43" s="6" t="n">
        <v>3</v>
      </c>
      <c r="G43" s="6" t="n">
        <v>5</v>
      </c>
      <c r="H43" s="6" t="n">
        <v>4</v>
      </c>
      <c r="I43" s="6" t="n">
        <v>4</v>
      </c>
      <c r="J43" s="6" t="n">
        <v>3</v>
      </c>
      <c r="K43" s="51"/>
      <c r="L43" s="51"/>
      <c r="M43" s="51"/>
      <c r="N43" s="51"/>
      <c r="O43" s="51"/>
      <c r="P43" s="51"/>
      <c r="Q43" s="51"/>
      <c r="R43" s="51"/>
      <c r="S43" s="51"/>
      <c r="T43" s="51"/>
      <c r="U43" s="51"/>
      <c r="V43" s="51"/>
      <c r="W43" s="51"/>
      <c r="X43" s="51"/>
      <c r="Y43" s="51"/>
      <c r="Z43" s="51"/>
      <c r="AA43" s="51"/>
      <c r="AB43" s="51"/>
    </row>
    <row r="44" customFormat="false" ht="225" hidden="false" customHeight="true" outlineLevel="0" collapsed="false">
      <c r="A44" s="54"/>
      <c r="B44" s="54"/>
      <c r="C44" s="6" t="s">
        <v>8</v>
      </c>
      <c r="D44" s="49" t="s">
        <v>105</v>
      </c>
      <c r="E44" s="101" t="n">
        <f aca="false">IFERROR(__xludf.dummyfunction("COUNTA(SPLIT(D44,"" ""))/COUNTA(SPLIT($B$42,"" ""))"),0.240484429065744)</f>
        <v>0.2404844291</v>
      </c>
      <c r="F44" s="6" t="n">
        <v>3</v>
      </c>
      <c r="G44" s="6" t="n">
        <v>4</v>
      </c>
      <c r="H44" s="6" t="n">
        <v>5</v>
      </c>
      <c r="I44" s="6" t="n">
        <v>3</v>
      </c>
      <c r="J44" s="6" t="n">
        <v>4</v>
      </c>
      <c r="K44" s="51"/>
      <c r="L44" s="51"/>
      <c r="M44" s="51"/>
      <c r="N44" s="51"/>
      <c r="O44" s="51"/>
      <c r="P44" s="51"/>
      <c r="Q44" s="51"/>
      <c r="R44" s="51"/>
      <c r="S44" s="51"/>
      <c r="T44" s="51"/>
      <c r="U44" s="51"/>
      <c r="V44" s="51"/>
      <c r="W44" s="51"/>
      <c r="X44" s="51"/>
      <c r="Y44" s="51"/>
      <c r="Z44" s="51"/>
      <c r="AA44" s="51"/>
      <c r="AB44" s="51"/>
    </row>
    <row r="45" customFormat="false" ht="225" hidden="false" customHeight="true" outlineLevel="0" collapsed="false">
      <c r="A45" s="54"/>
      <c r="B45" s="54"/>
      <c r="C45" s="6" t="s">
        <v>20</v>
      </c>
      <c r="D45" s="49" t="s">
        <v>106</v>
      </c>
      <c r="E45" s="96" t="n">
        <f aca="false">IFERROR(__xludf.dummyfunction("COUNTA(SPLIT(D45,"" ""))/COUNTA(SPLIT($B$42,"" ""))"),0.333910034602076)</f>
        <v>0.3339100346</v>
      </c>
      <c r="F45" s="6" t="n">
        <v>4</v>
      </c>
      <c r="G45" s="6" t="n">
        <v>5</v>
      </c>
      <c r="H45" s="6" t="n">
        <v>1</v>
      </c>
      <c r="I45" s="6" t="n">
        <v>4</v>
      </c>
      <c r="J45" s="6" t="n">
        <v>5</v>
      </c>
      <c r="K45" s="51"/>
      <c r="L45" s="51"/>
      <c r="M45" s="51"/>
      <c r="N45" s="51"/>
      <c r="O45" s="51"/>
      <c r="P45" s="51"/>
      <c r="Q45" s="51"/>
      <c r="R45" s="51"/>
      <c r="S45" s="51"/>
      <c r="T45" s="51"/>
      <c r="U45" s="51"/>
      <c r="V45" s="51"/>
      <c r="W45" s="51"/>
      <c r="X45" s="51"/>
      <c r="Y45" s="51"/>
      <c r="Z45" s="51"/>
      <c r="AA45" s="51"/>
      <c r="AB45" s="51"/>
    </row>
    <row r="46" customFormat="false" ht="15.75" hidden="false" customHeight="false" outlineLevel="0" collapsed="false">
      <c r="A46" s="51"/>
      <c r="B46" s="51"/>
      <c r="C46" s="6"/>
      <c r="D46" s="49"/>
      <c r="E46" s="53"/>
      <c r="F46" s="6"/>
      <c r="G46" s="6"/>
      <c r="H46" s="6"/>
      <c r="I46" s="6"/>
      <c r="J46" s="6"/>
      <c r="K46" s="51"/>
      <c r="L46" s="51"/>
      <c r="M46" s="51"/>
      <c r="N46" s="51"/>
      <c r="O46" s="51"/>
      <c r="P46" s="51"/>
      <c r="Q46" s="51"/>
      <c r="R46" s="51"/>
      <c r="S46" s="51"/>
      <c r="T46" s="51"/>
      <c r="U46" s="51"/>
      <c r="V46" s="51"/>
      <c r="W46" s="51"/>
      <c r="X46" s="51"/>
      <c r="Y46" s="51"/>
      <c r="Z46" s="51"/>
      <c r="AA46" s="51"/>
      <c r="AB46" s="51"/>
    </row>
    <row r="47" customFormat="false" ht="225" hidden="false" customHeight="true" outlineLevel="0" collapsed="false">
      <c r="A47" s="54" t="s">
        <v>67</v>
      </c>
      <c r="B47" s="55" t="s">
        <v>68</v>
      </c>
      <c r="C47" s="56" t="s">
        <v>18</v>
      </c>
      <c r="D47" s="57" t="s">
        <v>107</v>
      </c>
      <c r="E47" s="102" t="n">
        <f aca="false">IFERROR(__xludf.dummyfunction("COUNTA(SPLIT(D47,"" ""))/COUNTA(SPLIT($B$47,"" ""))"),0.590476190476191)</f>
        <v>0.5904761905</v>
      </c>
      <c r="F47" s="56" t="n">
        <v>3</v>
      </c>
      <c r="G47" s="56" t="n">
        <v>4</v>
      </c>
      <c r="H47" s="56" t="n">
        <v>5</v>
      </c>
      <c r="I47" s="56" t="n">
        <v>3</v>
      </c>
      <c r="J47" s="56" t="n">
        <v>5</v>
      </c>
      <c r="K47" s="59"/>
      <c r="L47" s="59"/>
      <c r="M47" s="59"/>
      <c r="N47" s="59"/>
      <c r="O47" s="59"/>
      <c r="P47" s="59"/>
      <c r="Q47" s="59"/>
      <c r="R47" s="59"/>
      <c r="S47" s="59"/>
      <c r="T47" s="59"/>
      <c r="U47" s="59"/>
      <c r="V47" s="59"/>
      <c r="W47" s="59"/>
      <c r="X47" s="59"/>
      <c r="Y47" s="59"/>
      <c r="Z47" s="59"/>
      <c r="AA47" s="59"/>
      <c r="AB47" s="59"/>
    </row>
    <row r="48" customFormat="false" ht="225" hidden="false" customHeight="true" outlineLevel="0" collapsed="false">
      <c r="A48" s="54"/>
      <c r="B48" s="54"/>
      <c r="C48" s="6" t="s">
        <v>19</v>
      </c>
      <c r="D48" s="49" t="s">
        <v>108</v>
      </c>
      <c r="E48" s="73" t="n">
        <f aca="false">IFERROR(__xludf.dummyfunction("COUNTA(SPLIT(D48,"" ""))/COUNTA(SPLIT($B$47,"" ""))"),0.495238095238095)</f>
        <v>0.4952380952</v>
      </c>
      <c r="F48" s="6" t="n">
        <v>4</v>
      </c>
      <c r="G48" s="6" t="n">
        <v>4</v>
      </c>
      <c r="H48" s="6" t="n">
        <v>5</v>
      </c>
      <c r="I48" s="6" t="n">
        <v>4</v>
      </c>
      <c r="J48" s="6" t="n">
        <v>5</v>
      </c>
      <c r="K48" s="51"/>
      <c r="L48" s="51"/>
      <c r="M48" s="51"/>
      <c r="N48" s="51"/>
      <c r="O48" s="51"/>
      <c r="P48" s="51"/>
      <c r="Q48" s="51"/>
      <c r="R48" s="51"/>
      <c r="S48" s="51"/>
      <c r="T48" s="51"/>
      <c r="U48" s="51"/>
      <c r="V48" s="51"/>
      <c r="W48" s="51"/>
      <c r="X48" s="51"/>
      <c r="Y48" s="51"/>
      <c r="Z48" s="51"/>
      <c r="AA48" s="51"/>
      <c r="AB48" s="51"/>
    </row>
    <row r="49" customFormat="false" ht="225" hidden="false" customHeight="true" outlineLevel="0" collapsed="false">
      <c r="A49" s="54"/>
      <c r="B49" s="54"/>
      <c r="C49" s="6" t="s">
        <v>8</v>
      </c>
      <c r="D49" s="49" t="s">
        <v>109</v>
      </c>
      <c r="E49" s="74" t="n">
        <f aca="false">IFERROR(__xludf.dummyfunction("COUNTA(SPLIT(D49,"" ""))/COUNTA(SPLIT($B$47,"" ""))"),0.619047619047619)</f>
        <v>0.619047619</v>
      </c>
      <c r="F49" s="6" t="n">
        <v>3</v>
      </c>
      <c r="G49" s="6" t="n">
        <v>3</v>
      </c>
      <c r="H49" s="6" t="n">
        <v>5</v>
      </c>
      <c r="I49" s="6" t="n">
        <v>3</v>
      </c>
      <c r="J49" s="6" t="n">
        <v>5</v>
      </c>
      <c r="K49" s="51"/>
      <c r="L49" s="51"/>
      <c r="M49" s="51"/>
      <c r="N49" s="51"/>
      <c r="O49" s="51"/>
      <c r="P49" s="51"/>
      <c r="Q49" s="51"/>
      <c r="R49" s="51"/>
      <c r="S49" s="51"/>
      <c r="T49" s="51"/>
      <c r="U49" s="51"/>
      <c r="V49" s="51"/>
      <c r="W49" s="51"/>
      <c r="X49" s="51"/>
      <c r="Y49" s="51"/>
      <c r="Z49" s="51"/>
      <c r="AA49" s="51"/>
      <c r="AB49" s="51"/>
    </row>
    <row r="50" customFormat="false" ht="225" hidden="false" customHeight="true" outlineLevel="0" collapsed="false">
      <c r="A50" s="54"/>
      <c r="B50" s="54"/>
      <c r="C50" s="6" t="s">
        <v>20</v>
      </c>
      <c r="D50" s="49" t="s">
        <v>110</v>
      </c>
      <c r="E50" s="75" t="n">
        <f aca="false">IFERROR(__xludf.dummyfunction("COUNTA(SPLIT(D50,"" ""))/COUNTA(SPLIT($B$47,"" ""))"),0.271428571428571)</f>
        <v>0.2714285714</v>
      </c>
      <c r="F50" s="6" t="n">
        <v>3</v>
      </c>
      <c r="G50" s="6" t="n">
        <v>4</v>
      </c>
      <c r="H50" s="6" t="n">
        <v>4</v>
      </c>
      <c r="I50" s="6" t="n">
        <v>5</v>
      </c>
      <c r="J50" s="6" t="n">
        <v>3</v>
      </c>
      <c r="K50" s="51"/>
      <c r="L50" s="51"/>
      <c r="M50" s="51"/>
      <c r="N50" s="51"/>
      <c r="O50" s="51"/>
      <c r="P50" s="51"/>
      <c r="Q50" s="51"/>
      <c r="R50" s="51"/>
      <c r="S50" s="51"/>
      <c r="T50" s="51"/>
      <c r="U50" s="51"/>
      <c r="V50" s="51"/>
      <c r="W50" s="51"/>
      <c r="X50" s="51"/>
      <c r="Y50" s="51"/>
      <c r="Z50" s="51"/>
      <c r="AA50" s="51"/>
      <c r="AB50" s="51"/>
    </row>
    <row r="51" customFormat="false" ht="15.75" hidden="false" customHeight="false" outlineLevel="0" collapsed="false">
      <c r="A51" s="51"/>
      <c r="B51" s="51"/>
      <c r="C51" s="6"/>
      <c r="D51" s="49"/>
      <c r="E51" s="51"/>
      <c r="F51" s="6"/>
      <c r="G51" s="6"/>
      <c r="H51" s="6"/>
      <c r="I51" s="6"/>
      <c r="J51" s="6"/>
      <c r="K51" s="51"/>
      <c r="L51" s="51"/>
      <c r="M51" s="51"/>
      <c r="N51" s="51"/>
      <c r="O51" s="51"/>
      <c r="P51" s="51"/>
      <c r="Q51" s="51"/>
      <c r="R51" s="51"/>
      <c r="S51" s="51"/>
      <c r="T51" s="51"/>
      <c r="U51" s="51"/>
      <c r="V51" s="51"/>
      <c r="W51" s="51"/>
      <c r="X51" s="51"/>
      <c r="Y51" s="51"/>
      <c r="Z51" s="51"/>
      <c r="AA51" s="51"/>
      <c r="AB51" s="51"/>
    </row>
    <row r="52" customFormat="false" ht="15.75" hidden="false" customHeight="false" outlineLevel="0" collapsed="false">
      <c r="A52" s="71"/>
      <c r="B52" s="55"/>
      <c r="C52" s="56" t="s">
        <v>18</v>
      </c>
      <c r="D52" s="57"/>
      <c r="E52" s="72" t="n">
        <f aca="false">IFERROR(__xludf.dummyfunction("COUNTA(SPLIT(D52,"" ""))/COUNTA(SPLIT($B$47,"" ""))"),0.00476190476190476)</f>
        <v>0.004761904762</v>
      </c>
      <c r="F52" s="56"/>
      <c r="G52" s="56"/>
      <c r="H52" s="56"/>
      <c r="I52" s="56"/>
      <c r="J52" s="56"/>
      <c r="K52" s="59"/>
      <c r="L52" s="59"/>
      <c r="M52" s="59"/>
      <c r="N52" s="59"/>
      <c r="O52" s="59"/>
      <c r="P52" s="59"/>
      <c r="Q52" s="59"/>
      <c r="R52" s="59"/>
      <c r="S52" s="59"/>
      <c r="T52" s="59"/>
      <c r="U52" s="59"/>
      <c r="V52" s="59"/>
      <c r="W52" s="59"/>
      <c r="X52" s="59"/>
      <c r="Y52" s="59"/>
      <c r="Z52" s="59"/>
      <c r="AA52" s="59"/>
      <c r="AB52" s="59"/>
    </row>
    <row r="53" customFormat="false" ht="15.75" hidden="false" customHeight="false" outlineLevel="0" collapsed="false">
      <c r="A53" s="71"/>
      <c r="B53" s="71"/>
      <c r="C53" s="6" t="s">
        <v>19</v>
      </c>
      <c r="D53" s="49"/>
      <c r="E53" s="73" t="n">
        <f aca="false">IFERROR(__xludf.dummyfunction("COUNTA(SPLIT(D53,"" ""))/COUNTA(SPLIT($B$47,"" ""))"),0.00476190476190476)</f>
        <v>0.004761904762</v>
      </c>
      <c r="F53" s="6"/>
      <c r="G53" s="6"/>
      <c r="H53" s="6"/>
      <c r="I53" s="6"/>
      <c r="J53" s="6"/>
      <c r="K53" s="51"/>
      <c r="L53" s="51"/>
      <c r="M53" s="51"/>
      <c r="N53" s="51"/>
      <c r="O53" s="51"/>
      <c r="P53" s="51"/>
      <c r="Q53" s="51"/>
      <c r="R53" s="51"/>
      <c r="S53" s="51"/>
      <c r="T53" s="51"/>
      <c r="U53" s="51"/>
      <c r="V53" s="51"/>
      <c r="W53" s="51"/>
      <c r="X53" s="51"/>
      <c r="Y53" s="51"/>
      <c r="Z53" s="51"/>
      <c r="AA53" s="51"/>
      <c r="AB53" s="51"/>
    </row>
    <row r="54" customFormat="false" ht="15.75" hidden="false" customHeight="false" outlineLevel="0" collapsed="false">
      <c r="A54" s="71"/>
      <c r="B54" s="71"/>
      <c r="C54" s="6" t="s">
        <v>8</v>
      </c>
      <c r="D54" s="49"/>
      <c r="E54" s="74" t="n">
        <f aca="false">IFERROR(__xludf.dummyfunction("COUNTA(SPLIT(D54,"" ""))/COUNTA(SPLIT($B$47,"" ""))"),0.00476190476190476)</f>
        <v>0.004761904762</v>
      </c>
      <c r="F54" s="6"/>
      <c r="G54" s="6"/>
      <c r="H54" s="6"/>
      <c r="I54" s="6"/>
      <c r="J54" s="6"/>
      <c r="K54" s="51"/>
      <c r="L54" s="51"/>
      <c r="M54" s="51"/>
      <c r="N54" s="51"/>
      <c r="O54" s="51"/>
      <c r="P54" s="51"/>
      <c r="Q54" s="51"/>
      <c r="R54" s="51"/>
      <c r="S54" s="51"/>
      <c r="T54" s="51"/>
      <c r="U54" s="51"/>
      <c r="V54" s="51"/>
      <c r="W54" s="51"/>
      <c r="X54" s="51"/>
      <c r="Y54" s="51"/>
      <c r="Z54" s="51"/>
      <c r="AA54" s="51"/>
      <c r="AB54" s="51"/>
    </row>
    <row r="55" customFormat="false" ht="15.75" hidden="false" customHeight="false" outlineLevel="0" collapsed="false">
      <c r="A55" s="71"/>
      <c r="B55" s="71"/>
      <c r="C55" s="6" t="s">
        <v>20</v>
      </c>
      <c r="D55" s="49"/>
      <c r="E55" s="75" t="n">
        <f aca="false">IFERROR(__xludf.dummyfunction("COUNTA(SPLIT(D55,"" ""))/COUNTA(SPLIT($B$47,"" ""))"),0.00476190476190476)</f>
        <v>0.004761904762</v>
      </c>
      <c r="F55" s="6"/>
      <c r="G55" s="6"/>
      <c r="H55" s="6"/>
      <c r="I55" s="6"/>
      <c r="J55" s="6"/>
      <c r="K55" s="51"/>
      <c r="L55" s="51"/>
      <c r="M55" s="51"/>
      <c r="N55" s="51"/>
      <c r="O55" s="51"/>
      <c r="P55" s="51"/>
      <c r="Q55" s="51"/>
      <c r="R55" s="51"/>
      <c r="S55" s="51"/>
      <c r="T55" s="51"/>
      <c r="U55" s="51"/>
      <c r="V55" s="51"/>
      <c r="W55" s="51"/>
      <c r="X55" s="51"/>
      <c r="Y55" s="51"/>
      <c r="Z55" s="51"/>
      <c r="AA55" s="51"/>
      <c r="AB55" s="51"/>
    </row>
    <row r="56" customFormat="false" ht="15.75" hidden="false" customHeight="false" outlineLevel="0" collapsed="false">
      <c r="A56" s="51"/>
      <c r="B56" s="51"/>
      <c r="C56" s="6"/>
      <c r="D56" s="49"/>
      <c r="E56" s="51"/>
      <c r="F56" s="6"/>
      <c r="G56" s="6"/>
      <c r="H56" s="6"/>
      <c r="I56" s="6"/>
      <c r="J56" s="6"/>
      <c r="K56" s="51"/>
      <c r="L56" s="51"/>
      <c r="M56" s="51"/>
      <c r="N56" s="51"/>
      <c r="O56" s="51"/>
      <c r="P56" s="51"/>
      <c r="Q56" s="51"/>
      <c r="R56" s="51"/>
      <c r="S56" s="51"/>
      <c r="T56" s="51"/>
      <c r="U56" s="51"/>
      <c r="V56" s="51"/>
      <c r="W56" s="51"/>
      <c r="X56" s="51"/>
      <c r="Y56" s="51"/>
      <c r="Z56" s="51"/>
      <c r="AA56" s="51"/>
      <c r="AB56" s="51"/>
    </row>
    <row r="57" customFormat="false" ht="15.75" hidden="false" customHeight="false" outlineLevel="0" collapsed="false">
      <c r="A57" s="71"/>
      <c r="B57" s="55"/>
      <c r="C57" s="56" t="s">
        <v>18</v>
      </c>
      <c r="D57" s="57"/>
      <c r="E57" s="72" t="n">
        <f aca="false">IFERROR(__xludf.dummyfunction("COUNTA(SPLIT(D57,"" ""))/COUNTA(SPLIT($B$47,"" ""))"),0.00476190476190476)</f>
        <v>0.004761904762</v>
      </c>
      <c r="F57" s="56"/>
      <c r="G57" s="56"/>
      <c r="H57" s="56"/>
      <c r="I57" s="56"/>
      <c r="J57" s="56"/>
      <c r="K57" s="59"/>
      <c r="L57" s="59"/>
      <c r="M57" s="59"/>
      <c r="N57" s="59"/>
      <c r="O57" s="59"/>
      <c r="P57" s="59"/>
      <c r="Q57" s="59"/>
      <c r="R57" s="59"/>
      <c r="S57" s="59"/>
      <c r="T57" s="59"/>
      <c r="U57" s="59"/>
      <c r="V57" s="59"/>
      <c r="W57" s="59"/>
      <c r="X57" s="59"/>
      <c r="Y57" s="59"/>
      <c r="Z57" s="59"/>
      <c r="AA57" s="59"/>
      <c r="AB57" s="59"/>
    </row>
    <row r="58" customFormat="false" ht="15.75" hidden="false" customHeight="false" outlineLevel="0" collapsed="false">
      <c r="A58" s="71"/>
      <c r="B58" s="71"/>
      <c r="C58" s="6" t="s">
        <v>19</v>
      </c>
      <c r="D58" s="49"/>
      <c r="E58" s="73" t="n">
        <f aca="false">IFERROR(__xludf.dummyfunction("COUNTA(SPLIT(D58,"" ""))/COUNTA(SPLIT($B$47,"" ""))"),0.00476190476190476)</f>
        <v>0.004761904762</v>
      </c>
      <c r="F58" s="6"/>
      <c r="G58" s="6"/>
      <c r="H58" s="6"/>
      <c r="I58" s="6"/>
      <c r="J58" s="6"/>
      <c r="K58" s="51"/>
      <c r="L58" s="51"/>
      <c r="M58" s="51"/>
      <c r="N58" s="51"/>
      <c r="O58" s="51"/>
      <c r="P58" s="51"/>
      <c r="Q58" s="51"/>
      <c r="R58" s="51"/>
      <c r="S58" s="51"/>
      <c r="T58" s="51"/>
      <c r="U58" s="51"/>
      <c r="V58" s="51"/>
      <c r="W58" s="51"/>
      <c r="X58" s="51"/>
      <c r="Y58" s="51"/>
      <c r="Z58" s="51"/>
      <c r="AA58" s="51"/>
      <c r="AB58" s="51"/>
    </row>
    <row r="59" customFormat="false" ht="15.75" hidden="false" customHeight="false" outlineLevel="0" collapsed="false">
      <c r="A59" s="71"/>
      <c r="B59" s="71"/>
      <c r="C59" s="6" t="s">
        <v>8</v>
      </c>
      <c r="D59" s="49"/>
      <c r="E59" s="74" t="n">
        <f aca="false">IFERROR(__xludf.dummyfunction("COUNTA(SPLIT(D59,"" ""))/COUNTA(SPLIT($B$47,"" ""))"),0.00476190476190476)</f>
        <v>0.004761904762</v>
      </c>
      <c r="F59" s="6"/>
      <c r="G59" s="6"/>
      <c r="H59" s="6"/>
      <c r="I59" s="6"/>
      <c r="J59" s="6"/>
      <c r="K59" s="51"/>
      <c r="L59" s="51"/>
      <c r="M59" s="51"/>
      <c r="N59" s="51"/>
      <c r="O59" s="51"/>
      <c r="P59" s="51"/>
      <c r="Q59" s="51"/>
      <c r="R59" s="51"/>
      <c r="S59" s="51"/>
      <c r="T59" s="51"/>
      <c r="U59" s="51"/>
      <c r="V59" s="51"/>
      <c r="W59" s="51"/>
      <c r="X59" s="51"/>
      <c r="Y59" s="51"/>
      <c r="Z59" s="51"/>
      <c r="AA59" s="51"/>
      <c r="AB59" s="51"/>
    </row>
    <row r="60" customFormat="false" ht="15.75" hidden="false" customHeight="false" outlineLevel="0" collapsed="false">
      <c r="A60" s="71"/>
      <c r="B60" s="71"/>
      <c r="C60" s="6" t="s">
        <v>20</v>
      </c>
      <c r="D60" s="49"/>
      <c r="E60" s="75" t="n">
        <f aca="false">IFERROR(__xludf.dummyfunction("COUNTA(SPLIT(D60,"" ""))/COUNTA(SPLIT($B$47,"" ""))"),0.00476190476190476)</f>
        <v>0.004761904762</v>
      </c>
      <c r="F60" s="6"/>
      <c r="G60" s="6"/>
      <c r="H60" s="6"/>
      <c r="I60" s="6"/>
      <c r="J60" s="6"/>
      <c r="K60" s="51"/>
      <c r="L60" s="51"/>
      <c r="M60" s="51"/>
      <c r="N60" s="51"/>
      <c r="O60" s="51"/>
      <c r="P60" s="51"/>
      <c r="Q60" s="51"/>
      <c r="R60" s="51"/>
      <c r="S60" s="51"/>
      <c r="T60" s="51"/>
      <c r="U60" s="51"/>
      <c r="V60" s="51"/>
      <c r="W60" s="51"/>
      <c r="X60" s="51"/>
      <c r="Y60" s="51"/>
      <c r="Z60" s="51"/>
      <c r="AA60" s="51"/>
      <c r="AB60" s="51"/>
    </row>
    <row r="61" customFormat="false" ht="15.75" hidden="false" customHeight="false" outlineLevel="0" collapsed="false">
      <c r="A61" s="51"/>
      <c r="B61" s="51"/>
      <c r="C61" s="6"/>
      <c r="D61" s="49"/>
      <c r="E61" s="51"/>
      <c r="F61" s="6"/>
      <c r="G61" s="6"/>
      <c r="H61" s="6"/>
      <c r="I61" s="6"/>
      <c r="J61" s="6"/>
      <c r="K61" s="51"/>
      <c r="L61" s="51"/>
      <c r="M61" s="51"/>
      <c r="N61" s="51"/>
      <c r="O61" s="51"/>
      <c r="P61" s="51"/>
      <c r="Q61" s="51"/>
      <c r="R61" s="51"/>
      <c r="S61" s="51"/>
      <c r="T61" s="51"/>
      <c r="U61" s="51"/>
      <c r="V61" s="51"/>
      <c r="W61" s="51"/>
      <c r="X61" s="51"/>
      <c r="Y61" s="51"/>
      <c r="Z61" s="51"/>
      <c r="AA61" s="51"/>
      <c r="AB61" s="51"/>
    </row>
    <row r="62" customFormat="false" ht="15.75" hidden="false" customHeight="false" outlineLevel="0" collapsed="false">
      <c r="A62" s="71"/>
      <c r="B62" s="55"/>
      <c r="C62" s="56" t="s">
        <v>18</v>
      </c>
      <c r="D62" s="57"/>
      <c r="E62" s="72" t="n">
        <f aca="false">IFERROR(__xludf.dummyfunction("COUNTA(SPLIT(D62,"" ""))/COUNTA(SPLIT($B$47,"" ""))"),0.00476190476190476)</f>
        <v>0.004761904762</v>
      </c>
      <c r="F62" s="56"/>
      <c r="G62" s="56"/>
      <c r="H62" s="56"/>
      <c r="I62" s="56"/>
      <c r="J62" s="56"/>
      <c r="K62" s="59"/>
      <c r="L62" s="59"/>
      <c r="M62" s="59"/>
      <c r="N62" s="59"/>
      <c r="O62" s="59"/>
      <c r="P62" s="59"/>
      <c r="Q62" s="59"/>
      <c r="R62" s="59"/>
      <c r="S62" s="59"/>
      <c r="T62" s="59"/>
      <c r="U62" s="59"/>
      <c r="V62" s="59"/>
      <c r="W62" s="59"/>
      <c r="X62" s="59"/>
      <c r="Y62" s="59"/>
      <c r="Z62" s="59"/>
      <c r="AA62" s="59"/>
      <c r="AB62" s="59"/>
    </row>
    <row r="63" customFormat="false" ht="15.75" hidden="false" customHeight="false" outlineLevel="0" collapsed="false">
      <c r="A63" s="71"/>
      <c r="B63" s="71"/>
      <c r="C63" s="6" t="s">
        <v>19</v>
      </c>
      <c r="D63" s="49"/>
      <c r="E63" s="73" t="n">
        <f aca="false">IFERROR(__xludf.dummyfunction("COUNTA(SPLIT(D63,"" ""))/COUNTA(SPLIT($B$47,"" ""))"),0.00476190476190476)</f>
        <v>0.004761904762</v>
      </c>
      <c r="F63" s="6"/>
      <c r="G63" s="6"/>
      <c r="H63" s="6"/>
      <c r="I63" s="6"/>
      <c r="J63" s="6"/>
      <c r="K63" s="51"/>
      <c r="L63" s="51"/>
      <c r="M63" s="51"/>
      <c r="N63" s="51"/>
      <c r="O63" s="51"/>
      <c r="P63" s="51"/>
      <c r="Q63" s="51"/>
      <c r="R63" s="51"/>
      <c r="S63" s="51"/>
      <c r="T63" s="51"/>
      <c r="U63" s="51"/>
      <c r="V63" s="51"/>
      <c r="W63" s="51"/>
      <c r="X63" s="51"/>
      <c r="Y63" s="51"/>
      <c r="Z63" s="51"/>
      <c r="AA63" s="51"/>
      <c r="AB63" s="51"/>
    </row>
    <row r="64" customFormat="false" ht="15.75" hidden="false" customHeight="false" outlineLevel="0" collapsed="false">
      <c r="A64" s="71"/>
      <c r="B64" s="71"/>
      <c r="C64" s="6" t="s">
        <v>8</v>
      </c>
      <c r="D64" s="49"/>
      <c r="E64" s="74" t="n">
        <f aca="false">IFERROR(__xludf.dummyfunction("COUNTA(SPLIT(D64,"" ""))/COUNTA(SPLIT($B$47,"" ""))"),0.00476190476190476)</f>
        <v>0.004761904762</v>
      </c>
      <c r="F64" s="6"/>
      <c r="G64" s="6"/>
      <c r="H64" s="6"/>
      <c r="I64" s="6"/>
      <c r="J64" s="6"/>
      <c r="K64" s="51"/>
      <c r="L64" s="51"/>
      <c r="M64" s="51"/>
      <c r="N64" s="51"/>
      <c r="O64" s="51"/>
      <c r="P64" s="51"/>
      <c r="Q64" s="51"/>
      <c r="R64" s="51"/>
      <c r="S64" s="51"/>
      <c r="T64" s="51"/>
      <c r="U64" s="51"/>
      <c r="V64" s="51"/>
      <c r="W64" s="51"/>
      <c r="X64" s="51"/>
      <c r="Y64" s="51"/>
      <c r="Z64" s="51"/>
      <c r="AA64" s="51"/>
      <c r="AB64" s="51"/>
    </row>
    <row r="65" customFormat="false" ht="15.75" hidden="false" customHeight="false" outlineLevel="0" collapsed="false">
      <c r="A65" s="71"/>
      <c r="B65" s="71"/>
      <c r="C65" s="6" t="s">
        <v>20</v>
      </c>
      <c r="D65" s="49"/>
      <c r="E65" s="75" t="n">
        <f aca="false">IFERROR(__xludf.dummyfunction("COUNTA(SPLIT(D65,"" ""))/COUNTA(SPLIT($B$47,"" ""))"),0.00476190476190476)</f>
        <v>0.004761904762</v>
      </c>
      <c r="F65" s="6"/>
      <c r="G65" s="6"/>
      <c r="H65" s="6"/>
      <c r="I65" s="6"/>
      <c r="J65" s="6"/>
      <c r="K65" s="51"/>
      <c r="L65" s="51"/>
      <c r="M65" s="51"/>
      <c r="N65" s="51"/>
      <c r="O65" s="51"/>
      <c r="P65" s="51"/>
      <c r="Q65" s="51"/>
      <c r="R65" s="51"/>
      <c r="S65" s="51"/>
      <c r="T65" s="51"/>
      <c r="U65" s="51"/>
      <c r="V65" s="51"/>
      <c r="W65" s="51"/>
      <c r="X65" s="51"/>
      <c r="Y65" s="51"/>
      <c r="Z65" s="51"/>
      <c r="AA65" s="51"/>
      <c r="AB65" s="51"/>
    </row>
    <row r="66" customFormat="false" ht="15.75" hidden="false" customHeight="false" outlineLevel="0" collapsed="false">
      <c r="A66" s="51"/>
      <c r="B66" s="51"/>
      <c r="C66" s="6"/>
      <c r="D66" s="49"/>
      <c r="E66" s="51"/>
      <c r="F66" s="6"/>
      <c r="G66" s="6"/>
      <c r="H66" s="6"/>
      <c r="I66" s="6"/>
      <c r="J66" s="6"/>
      <c r="K66" s="51"/>
      <c r="L66" s="51"/>
      <c r="M66" s="51"/>
      <c r="N66" s="51"/>
      <c r="O66" s="51"/>
      <c r="P66" s="51"/>
      <c r="Q66" s="51"/>
      <c r="R66" s="51"/>
      <c r="S66" s="51"/>
      <c r="T66" s="51"/>
      <c r="U66" s="51"/>
      <c r="V66" s="51"/>
      <c r="W66" s="51"/>
      <c r="X66" s="51"/>
      <c r="Y66" s="51"/>
      <c r="Z66" s="51"/>
      <c r="AA66" s="51"/>
      <c r="AB66" s="51"/>
    </row>
    <row r="67" customFormat="false" ht="15.75" hidden="false" customHeight="false" outlineLevel="0" collapsed="false">
      <c r="A67" s="71"/>
      <c r="B67" s="55"/>
      <c r="C67" s="56" t="s">
        <v>18</v>
      </c>
      <c r="D67" s="57"/>
      <c r="E67" s="72" t="n">
        <f aca="false">IFERROR(__xludf.dummyfunction("COUNTA(SPLIT(D67,"" ""))/COUNTA(SPLIT($B$47,"" ""))"),0.00476190476190476)</f>
        <v>0.004761904762</v>
      </c>
      <c r="F67" s="56"/>
      <c r="G67" s="56"/>
      <c r="H67" s="56"/>
      <c r="I67" s="56"/>
      <c r="J67" s="56"/>
      <c r="K67" s="59"/>
      <c r="L67" s="59"/>
      <c r="M67" s="59"/>
      <c r="N67" s="59"/>
      <c r="O67" s="59"/>
      <c r="P67" s="59"/>
      <c r="Q67" s="59"/>
      <c r="R67" s="59"/>
      <c r="S67" s="59"/>
      <c r="T67" s="59"/>
      <c r="U67" s="59"/>
      <c r="V67" s="59"/>
      <c r="W67" s="59"/>
      <c r="X67" s="59"/>
      <c r="Y67" s="59"/>
      <c r="Z67" s="59"/>
      <c r="AA67" s="59"/>
      <c r="AB67" s="59"/>
    </row>
    <row r="68" customFormat="false" ht="15.75" hidden="false" customHeight="false" outlineLevel="0" collapsed="false">
      <c r="A68" s="71"/>
      <c r="B68" s="71"/>
      <c r="C68" s="6" t="s">
        <v>19</v>
      </c>
      <c r="D68" s="49"/>
      <c r="E68" s="73" t="n">
        <f aca="false">IFERROR(__xludf.dummyfunction("COUNTA(SPLIT(D68,"" ""))/COUNTA(SPLIT($B$47,"" ""))"),0.00476190476190476)</f>
        <v>0.004761904762</v>
      </c>
      <c r="F68" s="6"/>
      <c r="G68" s="6"/>
      <c r="H68" s="6"/>
      <c r="I68" s="6"/>
      <c r="J68" s="6"/>
      <c r="K68" s="51"/>
      <c r="L68" s="51"/>
      <c r="M68" s="51"/>
      <c r="N68" s="51"/>
      <c r="O68" s="51"/>
      <c r="P68" s="51"/>
      <c r="Q68" s="51"/>
      <c r="R68" s="51"/>
      <c r="S68" s="51"/>
      <c r="T68" s="51"/>
      <c r="U68" s="51"/>
      <c r="V68" s="51"/>
      <c r="W68" s="51"/>
      <c r="X68" s="51"/>
      <c r="Y68" s="51"/>
      <c r="Z68" s="51"/>
      <c r="AA68" s="51"/>
      <c r="AB68" s="51"/>
    </row>
    <row r="69" customFormat="false" ht="15.75" hidden="false" customHeight="false" outlineLevel="0" collapsed="false">
      <c r="A69" s="71"/>
      <c r="B69" s="71"/>
      <c r="C69" s="6" t="s">
        <v>8</v>
      </c>
      <c r="D69" s="49"/>
      <c r="E69" s="74" t="n">
        <f aca="false">IFERROR(__xludf.dummyfunction("COUNTA(SPLIT(D69,"" ""))/COUNTA(SPLIT($B$47,"" ""))"),0.00476190476190476)</f>
        <v>0.004761904762</v>
      </c>
      <c r="F69" s="6"/>
      <c r="G69" s="6"/>
      <c r="H69" s="6"/>
      <c r="I69" s="6"/>
      <c r="J69" s="6"/>
      <c r="K69" s="51"/>
      <c r="L69" s="51"/>
      <c r="M69" s="51"/>
      <c r="N69" s="51"/>
      <c r="O69" s="51"/>
      <c r="P69" s="51"/>
      <c r="Q69" s="51"/>
      <c r="R69" s="51"/>
      <c r="S69" s="51"/>
      <c r="T69" s="51"/>
      <c r="U69" s="51"/>
      <c r="V69" s="51"/>
      <c r="W69" s="51"/>
      <c r="X69" s="51"/>
      <c r="Y69" s="51"/>
      <c r="Z69" s="51"/>
      <c r="AA69" s="51"/>
      <c r="AB69" s="51"/>
    </row>
    <row r="70" customFormat="false" ht="15.75" hidden="false" customHeight="false" outlineLevel="0" collapsed="false">
      <c r="A70" s="71"/>
      <c r="B70" s="71"/>
      <c r="C70" s="6" t="s">
        <v>20</v>
      </c>
      <c r="D70" s="49"/>
      <c r="E70" s="75" t="n">
        <f aca="false">IFERROR(__xludf.dummyfunction("COUNTA(SPLIT(D70,"" ""))/COUNTA(SPLIT($B$47,"" ""))"),0.00476190476190476)</f>
        <v>0.004761904762</v>
      </c>
      <c r="F70" s="6"/>
      <c r="G70" s="6"/>
      <c r="H70" s="6"/>
      <c r="I70" s="6"/>
      <c r="J70" s="6"/>
      <c r="K70" s="51"/>
      <c r="L70" s="51"/>
      <c r="M70" s="51"/>
      <c r="N70" s="51"/>
      <c r="O70" s="51"/>
      <c r="P70" s="51"/>
      <c r="Q70" s="51"/>
      <c r="R70" s="51"/>
      <c r="S70" s="51"/>
      <c r="T70" s="51"/>
      <c r="U70" s="51"/>
      <c r="V70" s="51"/>
      <c r="W70" s="51"/>
      <c r="X70" s="51"/>
      <c r="Y70" s="51"/>
      <c r="Z70" s="51"/>
      <c r="AA70" s="51"/>
      <c r="AB70" s="51"/>
    </row>
    <row r="71" customFormat="false" ht="15.75" hidden="false" customHeight="false" outlineLevel="0" collapsed="false">
      <c r="A71" s="51"/>
      <c r="B71" s="51"/>
      <c r="C71" s="6"/>
      <c r="D71" s="49"/>
      <c r="E71" s="51"/>
      <c r="F71" s="6"/>
      <c r="G71" s="6"/>
      <c r="H71" s="6"/>
      <c r="I71" s="6"/>
      <c r="J71" s="6"/>
      <c r="K71" s="51"/>
      <c r="L71" s="51"/>
      <c r="M71" s="51"/>
      <c r="N71" s="51"/>
      <c r="O71" s="51"/>
      <c r="P71" s="51"/>
      <c r="Q71" s="51"/>
      <c r="R71" s="51"/>
      <c r="S71" s="51"/>
      <c r="T71" s="51"/>
      <c r="U71" s="51"/>
      <c r="V71" s="51"/>
      <c r="W71" s="51"/>
      <c r="X71" s="51"/>
      <c r="Y71" s="51"/>
      <c r="Z71" s="51"/>
      <c r="AA71" s="51"/>
      <c r="AB71" s="51"/>
    </row>
    <row r="72" customFormat="false" ht="15.75" hidden="false" customHeight="false" outlineLevel="0" collapsed="false">
      <c r="A72" s="71"/>
      <c r="B72" s="55"/>
      <c r="C72" s="56" t="s">
        <v>18</v>
      </c>
      <c r="D72" s="57"/>
      <c r="E72" s="72" t="n">
        <f aca="false">IFERROR(__xludf.dummyfunction("COUNTA(SPLIT(D72,"" ""))/COUNTA(SPLIT($B$47,"" ""))"),0.00476190476190476)</f>
        <v>0.004761904762</v>
      </c>
      <c r="F72" s="56"/>
      <c r="G72" s="56"/>
      <c r="H72" s="56"/>
      <c r="I72" s="56"/>
      <c r="J72" s="56"/>
      <c r="K72" s="59"/>
      <c r="L72" s="59"/>
      <c r="M72" s="59"/>
      <c r="N72" s="59"/>
      <c r="O72" s="59"/>
      <c r="P72" s="59"/>
      <c r="Q72" s="59"/>
      <c r="R72" s="59"/>
      <c r="S72" s="59"/>
      <c r="T72" s="59"/>
      <c r="U72" s="59"/>
      <c r="V72" s="59"/>
      <c r="W72" s="59"/>
      <c r="X72" s="59"/>
      <c r="Y72" s="59"/>
      <c r="Z72" s="59"/>
      <c r="AA72" s="59"/>
      <c r="AB72" s="59"/>
    </row>
    <row r="73" customFormat="false" ht="15.75" hidden="false" customHeight="false" outlineLevel="0" collapsed="false">
      <c r="A73" s="71"/>
      <c r="B73" s="71"/>
      <c r="C73" s="6" t="s">
        <v>19</v>
      </c>
      <c r="D73" s="49"/>
      <c r="E73" s="73" t="n">
        <f aca="false">IFERROR(__xludf.dummyfunction("COUNTA(SPLIT(D73,"" ""))/COUNTA(SPLIT($B$47,"" ""))"),0.00476190476190476)</f>
        <v>0.004761904762</v>
      </c>
      <c r="F73" s="6"/>
      <c r="G73" s="6"/>
      <c r="H73" s="6"/>
      <c r="I73" s="6"/>
      <c r="J73" s="6"/>
      <c r="K73" s="51"/>
      <c r="L73" s="51"/>
      <c r="M73" s="51"/>
      <c r="N73" s="51"/>
      <c r="O73" s="51"/>
      <c r="P73" s="51"/>
      <c r="Q73" s="51"/>
      <c r="R73" s="51"/>
      <c r="S73" s="51"/>
      <c r="T73" s="51"/>
      <c r="U73" s="51"/>
      <c r="V73" s="51"/>
      <c r="W73" s="51"/>
      <c r="X73" s="51"/>
      <c r="Y73" s="51"/>
      <c r="Z73" s="51"/>
      <c r="AA73" s="51"/>
      <c r="AB73" s="51"/>
    </row>
    <row r="74" customFormat="false" ht="15.75" hidden="false" customHeight="false" outlineLevel="0" collapsed="false">
      <c r="A74" s="71"/>
      <c r="B74" s="71"/>
      <c r="C74" s="6" t="s">
        <v>8</v>
      </c>
      <c r="D74" s="49"/>
      <c r="E74" s="74" t="n">
        <f aca="false">IFERROR(__xludf.dummyfunction("COUNTA(SPLIT(D74,"" ""))/COUNTA(SPLIT($B$47,"" ""))"),0.00476190476190476)</f>
        <v>0.004761904762</v>
      </c>
      <c r="F74" s="6"/>
      <c r="G74" s="6"/>
      <c r="H74" s="6"/>
      <c r="I74" s="6"/>
      <c r="J74" s="6"/>
      <c r="K74" s="51"/>
      <c r="L74" s="51"/>
      <c r="M74" s="51"/>
      <c r="N74" s="51"/>
      <c r="O74" s="51"/>
      <c r="P74" s="51"/>
      <c r="Q74" s="51"/>
      <c r="R74" s="51"/>
      <c r="S74" s="51"/>
      <c r="T74" s="51"/>
      <c r="U74" s="51"/>
      <c r="V74" s="51"/>
      <c r="W74" s="51"/>
      <c r="X74" s="51"/>
      <c r="Y74" s="51"/>
      <c r="Z74" s="51"/>
      <c r="AA74" s="51"/>
      <c r="AB74" s="51"/>
    </row>
    <row r="75" customFormat="false" ht="15.75" hidden="false" customHeight="false" outlineLevel="0" collapsed="false">
      <c r="A75" s="71"/>
      <c r="B75" s="71"/>
      <c r="C75" s="6" t="s">
        <v>20</v>
      </c>
      <c r="D75" s="49"/>
      <c r="E75" s="75" t="n">
        <f aca="false">IFERROR(__xludf.dummyfunction("COUNTA(SPLIT(D75,"" ""))/COUNTA(SPLIT($B$47,"" ""))"),0.00476190476190476)</f>
        <v>0.004761904762</v>
      </c>
      <c r="F75" s="6"/>
      <c r="G75" s="6"/>
      <c r="H75" s="6"/>
      <c r="I75" s="6"/>
      <c r="J75" s="6"/>
      <c r="K75" s="51"/>
      <c r="L75" s="51"/>
      <c r="M75" s="51"/>
      <c r="N75" s="51"/>
      <c r="O75" s="51"/>
      <c r="P75" s="51"/>
      <c r="Q75" s="51"/>
      <c r="R75" s="51"/>
      <c r="S75" s="51"/>
      <c r="T75" s="51"/>
      <c r="U75" s="51"/>
      <c r="V75" s="51"/>
      <c r="W75" s="51"/>
      <c r="X75" s="51"/>
      <c r="Y75" s="51"/>
      <c r="Z75" s="51"/>
      <c r="AA75" s="51"/>
      <c r="AB75" s="51"/>
    </row>
    <row r="76" customFormat="false" ht="15.75" hidden="false" customHeight="false" outlineLevel="0" collapsed="false">
      <c r="A76" s="51"/>
      <c r="B76" s="51"/>
      <c r="C76" s="6"/>
      <c r="D76" s="49"/>
      <c r="E76" s="51"/>
      <c r="F76" s="6"/>
      <c r="G76" s="6"/>
      <c r="H76" s="6"/>
      <c r="I76" s="6"/>
      <c r="J76" s="6"/>
      <c r="K76" s="51"/>
      <c r="L76" s="51"/>
      <c r="M76" s="51"/>
      <c r="N76" s="51"/>
      <c r="O76" s="51"/>
      <c r="P76" s="51"/>
      <c r="Q76" s="51"/>
      <c r="R76" s="51"/>
      <c r="S76" s="51"/>
      <c r="T76" s="51"/>
      <c r="U76" s="51"/>
      <c r="V76" s="51"/>
      <c r="W76" s="51"/>
      <c r="X76" s="51"/>
      <c r="Y76" s="51"/>
      <c r="Z76" s="51"/>
      <c r="AA76" s="51"/>
      <c r="AB76" s="51"/>
    </row>
    <row r="77" customFormat="false" ht="15.75" hidden="false" customHeight="false" outlineLevel="0" collapsed="false">
      <c r="A77" s="71"/>
      <c r="B77" s="55"/>
      <c r="C77" s="56" t="s">
        <v>18</v>
      </c>
      <c r="D77" s="57"/>
      <c r="E77" s="72" t="n">
        <f aca="false">IFERROR(__xludf.dummyfunction("COUNTA(SPLIT(D77,"" ""))/COUNTA(SPLIT($B$47,"" ""))"),0.00476190476190476)</f>
        <v>0.004761904762</v>
      </c>
      <c r="F77" s="56"/>
      <c r="G77" s="56"/>
      <c r="H77" s="56"/>
      <c r="I77" s="56"/>
      <c r="J77" s="56"/>
      <c r="K77" s="59"/>
      <c r="L77" s="59"/>
      <c r="M77" s="59"/>
      <c r="N77" s="59"/>
      <c r="O77" s="59"/>
      <c r="P77" s="59"/>
      <c r="Q77" s="59"/>
      <c r="R77" s="59"/>
      <c r="S77" s="59"/>
      <c r="T77" s="59"/>
      <c r="U77" s="59"/>
      <c r="V77" s="59"/>
      <c r="W77" s="59"/>
      <c r="X77" s="59"/>
      <c r="Y77" s="59"/>
      <c r="Z77" s="59"/>
      <c r="AA77" s="59"/>
      <c r="AB77" s="59"/>
    </row>
    <row r="78" customFormat="false" ht="15.75" hidden="false" customHeight="false" outlineLevel="0" collapsed="false">
      <c r="A78" s="71"/>
      <c r="B78" s="71"/>
      <c r="C78" s="6" t="s">
        <v>19</v>
      </c>
      <c r="D78" s="49"/>
      <c r="E78" s="73" t="n">
        <f aca="false">IFERROR(__xludf.dummyfunction("COUNTA(SPLIT(D78,"" ""))/COUNTA(SPLIT($B$47,"" ""))"),0.00476190476190476)</f>
        <v>0.004761904762</v>
      </c>
      <c r="F78" s="6"/>
      <c r="G78" s="6"/>
      <c r="H78" s="6"/>
      <c r="I78" s="6"/>
      <c r="J78" s="6"/>
      <c r="K78" s="51"/>
      <c r="L78" s="51"/>
      <c r="M78" s="51"/>
      <c r="N78" s="51"/>
      <c r="O78" s="51"/>
      <c r="P78" s="51"/>
      <c r="Q78" s="51"/>
      <c r="R78" s="51"/>
      <c r="S78" s="51"/>
      <c r="T78" s="51"/>
      <c r="U78" s="51"/>
      <c r="V78" s="51"/>
      <c r="W78" s="51"/>
      <c r="X78" s="51"/>
      <c r="Y78" s="51"/>
      <c r="Z78" s="51"/>
      <c r="AA78" s="51"/>
      <c r="AB78" s="51"/>
    </row>
    <row r="79" customFormat="false" ht="15.75" hidden="false" customHeight="false" outlineLevel="0" collapsed="false">
      <c r="A79" s="71"/>
      <c r="B79" s="71"/>
      <c r="C79" s="6" t="s">
        <v>8</v>
      </c>
      <c r="D79" s="49"/>
      <c r="E79" s="74" t="n">
        <f aca="false">IFERROR(__xludf.dummyfunction("COUNTA(SPLIT(D79,"" ""))/COUNTA(SPLIT($B$47,"" ""))"),0.00476190476190476)</f>
        <v>0.004761904762</v>
      </c>
      <c r="F79" s="6"/>
      <c r="G79" s="6"/>
      <c r="H79" s="6"/>
      <c r="I79" s="6"/>
      <c r="J79" s="6"/>
      <c r="K79" s="51"/>
      <c r="L79" s="51"/>
      <c r="M79" s="51"/>
      <c r="N79" s="51"/>
      <c r="O79" s="51"/>
      <c r="P79" s="51"/>
      <c r="Q79" s="51"/>
      <c r="R79" s="51"/>
      <c r="S79" s="51"/>
      <c r="T79" s="51"/>
      <c r="U79" s="51"/>
      <c r="V79" s="51"/>
      <c r="W79" s="51"/>
      <c r="X79" s="51"/>
      <c r="Y79" s="51"/>
      <c r="Z79" s="51"/>
      <c r="AA79" s="51"/>
      <c r="AB79" s="51"/>
    </row>
    <row r="80" customFormat="false" ht="15.75" hidden="false" customHeight="false" outlineLevel="0" collapsed="false">
      <c r="A80" s="71"/>
      <c r="B80" s="71"/>
      <c r="C80" s="6" t="s">
        <v>20</v>
      </c>
      <c r="D80" s="49"/>
      <c r="E80" s="75" t="n">
        <f aca="false">IFERROR(__xludf.dummyfunction("COUNTA(SPLIT(D80,"" ""))/COUNTA(SPLIT($B$47,"" ""))"),0.00476190476190476)</f>
        <v>0.004761904762</v>
      </c>
      <c r="F80" s="6"/>
      <c r="G80" s="6"/>
      <c r="H80" s="6"/>
      <c r="I80" s="6"/>
      <c r="J80" s="6"/>
      <c r="K80" s="51"/>
      <c r="L80" s="51"/>
      <c r="M80" s="51"/>
      <c r="N80" s="51"/>
      <c r="O80" s="51"/>
      <c r="P80" s="51"/>
      <c r="Q80" s="51"/>
      <c r="R80" s="51"/>
      <c r="S80" s="51"/>
      <c r="T80" s="51"/>
      <c r="U80" s="51"/>
      <c r="V80" s="51"/>
      <c r="W80" s="51"/>
      <c r="X80" s="51"/>
      <c r="Y80" s="51"/>
      <c r="Z80" s="51"/>
      <c r="AA80" s="51"/>
      <c r="AB80" s="51"/>
    </row>
    <row r="81" customFormat="false" ht="15.75" hidden="false" customHeight="false" outlineLevel="0" collapsed="false">
      <c r="A81" s="51"/>
      <c r="B81" s="51"/>
      <c r="C81" s="6"/>
      <c r="D81" s="49"/>
      <c r="E81" s="51"/>
      <c r="F81" s="6"/>
      <c r="G81" s="6"/>
      <c r="H81" s="6"/>
      <c r="I81" s="6"/>
      <c r="J81" s="6"/>
      <c r="K81" s="51"/>
      <c r="L81" s="51"/>
      <c r="M81" s="51"/>
      <c r="N81" s="51"/>
      <c r="O81" s="51"/>
      <c r="P81" s="51"/>
      <c r="Q81" s="51"/>
      <c r="R81" s="51"/>
      <c r="S81" s="51"/>
      <c r="T81" s="51"/>
      <c r="U81" s="51"/>
      <c r="V81" s="51"/>
      <c r="W81" s="51"/>
      <c r="X81" s="51"/>
      <c r="Y81" s="51"/>
      <c r="Z81" s="51"/>
      <c r="AA81" s="51"/>
      <c r="AB81" s="51"/>
    </row>
    <row r="82" customFormat="false" ht="15.75" hidden="false" customHeight="false" outlineLevel="0" collapsed="false">
      <c r="A82" s="71"/>
      <c r="B82" s="55"/>
      <c r="C82" s="56" t="s">
        <v>18</v>
      </c>
      <c r="D82" s="57"/>
      <c r="E82" s="72" t="n">
        <f aca="false">IFERROR(__xludf.dummyfunction("COUNTA(SPLIT(D82,"" ""))/COUNTA(SPLIT($B$47,"" ""))"),0.00476190476190476)</f>
        <v>0.004761904762</v>
      </c>
      <c r="F82" s="56"/>
      <c r="G82" s="56"/>
      <c r="H82" s="56"/>
      <c r="I82" s="56"/>
      <c r="J82" s="56"/>
      <c r="K82" s="59"/>
      <c r="L82" s="59"/>
      <c r="M82" s="59"/>
      <c r="N82" s="59"/>
      <c r="O82" s="59"/>
      <c r="P82" s="59"/>
      <c r="Q82" s="59"/>
      <c r="R82" s="59"/>
      <c r="S82" s="59"/>
      <c r="T82" s="59"/>
      <c r="U82" s="59"/>
      <c r="V82" s="59"/>
      <c r="W82" s="59"/>
      <c r="X82" s="59"/>
      <c r="Y82" s="59"/>
      <c r="Z82" s="59"/>
      <c r="AA82" s="59"/>
      <c r="AB82" s="59"/>
    </row>
    <row r="83" customFormat="false" ht="15.75" hidden="false" customHeight="false" outlineLevel="0" collapsed="false">
      <c r="A83" s="71"/>
      <c r="B83" s="71"/>
      <c r="C83" s="6" t="s">
        <v>19</v>
      </c>
      <c r="D83" s="49"/>
      <c r="E83" s="73" t="n">
        <f aca="false">IFERROR(__xludf.dummyfunction("COUNTA(SPLIT(D83,"" ""))/COUNTA(SPLIT($B$47,"" ""))"),0.00476190476190476)</f>
        <v>0.004761904762</v>
      </c>
      <c r="F83" s="6"/>
      <c r="G83" s="6"/>
      <c r="H83" s="6"/>
      <c r="I83" s="6"/>
      <c r="J83" s="6"/>
      <c r="K83" s="51"/>
      <c r="L83" s="51"/>
      <c r="M83" s="51"/>
      <c r="N83" s="51"/>
      <c r="O83" s="51"/>
      <c r="P83" s="51"/>
      <c r="Q83" s="51"/>
      <c r="R83" s="51"/>
      <c r="S83" s="51"/>
      <c r="T83" s="51"/>
      <c r="U83" s="51"/>
      <c r="V83" s="51"/>
      <c r="W83" s="51"/>
      <c r="X83" s="51"/>
      <c r="Y83" s="51"/>
      <c r="Z83" s="51"/>
      <c r="AA83" s="51"/>
      <c r="AB83" s="51"/>
    </row>
    <row r="84" customFormat="false" ht="15.75" hidden="false" customHeight="false" outlineLevel="0" collapsed="false">
      <c r="A84" s="71"/>
      <c r="B84" s="71"/>
      <c r="C84" s="6" t="s">
        <v>8</v>
      </c>
      <c r="D84" s="49"/>
      <c r="E84" s="74" t="n">
        <f aca="false">IFERROR(__xludf.dummyfunction("COUNTA(SPLIT(D84,"" ""))/COUNTA(SPLIT($B$47,"" ""))"),0.00476190476190476)</f>
        <v>0.004761904762</v>
      </c>
      <c r="F84" s="6"/>
      <c r="G84" s="6"/>
      <c r="H84" s="6"/>
      <c r="I84" s="6"/>
      <c r="J84" s="6"/>
      <c r="K84" s="51"/>
      <c r="L84" s="51"/>
      <c r="M84" s="51"/>
      <c r="N84" s="51"/>
      <c r="O84" s="51"/>
      <c r="P84" s="51"/>
      <c r="Q84" s="51"/>
      <c r="R84" s="51"/>
      <c r="S84" s="51"/>
      <c r="T84" s="51"/>
      <c r="U84" s="51"/>
      <c r="V84" s="51"/>
      <c r="W84" s="51"/>
      <c r="X84" s="51"/>
      <c r="Y84" s="51"/>
      <c r="Z84" s="51"/>
      <c r="AA84" s="51"/>
      <c r="AB84" s="51"/>
    </row>
    <row r="85" customFormat="false" ht="15.75" hidden="false" customHeight="false" outlineLevel="0" collapsed="false">
      <c r="A85" s="71"/>
      <c r="B85" s="71"/>
      <c r="C85" s="6" t="s">
        <v>20</v>
      </c>
      <c r="D85" s="49"/>
      <c r="E85" s="75" t="n">
        <f aca="false">IFERROR(__xludf.dummyfunction("COUNTA(SPLIT(D85,"" ""))/COUNTA(SPLIT($B$47,"" ""))"),0.00476190476190476)</f>
        <v>0.004761904762</v>
      </c>
      <c r="F85" s="6"/>
      <c r="G85" s="6"/>
      <c r="H85" s="6"/>
      <c r="I85" s="6"/>
      <c r="J85" s="6"/>
      <c r="K85" s="51"/>
      <c r="L85" s="51"/>
      <c r="M85" s="51"/>
      <c r="N85" s="51"/>
      <c r="O85" s="51"/>
      <c r="P85" s="51"/>
      <c r="Q85" s="51"/>
      <c r="R85" s="51"/>
      <c r="S85" s="51"/>
      <c r="T85" s="51"/>
      <c r="U85" s="51"/>
      <c r="V85" s="51"/>
      <c r="W85" s="51"/>
      <c r="X85" s="51"/>
      <c r="Y85" s="51"/>
      <c r="Z85" s="51"/>
      <c r="AA85" s="51"/>
      <c r="AB85" s="51"/>
    </row>
    <row r="86" customFormat="false" ht="15.75" hidden="false" customHeight="false" outlineLevel="0" collapsed="false">
      <c r="A86" s="51"/>
      <c r="B86" s="51"/>
      <c r="C86" s="6"/>
      <c r="D86" s="49"/>
      <c r="E86" s="51"/>
      <c r="F86" s="6"/>
      <c r="G86" s="6"/>
      <c r="H86" s="6"/>
      <c r="I86" s="6"/>
      <c r="J86" s="6"/>
      <c r="K86" s="51"/>
      <c r="L86" s="51"/>
      <c r="M86" s="51"/>
      <c r="N86" s="51"/>
      <c r="O86" s="51"/>
      <c r="P86" s="51"/>
      <c r="Q86" s="51"/>
      <c r="R86" s="51"/>
      <c r="S86" s="51"/>
      <c r="T86" s="51"/>
      <c r="U86" s="51"/>
      <c r="V86" s="51"/>
      <c r="W86" s="51"/>
      <c r="X86" s="51"/>
      <c r="Y86" s="51"/>
      <c r="Z86" s="51"/>
      <c r="AA86" s="51"/>
      <c r="AB86" s="51"/>
    </row>
    <row r="87" customFormat="false" ht="15.75" hidden="false" customHeight="false" outlineLevel="0" collapsed="false">
      <c r="A87" s="71"/>
      <c r="B87" s="55"/>
      <c r="C87" s="56" t="s">
        <v>18</v>
      </c>
      <c r="D87" s="57"/>
      <c r="E87" s="72" t="n">
        <f aca="false">IFERROR(__xludf.dummyfunction("COUNTA(SPLIT(D87,"" ""))/COUNTA(SPLIT($B$47,"" ""))"),0.00476190476190476)</f>
        <v>0.004761904762</v>
      </c>
      <c r="F87" s="56"/>
      <c r="G87" s="56"/>
      <c r="H87" s="56"/>
      <c r="I87" s="56"/>
      <c r="J87" s="56"/>
      <c r="K87" s="59"/>
      <c r="L87" s="59"/>
      <c r="M87" s="59"/>
      <c r="N87" s="59"/>
      <c r="O87" s="59"/>
      <c r="P87" s="59"/>
      <c r="Q87" s="59"/>
      <c r="R87" s="59"/>
      <c r="S87" s="59"/>
      <c r="T87" s="59"/>
      <c r="U87" s="59"/>
      <c r="V87" s="59"/>
      <c r="W87" s="59"/>
      <c r="X87" s="59"/>
      <c r="Y87" s="59"/>
      <c r="Z87" s="59"/>
      <c r="AA87" s="59"/>
      <c r="AB87" s="59"/>
    </row>
    <row r="88" customFormat="false" ht="15.75" hidden="false" customHeight="false" outlineLevel="0" collapsed="false">
      <c r="A88" s="71"/>
      <c r="B88" s="71"/>
      <c r="C88" s="6" t="s">
        <v>19</v>
      </c>
      <c r="D88" s="49"/>
      <c r="E88" s="73" t="n">
        <f aca="false">IFERROR(__xludf.dummyfunction("COUNTA(SPLIT(D88,"" ""))/COUNTA(SPLIT($B$47,"" ""))"),0.00476190476190476)</f>
        <v>0.004761904762</v>
      </c>
      <c r="F88" s="6"/>
      <c r="G88" s="6"/>
      <c r="H88" s="6"/>
      <c r="I88" s="6"/>
      <c r="J88" s="6"/>
      <c r="K88" s="51"/>
      <c r="L88" s="51"/>
      <c r="M88" s="51"/>
      <c r="N88" s="51"/>
      <c r="O88" s="51"/>
      <c r="P88" s="51"/>
      <c r="Q88" s="51"/>
      <c r="R88" s="51"/>
      <c r="S88" s="51"/>
      <c r="T88" s="51"/>
      <c r="U88" s="51"/>
      <c r="V88" s="51"/>
      <c r="W88" s="51"/>
      <c r="X88" s="51"/>
      <c r="Y88" s="51"/>
      <c r="Z88" s="51"/>
      <c r="AA88" s="51"/>
      <c r="AB88" s="51"/>
    </row>
    <row r="89" customFormat="false" ht="15.75" hidden="false" customHeight="false" outlineLevel="0" collapsed="false">
      <c r="A89" s="71"/>
      <c r="B89" s="71"/>
      <c r="C89" s="6" t="s">
        <v>8</v>
      </c>
      <c r="D89" s="49"/>
      <c r="E89" s="74" t="n">
        <f aca="false">IFERROR(__xludf.dummyfunction("COUNTA(SPLIT(D89,"" ""))/COUNTA(SPLIT($B$47,"" ""))"),0.00476190476190476)</f>
        <v>0.004761904762</v>
      </c>
      <c r="F89" s="6"/>
      <c r="G89" s="6"/>
      <c r="H89" s="6"/>
      <c r="I89" s="6"/>
      <c r="J89" s="6"/>
      <c r="K89" s="51"/>
      <c r="L89" s="51"/>
      <c r="M89" s="51"/>
      <c r="N89" s="51"/>
      <c r="O89" s="51"/>
      <c r="P89" s="51"/>
      <c r="Q89" s="51"/>
      <c r="R89" s="51"/>
      <c r="S89" s="51"/>
      <c r="T89" s="51"/>
      <c r="U89" s="51"/>
      <c r="V89" s="51"/>
      <c r="W89" s="51"/>
      <c r="X89" s="51"/>
      <c r="Y89" s="51"/>
      <c r="Z89" s="51"/>
      <c r="AA89" s="51"/>
      <c r="AB89" s="51"/>
    </row>
    <row r="90" customFormat="false" ht="15.75" hidden="false" customHeight="false" outlineLevel="0" collapsed="false">
      <c r="A90" s="71"/>
      <c r="B90" s="71"/>
      <c r="C90" s="6" t="s">
        <v>20</v>
      </c>
      <c r="D90" s="49"/>
      <c r="E90" s="75" t="n">
        <f aca="false">IFERROR(__xludf.dummyfunction("COUNTA(SPLIT(D90,"" ""))/COUNTA(SPLIT($B$47,"" ""))"),0.00476190476190476)</f>
        <v>0.004761904762</v>
      </c>
      <c r="F90" s="6"/>
      <c r="G90" s="6"/>
      <c r="H90" s="6"/>
      <c r="I90" s="6"/>
      <c r="J90" s="6"/>
      <c r="K90" s="51"/>
      <c r="L90" s="51"/>
      <c r="M90" s="51"/>
      <c r="N90" s="51"/>
      <c r="O90" s="51"/>
      <c r="P90" s="51"/>
      <c r="Q90" s="51"/>
      <c r="R90" s="51"/>
      <c r="S90" s="51"/>
      <c r="T90" s="51"/>
      <c r="U90" s="51"/>
      <c r="V90" s="51"/>
      <c r="W90" s="51"/>
      <c r="X90" s="51"/>
      <c r="Y90" s="51"/>
      <c r="Z90" s="51"/>
      <c r="AA90" s="51"/>
      <c r="AB90" s="51"/>
    </row>
    <row r="91" customFormat="false" ht="15.75" hidden="false" customHeight="false" outlineLevel="0" collapsed="false">
      <c r="A91" s="51"/>
      <c r="B91" s="51"/>
      <c r="C91" s="6"/>
      <c r="D91" s="49"/>
      <c r="E91" s="51"/>
      <c r="F91" s="6"/>
      <c r="G91" s="6"/>
      <c r="H91" s="6"/>
      <c r="I91" s="6"/>
      <c r="J91" s="6"/>
      <c r="K91" s="51"/>
      <c r="L91" s="51"/>
      <c r="M91" s="51"/>
      <c r="N91" s="51"/>
      <c r="O91" s="51"/>
      <c r="P91" s="51"/>
      <c r="Q91" s="51"/>
      <c r="R91" s="51"/>
      <c r="S91" s="51"/>
      <c r="T91" s="51"/>
      <c r="U91" s="51"/>
      <c r="V91" s="51"/>
      <c r="W91" s="51"/>
      <c r="X91" s="51"/>
      <c r="Y91" s="51"/>
      <c r="Z91" s="51"/>
      <c r="AA91" s="51"/>
      <c r="AB91" s="51"/>
    </row>
    <row r="92" customFormat="false" ht="15.75" hidden="false" customHeight="false" outlineLevel="0" collapsed="false">
      <c r="A92" s="71"/>
      <c r="B92" s="55"/>
      <c r="C92" s="56" t="s">
        <v>18</v>
      </c>
      <c r="D92" s="57"/>
      <c r="E92" s="72" t="n">
        <f aca="false">IFERROR(__xludf.dummyfunction("COUNTA(SPLIT(D92,"" ""))/COUNTA(SPLIT($B$47,"" ""))"),0.00476190476190476)</f>
        <v>0.004761904762</v>
      </c>
      <c r="F92" s="56"/>
      <c r="G92" s="56"/>
      <c r="H92" s="56"/>
      <c r="I92" s="56"/>
      <c r="J92" s="56"/>
      <c r="K92" s="59"/>
      <c r="L92" s="59"/>
      <c r="M92" s="59"/>
      <c r="N92" s="59"/>
      <c r="O92" s="59"/>
      <c r="P92" s="59"/>
      <c r="Q92" s="59"/>
      <c r="R92" s="59"/>
      <c r="S92" s="59"/>
      <c r="T92" s="59"/>
      <c r="U92" s="59"/>
      <c r="V92" s="59"/>
      <c r="W92" s="59"/>
      <c r="X92" s="59"/>
      <c r="Y92" s="59"/>
      <c r="Z92" s="59"/>
      <c r="AA92" s="59"/>
      <c r="AB92" s="59"/>
    </row>
    <row r="93" customFormat="false" ht="15.75" hidden="false" customHeight="false" outlineLevel="0" collapsed="false">
      <c r="A93" s="71"/>
      <c r="B93" s="71"/>
      <c r="C93" s="6" t="s">
        <v>19</v>
      </c>
      <c r="D93" s="49"/>
      <c r="E93" s="73" t="n">
        <f aca="false">IFERROR(__xludf.dummyfunction("COUNTA(SPLIT(D93,"" ""))/COUNTA(SPLIT($B$47,"" ""))"),0.00476190476190476)</f>
        <v>0.004761904762</v>
      </c>
      <c r="F93" s="6"/>
      <c r="G93" s="6"/>
      <c r="H93" s="6"/>
      <c r="I93" s="6"/>
      <c r="J93" s="6"/>
      <c r="K93" s="51"/>
      <c r="L93" s="51"/>
      <c r="M93" s="51"/>
      <c r="N93" s="51"/>
      <c r="O93" s="51"/>
      <c r="P93" s="51"/>
      <c r="Q93" s="51"/>
      <c r="R93" s="51"/>
      <c r="S93" s="51"/>
      <c r="T93" s="51"/>
      <c r="U93" s="51"/>
      <c r="V93" s="51"/>
      <c r="W93" s="51"/>
      <c r="X93" s="51"/>
      <c r="Y93" s="51"/>
      <c r="Z93" s="51"/>
      <c r="AA93" s="51"/>
      <c r="AB93" s="51"/>
    </row>
    <row r="94" customFormat="false" ht="15.75" hidden="false" customHeight="false" outlineLevel="0" collapsed="false">
      <c r="A94" s="71"/>
      <c r="B94" s="71"/>
      <c r="C94" s="6" t="s">
        <v>8</v>
      </c>
      <c r="D94" s="49"/>
      <c r="E94" s="74" t="n">
        <f aca="false">IFERROR(__xludf.dummyfunction("COUNTA(SPLIT(D94,"" ""))/COUNTA(SPLIT($B$47,"" ""))"),0.00476190476190476)</f>
        <v>0.004761904762</v>
      </c>
      <c r="F94" s="6"/>
      <c r="G94" s="6"/>
      <c r="H94" s="6"/>
      <c r="I94" s="6"/>
      <c r="J94" s="6"/>
      <c r="K94" s="51"/>
      <c r="L94" s="51"/>
      <c r="M94" s="51"/>
      <c r="N94" s="51"/>
      <c r="O94" s="51"/>
      <c r="P94" s="51"/>
      <c r="Q94" s="51"/>
      <c r="R94" s="51"/>
      <c r="S94" s="51"/>
      <c r="T94" s="51"/>
      <c r="U94" s="51"/>
      <c r="V94" s="51"/>
      <c r="W94" s="51"/>
      <c r="X94" s="51"/>
      <c r="Y94" s="51"/>
      <c r="Z94" s="51"/>
      <c r="AA94" s="51"/>
      <c r="AB94" s="51"/>
    </row>
    <row r="95" customFormat="false" ht="15.75" hidden="false" customHeight="false" outlineLevel="0" collapsed="false">
      <c r="A95" s="71"/>
      <c r="B95" s="71"/>
      <c r="C95" s="6" t="s">
        <v>20</v>
      </c>
      <c r="D95" s="49"/>
      <c r="E95" s="75" t="n">
        <f aca="false">IFERROR(__xludf.dummyfunction("COUNTA(SPLIT(D95,"" ""))/COUNTA(SPLIT($B$47,"" ""))"),0.00476190476190476)</f>
        <v>0.004761904762</v>
      </c>
      <c r="F95" s="6"/>
      <c r="G95" s="6"/>
      <c r="H95" s="6"/>
      <c r="I95" s="6"/>
      <c r="J95" s="6"/>
      <c r="K95" s="51"/>
      <c r="L95" s="51"/>
      <c r="M95" s="51"/>
      <c r="N95" s="51"/>
      <c r="O95" s="51"/>
      <c r="P95" s="51"/>
      <c r="Q95" s="51"/>
      <c r="R95" s="51"/>
      <c r="S95" s="51"/>
      <c r="T95" s="51"/>
      <c r="U95" s="51"/>
      <c r="V95" s="51"/>
      <c r="W95" s="51"/>
      <c r="X95" s="51"/>
      <c r="Y95" s="51"/>
      <c r="Z95" s="51"/>
      <c r="AA95" s="51"/>
      <c r="AB95" s="51"/>
    </row>
    <row r="96" customFormat="false" ht="15.75" hidden="false" customHeight="false" outlineLevel="0" collapsed="false">
      <c r="A96" s="51"/>
      <c r="B96" s="51"/>
      <c r="C96" s="6"/>
      <c r="D96" s="49"/>
      <c r="E96" s="51"/>
      <c r="F96" s="6"/>
      <c r="G96" s="6"/>
      <c r="H96" s="6"/>
      <c r="I96" s="6"/>
      <c r="J96" s="6"/>
      <c r="K96" s="51"/>
      <c r="L96" s="51"/>
      <c r="M96" s="51"/>
      <c r="N96" s="51"/>
      <c r="O96" s="51"/>
      <c r="P96" s="51"/>
      <c r="Q96" s="51"/>
      <c r="R96" s="51"/>
      <c r="S96" s="51"/>
      <c r="T96" s="51"/>
      <c r="U96" s="51"/>
      <c r="V96" s="51"/>
      <c r="W96" s="51"/>
      <c r="X96" s="51"/>
      <c r="Y96" s="51"/>
      <c r="Z96" s="51"/>
      <c r="AA96" s="51"/>
      <c r="AB96" s="51"/>
    </row>
    <row r="97" customFormat="false" ht="15.75" hidden="false" customHeight="false" outlineLevel="0" collapsed="false">
      <c r="A97" s="71"/>
      <c r="B97" s="55"/>
      <c r="C97" s="56" t="s">
        <v>18</v>
      </c>
      <c r="D97" s="57"/>
      <c r="E97" s="72" t="n">
        <f aca="false">IFERROR(__xludf.dummyfunction("COUNTA(SPLIT(D97,"" ""))/COUNTA(SPLIT($B$47,"" ""))"),0.00476190476190476)</f>
        <v>0.004761904762</v>
      </c>
      <c r="F97" s="56"/>
      <c r="G97" s="56"/>
      <c r="H97" s="56"/>
      <c r="I97" s="56"/>
      <c r="J97" s="56"/>
      <c r="K97" s="59"/>
      <c r="L97" s="59"/>
      <c r="M97" s="59"/>
      <c r="N97" s="59"/>
      <c r="O97" s="59"/>
      <c r="P97" s="59"/>
      <c r="Q97" s="59"/>
      <c r="R97" s="59"/>
      <c r="S97" s="59"/>
      <c r="T97" s="59"/>
      <c r="U97" s="59"/>
      <c r="V97" s="59"/>
      <c r="W97" s="59"/>
      <c r="X97" s="59"/>
      <c r="Y97" s="59"/>
      <c r="Z97" s="59"/>
      <c r="AA97" s="59"/>
      <c r="AB97" s="59"/>
    </row>
    <row r="98" customFormat="false" ht="15.75" hidden="false" customHeight="false" outlineLevel="0" collapsed="false">
      <c r="A98" s="71"/>
      <c r="B98" s="71"/>
      <c r="C98" s="6" t="s">
        <v>19</v>
      </c>
      <c r="D98" s="49"/>
      <c r="E98" s="73" t="n">
        <f aca="false">IFERROR(__xludf.dummyfunction("COUNTA(SPLIT(D98,"" ""))/COUNTA(SPLIT($B$47,"" ""))"),0.00476190476190476)</f>
        <v>0.004761904762</v>
      </c>
      <c r="F98" s="6"/>
      <c r="G98" s="6"/>
      <c r="H98" s="6"/>
      <c r="I98" s="6"/>
      <c r="J98" s="6"/>
      <c r="K98" s="5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71"/>
      <c r="B99" s="71"/>
      <c r="C99" s="6" t="s">
        <v>8</v>
      </c>
      <c r="D99" s="49"/>
      <c r="E99" s="74" t="n">
        <f aca="false">IFERROR(__xludf.dummyfunction("COUNTA(SPLIT(D99,"" ""))/COUNTA(SPLIT($B$47,"" ""))"),0.00476190476190476)</f>
        <v>0.004761904762</v>
      </c>
      <c r="F99" s="6"/>
      <c r="G99" s="6"/>
      <c r="H99" s="6"/>
      <c r="I99" s="6"/>
      <c r="J99" s="6"/>
      <c r="K99" s="51"/>
      <c r="L99" s="51"/>
      <c r="M99" s="51"/>
      <c r="N99" s="51"/>
      <c r="O99" s="51"/>
      <c r="P99" s="51"/>
      <c r="Q99" s="51"/>
      <c r="R99" s="51"/>
      <c r="S99" s="51"/>
      <c r="T99" s="51"/>
      <c r="U99" s="51"/>
      <c r="V99" s="51"/>
      <c r="W99" s="51"/>
      <c r="X99" s="51"/>
      <c r="Y99" s="51"/>
      <c r="Z99" s="51"/>
      <c r="AA99" s="51"/>
      <c r="AB99" s="51"/>
    </row>
    <row r="100" customFormat="false" ht="15.75" hidden="false" customHeight="false" outlineLevel="0" collapsed="false">
      <c r="A100" s="71"/>
      <c r="B100" s="71"/>
      <c r="C100" s="6" t="s">
        <v>20</v>
      </c>
      <c r="D100" s="49"/>
      <c r="E100" s="75" t="n">
        <f aca="false">IFERROR(__xludf.dummyfunction("COUNTA(SPLIT(D100,"" ""))/COUNTA(SPLIT($B$47,"" ""))"),0.00476190476190476)</f>
        <v>0.004761904762</v>
      </c>
      <c r="F100" s="6"/>
      <c r="G100" s="6"/>
      <c r="H100" s="6"/>
      <c r="I100" s="6"/>
      <c r="J100" s="6"/>
      <c r="K100" s="51"/>
      <c r="L100" s="51"/>
      <c r="M100" s="51"/>
      <c r="N100" s="51"/>
      <c r="O100" s="51"/>
      <c r="P100" s="51"/>
      <c r="Q100" s="51"/>
      <c r="R100" s="51"/>
      <c r="S100" s="51"/>
      <c r="T100" s="51"/>
      <c r="U100" s="51"/>
      <c r="V100" s="51"/>
      <c r="W100" s="51"/>
      <c r="X100" s="51"/>
      <c r="Y100" s="51"/>
      <c r="Z100" s="51"/>
      <c r="AA100" s="51"/>
      <c r="AB100" s="51"/>
    </row>
    <row r="101" customFormat="false" ht="15.75" hidden="false" customHeight="false" outlineLevel="0" collapsed="false">
      <c r="A101" s="51"/>
      <c r="B101" s="51"/>
      <c r="C101" s="6"/>
      <c r="D101" s="49"/>
      <c r="E101" s="51"/>
      <c r="F101" s="6"/>
      <c r="G101" s="6"/>
      <c r="H101" s="6"/>
      <c r="I101" s="6"/>
      <c r="J101" s="6"/>
      <c r="K101" s="5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71"/>
      <c r="B102" s="55"/>
      <c r="C102" s="56" t="s">
        <v>18</v>
      </c>
      <c r="D102" s="57"/>
      <c r="E102" s="72" t="n">
        <f aca="false">IFERROR(__xludf.dummyfunction("COUNTA(SPLIT(D102,"" ""))/COUNTA(SPLIT($B$47,"" ""))"),0.00476190476190476)</f>
        <v>0.004761904762</v>
      </c>
      <c r="F102" s="56"/>
      <c r="G102" s="56"/>
      <c r="H102" s="56"/>
      <c r="I102" s="56"/>
      <c r="J102" s="56"/>
      <c r="K102" s="59"/>
      <c r="L102" s="59"/>
      <c r="M102" s="59"/>
      <c r="N102" s="59"/>
      <c r="O102" s="59"/>
      <c r="P102" s="59"/>
      <c r="Q102" s="59"/>
      <c r="R102" s="59"/>
      <c r="S102" s="59"/>
      <c r="T102" s="59"/>
      <c r="U102" s="59"/>
      <c r="V102" s="59"/>
      <c r="W102" s="59"/>
      <c r="X102" s="59"/>
      <c r="Y102" s="59"/>
      <c r="Z102" s="59"/>
      <c r="AA102" s="59"/>
      <c r="AB102" s="59"/>
    </row>
    <row r="103" customFormat="false" ht="15.75" hidden="false" customHeight="false" outlineLevel="0" collapsed="false">
      <c r="A103" s="71"/>
      <c r="B103" s="71"/>
      <c r="C103" s="6" t="s">
        <v>19</v>
      </c>
      <c r="D103" s="49"/>
      <c r="E103" s="73" t="n">
        <f aca="false">IFERROR(__xludf.dummyfunction("COUNTA(SPLIT(D103,"" ""))/COUNTA(SPLIT($B$47,"" ""))"),0.00476190476190476)</f>
        <v>0.004761904762</v>
      </c>
      <c r="F103" s="6"/>
      <c r="G103" s="6"/>
      <c r="H103" s="6"/>
      <c r="I103" s="6"/>
      <c r="J103" s="6"/>
      <c r="K103" s="51"/>
      <c r="L103" s="51"/>
      <c r="M103" s="51"/>
      <c r="N103" s="51"/>
      <c r="O103" s="51"/>
      <c r="P103" s="51"/>
      <c r="Q103" s="51"/>
      <c r="R103" s="51"/>
      <c r="S103" s="51"/>
      <c r="T103" s="51"/>
      <c r="U103" s="51"/>
      <c r="V103" s="51"/>
      <c r="W103" s="51"/>
      <c r="X103" s="51"/>
      <c r="Y103" s="51"/>
      <c r="Z103" s="51"/>
      <c r="AA103" s="51"/>
      <c r="AB103" s="51"/>
    </row>
    <row r="104" customFormat="false" ht="15.75" hidden="false" customHeight="false" outlineLevel="0" collapsed="false">
      <c r="A104" s="71"/>
      <c r="B104" s="71"/>
      <c r="C104" s="6" t="s">
        <v>8</v>
      </c>
      <c r="D104" s="49"/>
      <c r="E104" s="74" t="n">
        <f aca="false">IFERROR(__xludf.dummyfunction("COUNTA(SPLIT(D104,"" ""))/COUNTA(SPLIT($B$47,"" ""))"),0.00476190476190476)</f>
        <v>0.004761904762</v>
      </c>
      <c r="F104" s="6"/>
      <c r="G104" s="6"/>
      <c r="H104" s="6"/>
      <c r="I104" s="6"/>
      <c r="J104" s="6"/>
      <c r="K104" s="51"/>
      <c r="L104" s="51"/>
      <c r="M104" s="51"/>
      <c r="N104" s="51"/>
      <c r="O104" s="51"/>
      <c r="P104" s="51"/>
      <c r="Q104" s="51"/>
      <c r="R104" s="51"/>
      <c r="S104" s="51"/>
      <c r="T104" s="51"/>
      <c r="U104" s="51"/>
      <c r="V104" s="51"/>
      <c r="W104" s="51"/>
      <c r="X104" s="51"/>
      <c r="Y104" s="51"/>
      <c r="Z104" s="51"/>
      <c r="AA104" s="51"/>
      <c r="AB104" s="51"/>
    </row>
    <row r="105" customFormat="false" ht="15.75" hidden="false" customHeight="false" outlineLevel="0" collapsed="false">
      <c r="A105" s="71"/>
      <c r="B105" s="71"/>
      <c r="C105" s="6" t="s">
        <v>20</v>
      </c>
      <c r="D105" s="49"/>
      <c r="E105" s="75" t="n">
        <f aca="false">IFERROR(__xludf.dummyfunction("COUNTA(SPLIT(D105,"" ""))/COUNTA(SPLIT($B$47,"" ""))"),0.00476190476190476)</f>
        <v>0.004761904762</v>
      </c>
      <c r="F105" s="6"/>
      <c r="G105" s="6"/>
      <c r="H105" s="6"/>
      <c r="I105" s="6"/>
      <c r="J105" s="6"/>
      <c r="K105" s="51"/>
      <c r="L105" s="51"/>
      <c r="M105" s="51"/>
      <c r="N105" s="51"/>
      <c r="O105" s="51"/>
      <c r="P105" s="51"/>
      <c r="Q105" s="51"/>
      <c r="R105" s="51"/>
      <c r="S105" s="51"/>
      <c r="T105" s="51"/>
      <c r="U105" s="51"/>
      <c r="V105" s="51"/>
      <c r="W105" s="51"/>
      <c r="X105" s="51"/>
      <c r="Y105" s="51"/>
      <c r="Z105" s="51"/>
      <c r="AA105" s="51"/>
      <c r="AB105" s="51"/>
    </row>
    <row r="106" customFormat="false" ht="15.75" hidden="false" customHeight="false" outlineLevel="0" collapsed="false">
      <c r="A106" s="51"/>
      <c r="B106" s="51"/>
      <c r="C106" s="6"/>
      <c r="D106" s="49"/>
      <c r="E106" s="51"/>
      <c r="F106" s="6"/>
      <c r="G106" s="6"/>
      <c r="H106" s="6"/>
      <c r="I106" s="6"/>
      <c r="J106" s="6"/>
      <c r="K106" s="51"/>
      <c r="L106" s="51"/>
      <c r="M106" s="51"/>
      <c r="N106" s="51"/>
      <c r="O106" s="51"/>
      <c r="P106" s="51"/>
      <c r="Q106" s="51"/>
      <c r="R106" s="51"/>
      <c r="S106" s="51"/>
      <c r="T106" s="51"/>
      <c r="U106" s="51"/>
      <c r="V106" s="51"/>
      <c r="W106" s="51"/>
      <c r="X106" s="51"/>
      <c r="Y106" s="51"/>
      <c r="Z106" s="51"/>
      <c r="AA106" s="51"/>
      <c r="AB106" s="51"/>
    </row>
    <row r="107" customFormat="false" ht="15.75" hidden="false" customHeight="false" outlineLevel="0" collapsed="false">
      <c r="A107" s="71"/>
      <c r="B107" s="55"/>
      <c r="C107" s="56" t="s">
        <v>18</v>
      </c>
      <c r="D107" s="57"/>
      <c r="E107" s="72" t="n">
        <f aca="false">IFERROR(__xludf.dummyfunction("COUNTA(SPLIT(D107,"" ""))/COUNTA(SPLIT($B$47,"" ""))"),0.00476190476190476)</f>
        <v>0.004761904762</v>
      </c>
      <c r="F107" s="56"/>
      <c r="G107" s="56"/>
      <c r="H107" s="56"/>
      <c r="I107" s="56"/>
      <c r="J107" s="56"/>
      <c r="K107" s="59"/>
      <c r="L107" s="59"/>
      <c r="M107" s="59"/>
      <c r="N107" s="59"/>
      <c r="O107" s="59"/>
      <c r="P107" s="59"/>
      <c r="Q107" s="59"/>
      <c r="R107" s="59"/>
      <c r="S107" s="59"/>
      <c r="T107" s="59"/>
      <c r="U107" s="59"/>
      <c r="V107" s="59"/>
      <c r="W107" s="59"/>
      <c r="X107" s="59"/>
      <c r="Y107" s="59"/>
      <c r="Z107" s="59"/>
      <c r="AA107" s="59"/>
      <c r="AB107" s="59"/>
    </row>
    <row r="108" customFormat="false" ht="15.75" hidden="false" customHeight="false" outlineLevel="0" collapsed="false">
      <c r="A108" s="71"/>
      <c r="B108" s="71"/>
      <c r="C108" s="6" t="s">
        <v>19</v>
      </c>
      <c r="D108" s="49"/>
      <c r="E108" s="73" t="n">
        <f aca="false">IFERROR(__xludf.dummyfunction("COUNTA(SPLIT(D108,"" ""))/COUNTA(SPLIT($B$47,"" ""))"),0.00476190476190476)</f>
        <v>0.004761904762</v>
      </c>
      <c r="F108" s="6"/>
      <c r="G108" s="6"/>
      <c r="H108" s="6"/>
      <c r="I108" s="6"/>
      <c r="J108" s="6"/>
      <c r="K108" s="51"/>
      <c r="L108" s="51"/>
      <c r="M108" s="51"/>
      <c r="N108" s="51"/>
      <c r="O108" s="51"/>
      <c r="P108" s="51"/>
      <c r="Q108" s="51"/>
      <c r="R108" s="51"/>
      <c r="S108" s="51"/>
      <c r="T108" s="51"/>
      <c r="U108" s="51"/>
      <c r="V108" s="51"/>
      <c r="W108" s="51"/>
      <c r="X108" s="51"/>
      <c r="Y108" s="51"/>
      <c r="Z108" s="51"/>
      <c r="AA108" s="51"/>
      <c r="AB108" s="51"/>
    </row>
    <row r="109" customFormat="false" ht="15.75" hidden="false" customHeight="false" outlineLevel="0" collapsed="false">
      <c r="A109" s="71"/>
      <c r="B109" s="71"/>
      <c r="C109" s="6" t="s">
        <v>8</v>
      </c>
      <c r="D109" s="49"/>
      <c r="E109" s="74" t="n">
        <f aca="false">IFERROR(__xludf.dummyfunction("COUNTA(SPLIT(D109,"" ""))/COUNTA(SPLIT($B$47,"" ""))"),0.00476190476190476)</f>
        <v>0.004761904762</v>
      </c>
      <c r="F109" s="6"/>
      <c r="G109" s="6"/>
      <c r="H109" s="6"/>
      <c r="I109" s="6"/>
      <c r="J109" s="6"/>
      <c r="K109" s="51"/>
      <c r="L109" s="51"/>
      <c r="M109" s="51"/>
      <c r="N109" s="51"/>
      <c r="O109" s="51"/>
      <c r="P109" s="51"/>
      <c r="Q109" s="51"/>
      <c r="R109" s="51"/>
      <c r="S109" s="51"/>
      <c r="T109" s="51"/>
      <c r="U109" s="51"/>
      <c r="V109" s="51"/>
      <c r="W109" s="51"/>
      <c r="X109" s="51"/>
      <c r="Y109" s="51"/>
      <c r="Z109" s="51"/>
      <c r="AA109" s="51"/>
      <c r="AB109" s="51"/>
    </row>
    <row r="110" customFormat="false" ht="15.75" hidden="false" customHeight="false" outlineLevel="0" collapsed="false">
      <c r="A110" s="71"/>
      <c r="B110" s="71"/>
      <c r="C110" s="6" t="s">
        <v>20</v>
      </c>
      <c r="D110" s="49"/>
      <c r="E110" s="75" t="n">
        <f aca="false">IFERROR(__xludf.dummyfunction("COUNTA(SPLIT(D110,"" ""))/COUNTA(SPLIT($B$47,"" ""))"),0.00476190476190476)</f>
        <v>0.004761904762</v>
      </c>
      <c r="F110" s="6"/>
      <c r="G110" s="6"/>
      <c r="H110" s="6"/>
      <c r="I110" s="6"/>
      <c r="J110" s="6"/>
      <c r="K110" s="51"/>
      <c r="L110" s="51"/>
      <c r="M110" s="51"/>
      <c r="N110" s="51"/>
      <c r="O110" s="51"/>
      <c r="P110" s="51"/>
      <c r="Q110" s="51"/>
      <c r="R110" s="51"/>
      <c r="S110" s="51"/>
      <c r="T110" s="51"/>
      <c r="U110" s="51"/>
      <c r="V110" s="51"/>
      <c r="W110" s="51"/>
      <c r="X110" s="51"/>
      <c r="Y110" s="51"/>
      <c r="Z110" s="51"/>
      <c r="AA110" s="51"/>
      <c r="AB110" s="51"/>
    </row>
    <row r="111" customFormat="false" ht="15.75" hidden="false" customHeight="false" outlineLevel="0" collapsed="false">
      <c r="A111" s="51"/>
      <c r="B111" s="51"/>
      <c r="C111" s="6"/>
      <c r="D111" s="49"/>
      <c r="E111" s="51"/>
      <c r="F111" s="6"/>
      <c r="G111" s="6"/>
      <c r="H111" s="6"/>
      <c r="I111" s="6"/>
      <c r="J111" s="6"/>
      <c r="K111" s="51"/>
      <c r="L111" s="51"/>
      <c r="M111" s="51"/>
      <c r="N111" s="51"/>
      <c r="O111" s="51"/>
      <c r="P111" s="51"/>
      <c r="Q111" s="51"/>
      <c r="R111" s="51"/>
      <c r="S111" s="51"/>
      <c r="T111" s="51"/>
      <c r="U111" s="51"/>
      <c r="V111" s="51"/>
      <c r="W111" s="51"/>
      <c r="X111" s="51"/>
      <c r="Y111" s="51"/>
      <c r="Z111" s="51"/>
      <c r="AA111" s="51"/>
      <c r="AB111" s="51"/>
    </row>
    <row r="112" customFormat="false" ht="15.75" hidden="false" customHeight="false" outlineLevel="0" collapsed="false">
      <c r="A112" s="71"/>
      <c r="B112" s="55"/>
      <c r="C112" s="56" t="s">
        <v>18</v>
      </c>
      <c r="D112" s="57"/>
      <c r="E112" s="72" t="n">
        <f aca="false">IFERROR(__xludf.dummyfunction("COUNTA(SPLIT(D112,"" ""))/COUNTA(SPLIT($B$47,"" ""))"),0.00476190476190476)</f>
        <v>0.004761904762</v>
      </c>
      <c r="F112" s="56"/>
      <c r="G112" s="56"/>
      <c r="H112" s="56"/>
      <c r="I112" s="56"/>
      <c r="J112" s="56"/>
      <c r="K112" s="59"/>
      <c r="L112" s="59"/>
      <c r="M112" s="59"/>
      <c r="N112" s="59"/>
      <c r="O112" s="59"/>
      <c r="P112" s="59"/>
      <c r="Q112" s="59"/>
      <c r="R112" s="59"/>
      <c r="S112" s="59"/>
      <c r="T112" s="59"/>
      <c r="U112" s="59"/>
      <c r="V112" s="59"/>
      <c r="W112" s="59"/>
      <c r="X112" s="59"/>
      <c r="Y112" s="59"/>
      <c r="Z112" s="59"/>
      <c r="AA112" s="59"/>
      <c r="AB112" s="59"/>
    </row>
    <row r="113" customFormat="false" ht="15.75" hidden="false" customHeight="false" outlineLevel="0" collapsed="false">
      <c r="A113" s="71"/>
      <c r="B113" s="71"/>
      <c r="C113" s="6" t="s">
        <v>19</v>
      </c>
      <c r="D113" s="49"/>
      <c r="E113" s="73" t="n">
        <f aca="false">IFERROR(__xludf.dummyfunction("COUNTA(SPLIT(D113,"" ""))/COUNTA(SPLIT($B$47,"" ""))"),0.00476190476190476)</f>
        <v>0.004761904762</v>
      </c>
      <c r="F113" s="6"/>
      <c r="G113" s="6"/>
      <c r="H113" s="6"/>
      <c r="I113" s="6"/>
      <c r="J113" s="6"/>
      <c r="K113" s="51"/>
      <c r="L113" s="51"/>
      <c r="M113" s="51"/>
      <c r="N113" s="51"/>
      <c r="O113" s="51"/>
      <c r="P113" s="51"/>
      <c r="Q113" s="51"/>
      <c r="R113" s="51"/>
      <c r="S113" s="51"/>
      <c r="T113" s="51"/>
      <c r="U113" s="51"/>
      <c r="V113" s="51"/>
      <c r="W113" s="51"/>
      <c r="X113" s="51"/>
      <c r="Y113" s="51"/>
      <c r="Z113" s="51"/>
      <c r="AA113" s="51"/>
      <c r="AB113" s="51"/>
    </row>
    <row r="114" customFormat="false" ht="15.75" hidden="false" customHeight="false" outlineLevel="0" collapsed="false">
      <c r="A114" s="71"/>
      <c r="B114" s="71"/>
      <c r="C114" s="6" t="s">
        <v>8</v>
      </c>
      <c r="D114" s="49"/>
      <c r="E114" s="74" t="n">
        <f aca="false">IFERROR(__xludf.dummyfunction("COUNTA(SPLIT(D114,"" ""))/COUNTA(SPLIT($B$47,"" ""))"),0.00476190476190476)</f>
        <v>0.004761904762</v>
      </c>
      <c r="F114" s="6"/>
      <c r="G114" s="6"/>
      <c r="H114" s="6"/>
      <c r="I114" s="6"/>
      <c r="J114" s="6"/>
      <c r="K114" s="51"/>
      <c r="L114" s="51"/>
      <c r="M114" s="51"/>
      <c r="N114" s="51"/>
      <c r="O114" s="51"/>
      <c r="P114" s="51"/>
      <c r="Q114" s="51"/>
      <c r="R114" s="51"/>
      <c r="S114" s="51"/>
      <c r="T114" s="51"/>
      <c r="U114" s="51"/>
      <c r="V114" s="51"/>
      <c r="W114" s="51"/>
      <c r="X114" s="51"/>
      <c r="Y114" s="51"/>
      <c r="Z114" s="51"/>
      <c r="AA114" s="51"/>
      <c r="AB114" s="51"/>
    </row>
    <row r="115" customFormat="false" ht="15.75" hidden="false" customHeight="false" outlineLevel="0" collapsed="false">
      <c r="A115" s="71"/>
      <c r="B115" s="71"/>
      <c r="C115" s="6" t="s">
        <v>20</v>
      </c>
      <c r="D115" s="49"/>
      <c r="E115" s="75" t="n">
        <f aca="false">IFERROR(__xludf.dummyfunction("COUNTA(SPLIT(D115,"" ""))/COUNTA(SPLIT($B$47,"" ""))"),0.00476190476190476)</f>
        <v>0.004761904762</v>
      </c>
      <c r="F115" s="6"/>
      <c r="G115" s="6"/>
      <c r="H115" s="6"/>
      <c r="I115" s="6"/>
      <c r="J115" s="6"/>
      <c r="K115" s="51"/>
      <c r="L115" s="51"/>
      <c r="M115" s="51"/>
      <c r="N115" s="51"/>
      <c r="O115" s="51"/>
      <c r="P115" s="51"/>
      <c r="Q115" s="51"/>
      <c r="R115" s="51"/>
      <c r="S115" s="51"/>
      <c r="T115" s="51"/>
      <c r="U115" s="51"/>
      <c r="V115" s="51"/>
      <c r="W115" s="51"/>
      <c r="X115" s="51"/>
      <c r="Y115" s="51"/>
      <c r="Z115" s="51"/>
      <c r="AA115" s="51"/>
      <c r="AB115" s="51"/>
    </row>
    <row r="116" customFormat="false" ht="15.75" hidden="false" customHeight="false" outlineLevel="0" collapsed="false">
      <c r="A116" s="51"/>
      <c r="B116" s="51"/>
      <c r="C116" s="6"/>
      <c r="D116" s="49"/>
      <c r="E116" s="51"/>
      <c r="F116" s="6"/>
      <c r="G116" s="6"/>
      <c r="H116" s="6"/>
      <c r="I116" s="6"/>
      <c r="J116" s="6"/>
      <c r="K116" s="51"/>
      <c r="L116" s="51"/>
      <c r="M116" s="51"/>
      <c r="N116" s="51"/>
      <c r="O116" s="51"/>
      <c r="P116" s="51"/>
      <c r="Q116" s="51"/>
      <c r="R116" s="51"/>
      <c r="S116" s="51"/>
      <c r="T116" s="51"/>
      <c r="U116" s="51"/>
      <c r="V116" s="51"/>
      <c r="W116" s="51"/>
      <c r="X116" s="51"/>
      <c r="Y116" s="51"/>
      <c r="Z116" s="51"/>
      <c r="AA116" s="51"/>
      <c r="AB116" s="51"/>
    </row>
    <row r="117" customFormat="false" ht="15.75" hidden="false" customHeight="false" outlineLevel="0" collapsed="false">
      <c r="A117" s="71"/>
      <c r="B117" s="55"/>
      <c r="C117" s="56" t="s">
        <v>18</v>
      </c>
      <c r="D117" s="57"/>
      <c r="E117" s="72" t="n">
        <f aca="false">IFERROR(__xludf.dummyfunction("COUNTA(SPLIT(D117,"" ""))/COUNTA(SPLIT($B$47,"" ""))"),0.00476190476190476)</f>
        <v>0.004761904762</v>
      </c>
      <c r="F117" s="56"/>
      <c r="G117" s="56"/>
      <c r="H117" s="56"/>
      <c r="I117" s="56"/>
      <c r="J117" s="56"/>
      <c r="K117" s="59"/>
      <c r="L117" s="59"/>
      <c r="M117" s="59"/>
      <c r="N117" s="59"/>
      <c r="O117" s="59"/>
      <c r="P117" s="59"/>
      <c r="Q117" s="59"/>
      <c r="R117" s="59"/>
      <c r="S117" s="59"/>
      <c r="T117" s="59"/>
      <c r="U117" s="59"/>
      <c r="V117" s="59"/>
      <c r="W117" s="59"/>
      <c r="X117" s="59"/>
      <c r="Y117" s="59"/>
      <c r="Z117" s="59"/>
      <c r="AA117" s="59"/>
      <c r="AB117" s="59"/>
    </row>
    <row r="118" customFormat="false" ht="15.75" hidden="false" customHeight="false" outlineLevel="0" collapsed="false">
      <c r="A118" s="71"/>
      <c r="B118" s="71"/>
      <c r="C118" s="6" t="s">
        <v>19</v>
      </c>
      <c r="D118" s="49"/>
      <c r="E118" s="73" t="n">
        <f aca="false">IFERROR(__xludf.dummyfunction("COUNTA(SPLIT(D118,"" ""))/COUNTA(SPLIT($B$47,"" ""))"),0.00476190476190476)</f>
        <v>0.004761904762</v>
      </c>
      <c r="F118" s="6"/>
      <c r="G118" s="6"/>
      <c r="H118" s="6"/>
      <c r="I118" s="6"/>
      <c r="J118" s="6"/>
      <c r="K118" s="51"/>
      <c r="L118" s="51"/>
      <c r="M118" s="51"/>
      <c r="N118" s="51"/>
      <c r="O118" s="51"/>
      <c r="P118" s="51"/>
      <c r="Q118" s="51"/>
      <c r="R118" s="51"/>
      <c r="S118" s="51"/>
      <c r="T118" s="51"/>
      <c r="U118" s="51"/>
      <c r="V118" s="51"/>
      <c r="W118" s="51"/>
      <c r="X118" s="51"/>
      <c r="Y118" s="51"/>
      <c r="Z118" s="51"/>
      <c r="AA118" s="51"/>
      <c r="AB118" s="51"/>
    </row>
    <row r="119" customFormat="false" ht="15.75" hidden="false" customHeight="false" outlineLevel="0" collapsed="false">
      <c r="A119" s="71"/>
      <c r="B119" s="71"/>
      <c r="C119" s="6" t="s">
        <v>8</v>
      </c>
      <c r="D119" s="49"/>
      <c r="E119" s="74" t="n">
        <f aca="false">IFERROR(__xludf.dummyfunction("COUNTA(SPLIT(D119,"" ""))/COUNTA(SPLIT($B$47,"" ""))"),0.00476190476190476)</f>
        <v>0.004761904762</v>
      </c>
      <c r="F119" s="6"/>
      <c r="G119" s="6"/>
      <c r="H119" s="6"/>
      <c r="I119" s="6"/>
      <c r="J119" s="6"/>
      <c r="K119" s="51"/>
      <c r="L119" s="51"/>
      <c r="M119" s="51"/>
      <c r="N119" s="51"/>
      <c r="O119" s="51"/>
      <c r="P119" s="51"/>
      <c r="Q119" s="51"/>
      <c r="R119" s="51"/>
      <c r="S119" s="51"/>
      <c r="T119" s="51"/>
      <c r="U119" s="51"/>
      <c r="V119" s="51"/>
      <c r="W119" s="51"/>
      <c r="X119" s="51"/>
      <c r="Y119" s="51"/>
      <c r="Z119" s="51"/>
      <c r="AA119" s="51"/>
      <c r="AB119" s="51"/>
    </row>
    <row r="120" customFormat="false" ht="15.75" hidden="false" customHeight="false" outlineLevel="0" collapsed="false">
      <c r="A120" s="71"/>
      <c r="B120" s="71"/>
      <c r="C120" s="6" t="s">
        <v>20</v>
      </c>
      <c r="D120" s="49"/>
      <c r="E120" s="75" t="n">
        <f aca="false">IFERROR(__xludf.dummyfunction("COUNTA(SPLIT(D120,"" ""))/COUNTA(SPLIT($B$47,"" ""))"),0.00476190476190476)</f>
        <v>0.004761904762</v>
      </c>
      <c r="F120" s="6"/>
      <c r="G120" s="6"/>
      <c r="H120" s="6"/>
      <c r="I120" s="6"/>
      <c r="J120" s="6"/>
      <c r="K120" s="51"/>
      <c r="L120" s="51"/>
      <c r="M120" s="51"/>
      <c r="N120" s="51"/>
      <c r="O120" s="51"/>
      <c r="P120" s="51"/>
      <c r="Q120" s="51"/>
      <c r="R120" s="51"/>
      <c r="S120" s="51"/>
      <c r="T120" s="51"/>
      <c r="U120" s="51"/>
      <c r="V120" s="51"/>
      <c r="W120" s="51"/>
      <c r="X120" s="51"/>
      <c r="Y120" s="51"/>
      <c r="Z120" s="51"/>
      <c r="AA120" s="51"/>
      <c r="AB120" s="51"/>
    </row>
    <row r="121" customFormat="false" ht="15.75" hidden="false" customHeight="false" outlineLevel="0" collapsed="false">
      <c r="A121" s="51"/>
      <c r="B121" s="51"/>
      <c r="C121" s="6"/>
      <c r="D121" s="49"/>
      <c r="E121" s="51"/>
      <c r="F121" s="6"/>
      <c r="G121" s="6"/>
      <c r="H121" s="6"/>
      <c r="I121" s="6"/>
      <c r="J121" s="6"/>
      <c r="K121" s="51"/>
      <c r="L121" s="51"/>
      <c r="M121" s="51"/>
      <c r="N121" s="51"/>
      <c r="O121" s="51"/>
      <c r="P121" s="51"/>
      <c r="Q121" s="51"/>
      <c r="R121" s="51"/>
      <c r="S121" s="51"/>
      <c r="T121" s="51"/>
      <c r="U121" s="51"/>
      <c r="V121" s="51"/>
      <c r="W121" s="51"/>
      <c r="X121" s="51"/>
      <c r="Y121" s="51"/>
      <c r="Z121" s="51"/>
      <c r="AA121" s="51"/>
      <c r="AB121" s="51"/>
    </row>
    <row r="122" customFormat="false" ht="15.75" hidden="false" customHeight="false" outlineLevel="0" collapsed="false">
      <c r="A122" s="71"/>
      <c r="B122" s="55"/>
      <c r="C122" s="56" t="s">
        <v>18</v>
      </c>
      <c r="D122" s="57"/>
      <c r="E122" s="72" t="n">
        <f aca="false">IFERROR(__xludf.dummyfunction("COUNTA(SPLIT(D122,"" ""))/COUNTA(SPLIT($B$47,"" ""))"),0.00476190476190476)</f>
        <v>0.004761904762</v>
      </c>
      <c r="F122" s="56"/>
      <c r="G122" s="56"/>
      <c r="H122" s="56"/>
      <c r="I122" s="56"/>
      <c r="J122" s="56"/>
      <c r="K122" s="59"/>
      <c r="L122" s="59"/>
      <c r="M122" s="59"/>
      <c r="N122" s="59"/>
      <c r="O122" s="59"/>
      <c r="P122" s="59"/>
      <c r="Q122" s="59"/>
      <c r="R122" s="59"/>
      <c r="S122" s="59"/>
      <c r="T122" s="59"/>
      <c r="U122" s="59"/>
      <c r="V122" s="59"/>
      <c r="W122" s="59"/>
      <c r="X122" s="59"/>
      <c r="Y122" s="59"/>
      <c r="Z122" s="59"/>
      <c r="AA122" s="59"/>
      <c r="AB122" s="59"/>
    </row>
    <row r="123" customFormat="false" ht="15.75" hidden="false" customHeight="false" outlineLevel="0" collapsed="false">
      <c r="A123" s="71"/>
      <c r="B123" s="71"/>
      <c r="C123" s="6" t="s">
        <v>19</v>
      </c>
      <c r="D123" s="49"/>
      <c r="E123" s="73" t="n">
        <f aca="false">IFERROR(__xludf.dummyfunction("COUNTA(SPLIT(D123,"" ""))/COUNTA(SPLIT($B$47,"" ""))"),0.00476190476190476)</f>
        <v>0.004761904762</v>
      </c>
      <c r="F123" s="6"/>
      <c r="G123" s="6"/>
      <c r="H123" s="6"/>
      <c r="I123" s="6"/>
      <c r="J123" s="6"/>
      <c r="K123" s="51"/>
      <c r="L123" s="51"/>
      <c r="M123" s="51"/>
      <c r="N123" s="51"/>
      <c r="O123" s="51"/>
      <c r="P123" s="51"/>
      <c r="Q123" s="51"/>
      <c r="R123" s="51"/>
      <c r="S123" s="51"/>
      <c r="T123" s="51"/>
      <c r="U123" s="51"/>
      <c r="V123" s="51"/>
      <c r="W123" s="51"/>
      <c r="X123" s="51"/>
      <c r="Y123" s="51"/>
      <c r="Z123" s="51"/>
      <c r="AA123" s="51"/>
      <c r="AB123" s="51"/>
    </row>
    <row r="124" customFormat="false" ht="15.75" hidden="false" customHeight="false" outlineLevel="0" collapsed="false">
      <c r="A124" s="71"/>
      <c r="B124" s="71"/>
      <c r="C124" s="6" t="s">
        <v>8</v>
      </c>
      <c r="D124" s="49"/>
      <c r="E124" s="74" t="n">
        <f aca="false">IFERROR(__xludf.dummyfunction("COUNTA(SPLIT(D124,"" ""))/COUNTA(SPLIT($B$47,"" ""))"),0.00476190476190476)</f>
        <v>0.004761904762</v>
      </c>
      <c r="F124" s="6"/>
      <c r="G124" s="6"/>
      <c r="H124" s="6"/>
      <c r="I124" s="6"/>
      <c r="J124" s="6"/>
      <c r="K124" s="51"/>
      <c r="L124" s="51"/>
      <c r="M124" s="51"/>
      <c r="N124" s="51"/>
      <c r="O124" s="51"/>
      <c r="P124" s="51"/>
      <c r="Q124" s="51"/>
      <c r="R124" s="51"/>
      <c r="S124" s="51"/>
      <c r="T124" s="51"/>
      <c r="U124" s="51"/>
      <c r="V124" s="51"/>
      <c r="W124" s="51"/>
      <c r="X124" s="51"/>
      <c r="Y124" s="51"/>
      <c r="Z124" s="51"/>
      <c r="AA124" s="51"/>
      <c r="AB124" s="51"/>
    </row>
    <row r="125" customFormat="false" ht="15.75" hidden="false" customHeight="false" outlineLevel="0" collapsed="false">
      <c r="A125" s="71"/>
      <c r="B125" s="71"/>
      <c r="C125" s="6" t="s">
        <v>20</v>
      </c>
      <c r="D125" s="49"/>
      <c r="E125" s="75" t="n">
        <f aca="false">IFERROR(__xludf.dummyfunction("COUNTA(SPLIT(D125,"" ""))/COUNTA(SPLIT($B$47,"" ""))"),0.00476190476190476)</f>
        <v>0.004761904762</v>
      </c>
      <c r="F125" s="6"/>
      <c r="G125" s="6"/>
      <c r="H125" s="6"/>
      <c r="I125" s="6"/>
      <c r="J125" s="6"/>
      <c r="K125" s="51"/>
      <c r="L125" s="51"/>
      <c r="M125" s="51"/>
      <c r="N125" s="51"/>
      <c r="O125" s="51"/>
      <c r="P125" s="51"/>
      <c r="Q125" s="51"/>
      <c r="R125" s="51"/>
      <c r="S125" s="51"/>
      <c r="T125" s="51"/>
      <c r="U125" s="51"/>
      <c r="V125" s="51"/>
      <c r="W125" s="51"/>
      <c r="X125" s="51"/>
      <c r="Y125" s="51"/>
      <c r="Z125" s="51"/>
      <c r="AA125" s="51"/>
      <c r="AB125" s="51"/>
    </row>
    <row r="126" customFormat="false" ht="15.75" hidden="false" customHeight="false" outlineLevel="0" collapsed="false">
      <c r="A126" s="51"/>
      <c r="B126" s="51"/>
      <c r="C126" s="6"/>
      <c r="D126" s="49"/>
      <c r="E126" s="51"/>
      <c r="F126" s="6"/>
      <c r="G126" s="6"/>
      <c r="H126" s="6"/>
      <c r="I126" s="6"/>
      <c r="J126" s="6"/>
      <c r="K126" s="51"/>
      <c r="L126" s="51"/>
      <c r="M126" s="51"/>
      <c r="N126" s="51"/>
      <c r="O126" s="51"/>
      <c r="P126" s="51"/>
      <c r="Q126" s="51"/>
      <c r="R126" s="51"/>
      <c r="S126" s="51"/>
      <c r="T126" s="51"/>
      <c r="U126" s="51"/>
      <c r="V126" s="51"/>
      <c r="W126" s="51"/>
      <c r="X126" s="51"/>
      <c r="Y126" s="51"/>
      <c r="Z126" s="51"/>
      <c r="AA126" s="51"/>
      <c r="AB126" s="51"/>
    </row>
    <row r="127" customFormat="false" ht="15.75" hidden="false" customHeight="false" outlineLevel="0" collapsed="false">
      <c r="A127" s="71"/>
      <c r="B127" s="55"/>
      <c r="C127" s="56" t="s">
        <v>18</v>
      </c>
      <c r="D127" s="57"/>
      <c r="E127" s="72" t="n">
        <f aca="false">IFERROR(__xludf.dummyfunction("COUNTA(SPLIT(D127,"" ""))/COUNTA(SPLIT($B$47,"" ""))"),0.00476190476190476)</f>
        <v>0.004761904762</v>
      </c>
      <c r="F127" s="56"/>
      <c r="G127" s="56"/>
      <c r="H127" s="56"/>
      <c r="I127" s="56"/>
      <c r="J127" s="56"/>
      <c r="K127" s="59"/>
      <c r="L127" s="59"/>
      <c r="M127" s="59"/>
      <c r="N127" s="59"/>
      <c r="O127" s="59"/>
      <c r="P127" s="59"/>
      <c r="Q127" s="59"/>
      <c r="R127" s="59"/>
      <c r="S127" s="59"/>
      <c r="T127" s="59"/>
      <c r="U127" s="59"/>
      <c r="V127" s="59"/>
      <c r="W127" s="59"/>
      <c r="X127" s="59"/>
      <c r="Y127" s="59"/>
      <c r="Z127" s="59"/>
      <c r="AA127" s="59"/>
      <c r="AB127" s="59"/>
    </row>
    <row r="128" customFormat="false" ht="15.75" hidden="false" customHeight="false" outlineLevel="0" collapsed="false">
      <c r="A128" s="71"/>
      <c r="B128" s="71"/>
      <c r="C128" s="6" t="s">
        <v>19</v>
      </c>
      <c r="D128" s="49"/>
      <c r="E128" s="73" t="n">
        <f aca="false">IFERROR(__xludf.dummyfunction("COUNTA(SPLIT(D128,"" ""))/COUNTA(SPLIT($B$47,"" ""))"),0.00476190476190476)</f>
        <v>0.004761904762</v>
      </c>
      <c r="F128" s="6"/>
      <c r="G128" s="6"/>
      <c r="H128" s="6"/>
      <c r="I128" s="6"/>
      <c r="J128" s="6"/>
      <c r="K128" s="51"/>
      <c r="L128" s="51"/>
      <c r="M128" s="51"/>
      <c r="N128" s="51"/>
      <c r="O128" s="51"/>
      <c r="P128" s="51"/>
      <c r="Q128" s="51"/>
      <c r="R128" s="51"/>
      <c r="S128" s="51"/>
      <c r="T128" s="51"/>
      <c r="U128" s="51"/>
      <c r="V128" s="51"/>
      <c r="W128" s="51"/>
      <c r="X128" s="51"/>
      <c r="Y128" s="51"/>
      <c r="Z128" s="51"/>
      <c r="AA128" s="51"/>
      <c r="AB128" s="51"/>
    </row>
    <row r="129" customFormat="false" ht="15.75" hidden="false" customHeight="false" outlineLevel="0" collapsed="false">
      <c r="A129" s="71"/>
      <c r="B129" s="71"/>
      <c r="C129" s="6" t="s">
        <v>8</v>
      </c>
      <c r="D129" s="49"/>
      <c r="E129" s="74" t="n">
        <f aca="false">IFERROR(__xludf.dummyfunction("COUNTA(SPLIT(D129,"" ""))/COUNTA(SPLIT($B$47,"" ""))"),0.00476190476190476)</f>
        <v>0.004761904762</v>
      </c>
      <c r="F129" s="6"/>
      <c r="G129" s="6"/>
      <c r="H129" s="6"/>
      <c r="I129" s="6"/>
      <c r="J129" s="6"/>
      <c r="K129" s="51"/>
      <c r="L129" s="51"/>
      <c r="M129" s="51"/>
      <c r="N129" s="51"/>
      <c r="O129" s="51"/>
      <c r="P129" s="51"/>
      <c r="Q129" s="51"/>
      <c r="R129" s="51"/>
      <c r="S129" s="51"/>
      <c r="T129" s="51"/>
      <c r="U129" s="51"/>
      <c r="V129" s="51"/>
      <c r="W129" s="51"/>
      <c r="X129" s="51"/>
      <c r="Y129" s="51"/>
      <c r="Z129" s="51"/>
      <c r="AA129" s="51"/>
      <c r="AB129" s="51"/>
    </row>
    <row r="130" customFormat="false" ht="15.75" hidden="false" customHeight="false" outlineLevel="0" collapsed="false">
      <c r="A130" s="71"/>
      <c r="B130" s="71"/>
      <c r="C130" s="6" t="s">
        <v>20</v>
      </c>
      <c r="D130" s="49"/>
      <c r="E130" s="75" t="n">
        <f aca="false">IFERROR(__xludf.dummyfunction("COUNTA(SPLIT(D130,"" ""))/COUNTA(SPLIT($B$47,"" ""))"),0.00476190476190476)</f>
        <v>0.004761904762</v>
      </c>
      <c r="F130" s="6"/>
      <c r="G130" s="6"/>
      <c r="H130" s="6"/>
      <c r="I130" s="6"/>
      <c r="J130" s="6"/>
      <c r="K130" s="51"/>
      <c r="L130" s="51"/>
      <c r="M130" s="51"/>
      <c r="N130" s="51"/>
      <c r="O130" s="51"/>
      <c r="P130" s="51"/>
      <c r="Q130" s="51"/>
      <c r="R130" s="51"/>
      <c r="S130" s="51"/>
      <c r="T130" s="51"/>
      <c r="U130" s="51"/>
      <c r="V130" s="51"/>
      <c r="W130" s="51"/>
      <c r="X130" s="51"/>
      <c r="Y130" s="51"/>
      <c r="Z130" s="51"/>
      <c r="AA130" s="51"/>
      <c r="AB130" s="51"/>
    </row>
    <row r="131" customFormat="false" ht="15.75" hidden="false" customHeight="false" outlineLevel="0" collapsed="false">
      <c r="A131" s="51"/>
      <c r="B131" s="51"/>
      <c r="C131" s="6"/>
      <c r="D131" s="49"/>
      <c r="E131" s="51"/>
      <c r="F131" s="6"/>
      <c r="G131" s="6"/>
      <c r="H131" s="6"/>
      <c r="I131" s="6"/>
      <c r="J131" s="6"/>
      <c r="K131" s="51"/>
      <c r="L131" s="51"/>
      <c r="M131" s="51"/>
      <c r="N131" s="51"/>
      <c r="O131" s="51"/>
      <c r="P131" s="51"/>
      <c r="Q131" s="51"/>
      <c r="R131" s="51"/>
      <c r="S131" s="51"/>
      <c r="T131" s="51"/>
      <c r="U131" s="51"/>
      <c r="V131" s="51"/>
      <c r="W131" s="51"/>
      <c r="X131" s="51"/>
      <c r="Y131" s="51"/>
      <c r="Z131" s="51"/>
      <c r="AA131" s="51"/>
      <c r="AB131" s="51"/>
    </row>
    <row r="132" customFormat="false" ht="15.75" hidden="false" customHeight="false" outlineLevel="0" collapsed="false">
      <c r="A132" s="71"/>
      <c r="B132" s="55"/>
      <c r="C132" s="56" t="s">
        <v>18</v>
      </c>
      <c r="D132" s="57"/>
      <c r="E132" s="72" t="n">
        <f aca="false">IFERROR(__xludf.dummyfunction("COUNTA(SPLIT(D132,"" ""))/COUNTA(SPLIT($B$47,"" ""))"),0.00476190476190476)</f>
        <v>0.004761904762</v>
      </c>
      <c r="F132" s="56"/>
      <c r="G132" s="56"/>
      <c r="H132" s="56"/>
      <c r="I132" s="56"/>
      <c r="J132" s="56"/>
      <c r="K132" s="59"/>
      <c r="L132" s="59"/>
      <c r="M132" s="59"/>
      <c r="N132" s="59"/>
      <c r="O132" s="59"/>
      <c r="P132" s="59"/>
      <c r="Q132" s="59"/>
      <c r="R132" s="59"/>
      <c r="S132" s="59"/>
      <c r="T132" s="59"/>
      <c r="U132" s="59"/>
      <c r="V132" s="59"/>
      <c r="W132" s="59"/>
      <c r="X132" s="59"/>
      <c r="Y132" s="59"/>
      <c r="Z132" s="59"/>
      <c r="AA132" s="59"/>
      <c r="AB132" s="59"/>
    </row>
    <row r="133" customFormat="false" ht="15.75" hidden="false" customHeight="false" outlineLevel="0" collapsed="false">
      <c r="A133" s="71"/>
      <c r="B133" s="71"/>
      <c r="C133" s="6" t="s">
        <v>19</v>
      </c>
      <c r="D133" s="49"/>
      <c r="E133" s="73" t="n">
        <f aca="false">IFERROR(__xludf.dummyfunction("COUNTA(SPLIT(D133,"" ""))/COUNTA(SPLIT($B$47,"" ""))"),0.00476190476190476)</f>
        <v>0.004761904762</v>
      </c>
      <c r="F133" s="6"/>
      <c r="G133" s="6"/>
      <c r="H133" s="6"/>
      <c r="I133" s="6"/>
      <c r="J133" s="6"/>
      <c r="K133" s="51"/>
      <c r="L133" s="51"/>
      <c r="M133" s="51"/>
      <c r="N133" s="51"/>
      <c r="O133" s="51"/>
      <c r="P133" s="51"/>
      <c r="Q133" s="51"/>
      <c r="R133" s="51"/>
      <c r="S133" s="51"/>
      <c r="T133" s="51"/>
      <c r="U133" s="51"/>
      <c r="V133" s="51"/>
      <c r="W133" s="51"/>
      <c r="X133" s="51"/>
      <c r="Y133" s="51"/>
      <c r="Z133" s="51"/>
      <c r="AA133" s="51"/>
      <c r="AB133" s="51"/>
    </row>
    <row r="134" customFormat="false" ht="15.75" hidden="false" customHeight="false" outlineLevel="0" collapsed="false">
      <c r="A134" s="71"/>
      <c r="B134" s="71"/>
      <c r="C134" s="6" t="s">
        <v>8</v>
      </c>
      <c r="D134" s="49"/>
      <c r="E134" s="74" t="n">
        <f aca="false">IFERROR(__xludf.dummyfunction("COUNTA(SPLIT(D134,"" ""))/COUNTA(SPLIT($B$47,"" ""))"),0.00476190476190476)</f>
        <v>0.004761904762</v>
      </c>
      <c r="F134" s="6"/>
      <c r="G134" s="6"/>
      <c r="H134" s="6"/>
      <c r="I134" s="6"/>
      <c r="J134" s="6"/>
      <c r="K134" s="51"/>
      <c r="L134" s="51"/>
      <c r="M134" s="51"/>
      <c r="N134" s="51"/>
      <c r="O134" s="51"/>
      <c r="P134" s="51"/>
      <c r="Q134" s="51"/>
      <c r="R134" s="51"/>
      <c r="S134" s="51"/>
      <c r="T134" s="51"/>
      <c r="U134" s="51"/>
      <c r="V134" s="51"/>
      <c r="W134" s="51"/>
      <c r="X134" s="51"/>
      <c r="Y134" s="51"/>
      <c r="Z134" s="51"/>
      <c r="AA134" s="51"/>
      <c r="AB134" s="51"/>
    </row>
    <row r="135" customFormat="false" ht="15.75" hidden="false" customHeight="false" outlineLevel="0" collapsed="false">
      <c r="A135" s="71"/>
      <c r="B135" s="71"/>
      <c r="C135" s="6" t="s">
        <v>20</v>
      </c>
      <c r="D135" s="49"/>
      <c r="E135" s="75" t="n">
        <f aca="false">IFERROR(__xludf.dummyfunction("COUNTA(SPLIT(D135,"" ""))/COUNTA(SPLIT($B$47,"" ""))"),0.00476190476190476)</f>
        <v>0.004761904762</v>
      </c>
      <c r="F135" s="6"/>
      <c r="G135" s="6"/>
      <c r="H135" s="6"/>
      <c r="I135" s="6"/>
      <c r="J135" s="6"/>
      <c r="K135" s="51"/>
      <c r="L135" s="51"/>
      <c r="M135" s="51"/>
      <c r="N135" s="51"/>
      <c r="O135" s="51"/>
      <c r="P135" s="51"/>
      <c r="Q135" s="51"/>
      <c r="R135" s="51"/>
      <c r="S135" s="51"/>
      <c r="T135" s="51"/>
      <c r="U135" s="51"/>
      <c r="V135" s="51"/>
      <c r="W135" s="51"/>
      <c r="X135" s="51"/>
      <c r="Y135" s="51"/>
      <c r="Z135" s="51"/>
      <c r="AA135" s="51"/>
      <c r="AB135" s="51"/>
    </row>
    <row r="136" customFormat="false" ht="15.75" hidden="false" customHeight="false" outlineLevel="0" collapsed="false">
      <c r="A136" s="51"/>
      <c r="B136" s="51"/>
      <c r="C136" s="6"/>
      <c r="D136" s="49"/>
      <c r="E136" s="51"/>
      <c r="F136" s="6"/>
      <c r="G136" s="6"/>
      <c r="H136" s="6"/>
      <c r="I136" s="6"/>
      <c r="J136" s="6"/>
      <c r="K136" s="51"/>
      <c r="L136" s="51"/>
      <c r="M136" s="51"/>
      <c r="N136" s="51"/>
      <c r="O136" s="51"/>
      <c r="P136" s="51"/>
      <c r="Q136" s="51"/>
      <c r="R136" s="51"/>
      <c r="S136" s="51"/>
      <c r="T136" s="51"/>
      <c r="U136" s="51"/>
      <c r="V136" s="51"/>
      <c r="W136" s="51"/>
      <c r="X136" s="51"/>
      <c r="Y136" s="51"/>
      <c r="Z136" s="51"/>
      <c r="AA136" s="51"/>
      <c r="AB136" s="51"/>
    </row>
    <row r="137" customFormat="false" ht="15.75" hidden="false" customHeight="false" outlineLevel="0" collapsed="false">
      <c r="A137" s="71"/>
      <c r="B137" s="55"/>
      <c r="C137" s="56" t="s">
        <v>18</v>
      </c>
      <c r="D137" s="57"/>
      <c r="E137" s="72" t="n">
        <f aca="false">IFERROR(__xludf.dummyfunction("COUNTA(SPLIT(D137,"" ""))/COUNTA(SPLIT($B$47,"" ""))"),0.00476190476190476)</f>
        <v>0.004761904762</v>
      </c>
      <c r="F137" s="56"/>
      <c r="G137" s="56"/>
      <c r="H137" s="56"/>
      <c r="I137" s="56"/>
      <c r="J137" s="56"/>
      <c r="K137" s="59"/>
      <c r="L137" s="59"/>
      <c r="M137" s="59"/>
      <c r="N137" s="59"/>
      <c r="O137" s="59"/>
      <c r="P137" s="59"/>
      <c r="Q137" s="59"/>
      <c r="R137" s="59"/>
      <c r="S137" s="59"/>
      <c r="T137" s="59"/>
      <c r="U137" s="59"/>
      <c r="V137" s="59"/>
      <c r="W137" s="59"/>
      <c r="X137" s="59"/>
      <c r="Y137" s="59"/>
      <c r="Z137" s="59"/>
      <c r="AA137" s="59"/>
      <c r="AB137" s="59"/>
    </row>
    <row r="138" customFormat="false" ht="15.75" hidden="false" customHeight="false" outlineLevel="0" collapsed="false">
      <c r="A138" s="71"/>
      <c r="B138" s="71"/>
      <c r="C138" s="6" t="s">
        <v>19</v>
      </c>
      <c r="D138" s="49"/>
      <c r="E138" s="73" t="n">
        <f aca="false">IFERROR(__xludf.dummyfunction("COUNTA(SPLIT(D138,"" ""))/COUNTA(SPLIT($B$47,"" ""))"),0.00476190476190476)</f>
        <v>0.004761904762</v>
      </c>
      <c r="F138" s="6"/>
      <c r="G138" s="6"/>
      <c r="H138" s="6"/>
      <c r="I138" s="6"/>
      <c r="J138" s="6"/>
      <c r="K138" s="51"/>
      <c r="L138" s="51"/>
      <c r="M138" s="51"/>
      <c r="N138" s="51"/>
      <c r="O138" s="51"/>
      <c r="P138" s="51"/>
      <c r="Q138" s="51"/>
      <c r="R138" s="51"/>
      <c r="S138" s="51"/>
      <c r="T138" s="51"/>
      <c r="U138" s="51"/>
      <c r="V138" s="51"/>
      <c r="W138" s="51"/>
      <c r="X138" s="51"/>
      <c r="Y138" s="51"/>
      <c r="Z138" s="51"/>
      <c r="AA138" s="51"/>
      <c r="AB138" s="51"/>
    </row>
    <row r="139" customFormat="false" ht="15.75" hidden="false" customHeight="false" outlineLevel="0" collapsed="false">
      <c r="A139" s="71"/>
      <c r="B139" s="71"/>
      <c r="C139" s="6" t="s">
        <v>8</v>
      </c>
      <c r="D139" s="49"/>
      <c r="E139" s="74" t="n">
        <f aca="false">IFERROR(__xludf.dummyfunction("COUNTA(SPLIT(D139,"" ""))/COUNTA(SPLIT($B$47,"" ""))"),0.00476190476190476)</f>
        <v>0.004761904762</v>
      </c>
      <c r="F139" s="6"/>
      <c r="G139" s="6"/>
      <c r="H139" s="6"/>
      <c r="I139" s="6"/>
      <c r="J139" s="6"/>
      <c r="K139" s="51"/>
      <c r="L139" s="51"/>
      <c r="M139" s="51"/>
      <c r="N139" s="51"/>
      <c r="O139" s="51"/>
      <c r="P139" s="51"/>
      <c r="Q139" s="51"/>
      <c r="R139" s="51"/>
      <c r="S139" s="51"/>
      <c r="T139" s="51"/>
      <c r="U139" s="51"/>
      <c r="V139" s="51"/>
      <c r="W139" s="51"/>
      <c r="X139" s="51"/>
      <c r="Y139" s="51"/>
      <c r="Z139" s="51"/>
      <c r="AA139" s="51"/>
      <c r="AB139" s="51"/>
    </row>
    <row r="140" customFormat="false" ht="15.75" hidden="false" customHeight="false" outlineLevel="0" collapsed="false">
      <c r="A140" s="71"/>
      <c r="B140" s="71"/>
      <c r="C140" s="6" t="s">
        <v>20</v>
      </c>
      <c r="D140" s="49"/>
      <c r="E140" s="75" t="n">
        <f aca="false">IFERROR(__xludf.dummyfunction("COUNTA(SPLIT(D140,"" ""))/COUNTA(SPLIT($B$47,"" ""))"),0.00476190476190476)</f>
        <v>0.004761904762</v>
      </c>
      <c r="F140" s="6"/>
      <c r="G140" s="6"/>
      <c r="H140" s="6"/>
      <c r="I140" s="6"/>
      <c r="J140" s="6"/>
      <c r="K140" s="51"/>
      <c r="L140" s="51"/>
      <c r="M140" s="51"/>
      <c r="N140" s="51"/>
      <c r="O140" s="51"/>
      <c r="P140" s="51"/>
      <c r="Q140" s="51"/>
      <c r="R140" s="51"/>
      <c r="S140" s="51"/>
      <c r="T140" s="51"/>
      <c r="U140" s="51"/>
      <c r="V140" s="51"/>
      <c r="W140" s="51"/>
      <c r="X140" s="51"/>
      <c r="Y140" s="51"/>
      <c r="Z140" s="51"/>
      <c r="AA140" s="51"/>
      <c r="AB140" s="51"/>
    </row>
    <row r="141" customFormat="false" ht="15.75" hidden="false" customHeight="false" outlineLevel="0" collapsed="false">
      <c r="A141" s="51"/>
      <c r="B141" s="51"/>
      <c r="C141" s="6"/>
      <c r="D141" s="49"/>
      <c r="E141" s="51"/>
      <c r="F141" s="6"/>
      <c r="G141" s="6"/>
      <c r="H141" s="6"/>
      <c r="I141" s="6"/>
      <c r="J141" s="6"/>
      <c r="K141" s="51"/>
      <c r="L141" s="51"/>
      <c r="M141" s="51"/>
      <c r="N141" s="51"/>
      <c r="O141" s="51"/>
      <c r="P141" s="51"/>
      <c r="Q141" s="51"/>
      <c r="R141" s="51"/>
      <c r="S141" s="51"/>
      <c r="T141" s="51"/>
      <c r="U141" s="51"/>
      <c r="V141" s="51"/>
      <c r="W141" s="51"/>
      <c r="X141" s="51"/>
      <c r="Y141" s="51"/>
      <c r="Z141" s="51"/>
      <c r="AA141" s="51"/>
      <c r="AB141" s="51"/>
    </row>
    <row r="142" customFormat="false" ht="15.75" hidden="false" customHeight="false" outlineLevel="0" collapsed="false">
      <c r="A142" s="71"/>
      <c r="B142" s="55"/>
      <c r="C142" s="56" t="s">
        <v>18</v>
      </c>
      <c r="D142" s="57"/>
      <c r="E142" s="72" t="n">
        <f aca="false">IFERROR(__xludf.dummyfunction("COUNTA(SPLIT(D142,"" ""))/COUNTA(SPLIT($B$47,"" ""))"),0.00476190476190476)</f>
        <v>0.004761904762</v>
      </c>
      <c r="F142" s="56"/>
      <c r="G142" s="56"/>
      <c r="H142" s="56"/>
      <c r="I142" s="56"/>
      <c r="J142" s="56"/>
      <c r="K142" s="59"/>
      <c r="L142" s="59"/>
      <c r="M142" s="59"/>
      <c r="N142" s="59"/>
      <c r="O142" s="59"/>
      <c r="P142" s="59"/>
      <c r="Q142" s="59"/>
      <c r="R142" s="59"/>
      <c r="S142" s="59"/>
      <c r="T142" s="59"/>
      <c r="U142" s="59"/>
      <c r="V142" s="59"/>
      <c r="W142" s="59"/>
      <c r="X142" s="59"/>
      <c r="Y142" s="59"/>
      <c r="Z142" s="59"/>
      <c r="AA142" s="59"/>
      <c r="AB142" s="59"/>
    </row>
    <row r="143" customFormat="false" ht="15.75" hidden="false" customHeight="false" outlineLevel="0" collapsed="false">
      <c r="A143" s="71"/>
      <c r="B143" s="71"/>
      <c r="C143" s="6" t="s">
        <v>19</v>
      </c>
      <c r="D143" s="49"/>
      <c r="E143" s="73" t="n">
        <f aca="false">IFERROR(__xludf.dummyfunction("COUNTA(SPLIT(D143,"" ""))/COUNTA(SPLIT($B$47,"" ""))"),0.00476190476190476)</f>
        <v>0.004761904762</v>
      </c>
      <c r="F143" s="6"/>
      <c r="G143" s="6"/>
      <c r="H143" s="6"/>
      <c r="I143" s="6"/>
      <c r="J143" s="6"/>
      <c r="K143" s="51"/>
      <c r="L143" s="51"/>
      <c r="M143" s="51"/>
      <c r="N143" s="51"/>
      <c r="O143" s="51"/>
      <c r="P143" s="51"/>
      <c r="Q143" s="51"/>
      <c r="R143" s="51"/>
      <c r="S143" s="51"/>
      <c r="T143" s="51"/>
      <c r="U143" s="51"/>
      <c r="V143" s="51"/>
      <c r="W143" s="51"/>
      <c r="X143" s="51"/>
      <c r="Y143" s="51"/>
      <c r="Z143" s="51"/>
      <c r="AA143" s="51"/>
      <c r="AB143" s="51"/>
    </row>
    <row r="144" customFormat="false" ht="15.75" hidden="false" customHeight="false" outlineLevel="0" collapsed="false">
      <c r="A144" s="71"/>
      <c r="B144" s="71"/>
      <c r="C144" s="6" t="s">
        <v>8</v>
      </c>
      <c r="D144" s="49"/>
      <c r="E144" s="74" t="n">
        <f aca="false">IFERROR(__xludf.dummyfunction("COUNTA(SPLIT(D144,"" ""))/COUNTA(SPLIT($B$47,"" ""))"),0.00476190476190476)</f>
        <v>0.004761904762</v>
      </c>
      <c r="F144" s="6"/>
      <c r="G144" s="6"/>
      <c r="H144" s="6"/>
      <c r="I144" s="6"/>
      <c r="J144" s="6"/>
      <c r="K144" s="51"/>
      <c r="L144" s="51"/>
      <c r="M144" s="51"/>
      <c r="N144" s="51"/>
      <c r="O144" s="51"/>
      <c r="P144" s="51"/>
      <c r="Q144" s="51"/>
      <c r="R144" s="51"/>
      <c r="S144" s="51"/>
      <c r="T144" s="51"/>
      <c r="U144" s="51"/>
      <c r="V144" s="51"/>
      <c r="W144" s="51"/>
      <c r="X144" s="51"/>
      <c r="Y144" s="51"/>
      <c r="Z144" s="51"/>
      <c r="AA144" s="51"/>
      <c r="AB144" s="51"/>
    </row>
    <row r="145" customFormat="false" ht="15.75" hidden="false" customHeight="false" outlineLevel="0" collapsed="false">
      <c r="A145" s="71"/>
      <c r="B145" s="71"/>
      <c r="C145" s="6" t="s">
        <v>20</v>
      </c>
      <c r="D145" s="49"/>
      <c r="E145" s="75" t="n">
        <f aca="false">IFERROR(__xludf.dummyfunction("COUNTA(SPLIT(D145,"" ""))/COUNTA(SPLIT($B$47,"" ""))"),0.00476190476190476)</f>
        <v>0.004761904762</v>
      </c>
      <c r="F145" s="6"/>
      <c r="G145" s="6"/>
      <c r="H145" s="6"/>
      <c r="I145" s="6"/>
      <c r="J145" s="6"/>
      <c r="K145" s="51"/>
      <c r="L145" s="51"/>
      <c r="M145" s="51"/>
      <c r="N145" s="51"/>
      <c r="O145" s="51"/>
      <c r="P145" s="51"/>
      <c r="Q145" s="51"/>
      <c r="R145" s="51"/>
      <c r="S145" s="51"/>
      <c r="T145" s="51"/>
      <c r="U145" s="51"/>
      <c r="V145" s="51"/>
      <c r="W145" s="51"/>
      <c r="X145" s="51"/>
      <c r="Y145" s="51"/>
      <c r="Z145" s="51"/>
      <c r="AA145" s="51"/>
      <c r="AB145" s="51"/>
    </row>
    <row r="146" customFormat="false" ht="15.75" hidden="false" customHeight="false" outlineLevel="0" collapsed="false">
      <c r="A146" s="51"/>
      <c r="B146" s="51"/>
      <c r="C146" s="6"/>
      <c r="D146" s="49"/>
      <c r="E146" s="51"/>
      <c r="F146" s="6"/>
      <c r="G146" s="6"/>
      <c r="H146" s="6"/>
      <c r="I146" s="6"/>
      <c r="J146" s="6"/>
      <c r="K146" s="51"/>
      <c r="L146" s="51"/>
      <c r="M146" s="51"/>
      <c r="N146" s="51"/>
      <c r="O146" s="51"/>
      <c r="P146" s="51"/>
      <c r="Q146" s="51"/>
      <c r="R146" s="51"/>
      <c r="S146" s="51"/>
      <c r="T146" s="51"/>
      <c r="U146" s="51"/>
      <c r="V146" s="51"/>
      <c r="W146" s="51"/>
      <c r="X146" s="51"/>
      <c r="Y146" s="51"/>
      <c r="Z146" s="51"/>
      <c r="AA146" s="51"/>
      <c r="AB146" s="51"/>
    </row>
    <row r="147" customFormat="false" ht="15.75" hidden="false" customHeight="false" outlineLevel="0" collapsed="false">
      <c r="A147" s="71"/>
      <c r="B147" s="55"/>
      <c r="C147" s="56" t="s">
        <v>18</v>
      </c>
      <c r="D147" s="57"/>
      <c r="E147" s="72" t="n">
        <f aca="false">IFERROR(__xludf.dummyfunction("COUNTA(SPLIT(D147,"" ""))/COUNTA(SPLIT($B$47,"" ""))"),0.00476190476190476)</f>
        <v>0.004761904762</v>
      </c>
      <c r="F147" s="56"/>
      <c r="G147" s="56"/>
      <c r="H147" s="56"/>
      <c r="I147" s="56"/>
      <c r="J147" s="56"/>
      <c r="K147" s="59"/>
      <c r="L147" s="59"/>
      <c r="M147" s="59"/>
      <c r="N147" s="59"/>
      <c r="O147" s="59"/>
      <c r="P147" s="59"/>
      <c r="Q147" s="59"/>
      <c r="R147" s="59"/>
      <c r="S147" s="59"/>
      <c r="T147" s="59"/>
      <c r="U147" s="59"/>
      <c r="V147" s="59"/>
      <c r="W147" s="59"/>
      <c r="X147" s="59"/>
      <c r="Y147" s="59"/>
      <c r="Z147" s="59"/>
      <c r="AA147" s="59"/>
      <c r="AB147" s="59"/>
    </row>
    <row r="148" customFormat="false" ht="15.75" hidden="false" customHeight="false" outlineLevel="0" collapsed="false">
      <c r="A148" s="71"/>
      <c r="B148" s="71"/>
      <c r="C148" s="6" t="s">
        <v>19</v>
      </c>
      <c r="D148" s="49"/>
      <c r="E148" s="73" t="n">
        <f aca="false">IFERROR(__xludf.dummyfunction("COUNTA(SPLIT(D148,"" ""))/COUNTA(SPLIT($B$47,"" ""))"),0.00476190476190476)</f>
        <v>0.004761904762</v>
      </c>
      <c r="F148" s="6"/>
      <c r="G148" s="6"/>
      <c r="H148" s="6"/>
      <c r="I148" s="6"/>
      <c r="J148" s="6"/>
      <c r="K148" s="51"/>
      <c r="L148" s="51"/>
      <c r="M148" s="51"/>
      <c r="N148" s="51"/>
      <c r="O148" s="51"/>
      <c r="P148" s="51"/>
      <c r="Q148" s="51"/>
      <c r="R148" s="51"/>
      <c r="S148" s="51"/>
      <c r="T148" s="51"/>
      <c r="U148" s="51"/>
      <c r="V148" s="51"/>
      <c r="W148" s="51"/>
      <c r="X148" s="51"/>
      <c r="Y148" s="51"/>
      <c r="Z148" s="51"/>
      <c r="AA148" s="51"/>
      <c r="AB148" s="51"/>
    </row>
    <row r="149" customFormat="false" ht="15.75" hidden="false" customHeight="false" outlineLevel="0" collapsed="false">
      <c r="A149" s="71"/>
      <c r="B149" s="71"/>
      <c r="C149" s="6" t="s">
        <v>8</v>
      </c>
      <c r="D149" s="49"/>
      <c r="E149" s="74" t="n">
        <f aca="false">IFERROR(__xludf.dummyfunction("COUNTA(SPLIT(D149,"" ""))/COUNTA(SPLIT($B$47,"" ""))"),0.00476190476190476)</f>
        <v>0.004761904762</v>
      </c>
      <c r="F149" s="6"/>
      <c r="G149" s="6"/>
      <c r="H149" s="6"/>
      <c r="I149" s="6"/>
      <c r="J149" s="6"/>
      <c r="K149" s="51"/>
      <c r="L149" s="51"/>
      <c r="M149" s="51"/>
      <c r="N149" s="51"/>
      <c r="O149" s="51"/>
      <c r="P149" s="51"/>
      <c r="Q149" s="51"/>
      <c r="R149" s="51"/>
      <c r="S149" s="51"/>
      <c r="T149" s="51"/>
      <c r="U149" s="51"/>
      <c r="V149" s="51"/>
      <c r="W149" s="51"/>
      <c r="X149" s="51"/>
      <c r="Y149" s="51"/>
      <c r="Z149" s="51"/>
      <c r="AA149" s="51"/>
      <c r="AB149" s="51"/>
    </row>
    <row r="150" customFormat="false" ht="15.75" hidden="false" customHeight="false" outlineLevel="0" collapsed="false">
      <c r="A150" s="71"/>
      <c r="B150" s="71"/>
      <c r="C150" s="6" t="s">
        <v>20</v>
      </c>
      <c r="D150" s="49"/>
      <c r="E150" s="75" t="n">
        <f aca="false">IFERROR(__xludf.dummyfunction("COUNTA(SPLIT(D150,"" ""))/COUNTA(SPLIT($B$47,"" ""))"),0.00476190476190476)</f>
        <v>0.004761904762</v>
      </c>
      <c r="F150" s="6"/>
      <c r="G150" s="6"/>
      <c r="H150" s="6"/>
      <c r="I150" s="6"/>
      <c r="J150" s="6"/>
      <c r="K150" s="51"/>
      <c r="L150" s="51"/>
      <c r="M150" s="51"/>
      <c r="N150" s="51"/>
      <c r="O150" s="51"/>
      <c r="P150" s="51"/>
      <c r="Q150" s="51"/>
      <c r="R150" s="51"/>
      <c r="S150" s="51"/>
      <c r="T150" s="51"/>
      <c r="U150" s="51"/>
      <c r="V150" s="51"/>
      <c r="W150" s="51"/>
      <c r="X150" s="51"/>
      <c r="Y150" s="51"/>
      <c r="Z150" s="51"/>
      <c r="AA150" s="51"/>
      <c r="AB150" s="51"/>
    </row>
    <row r="151" customFormat="false" ht="15.75" hidden="false" customHeight="false" outlineLevel="0" collapsed="false">
      <c r="A151" s="51"/>
      <c r="B151" s="51"/>
      <c r="C151" s="6"/>
      <c r="D151" s="49"/>
      <c r="E151" s="51"/>
      <c r="F151" s="6"/>
      <c r="G151" s="6"/>
      <c r="H151" s="6"/>
      <c r="I151" s="6"/>
      <c r="J151" s="6"/>
      <c r="K151" s="51"/>
      <c r="L151" s="51"/>
      <c r="M151" s="51"/>
      <c r="N151" s="51"/>
      <c r="O151" s="51"/>
      <c r="P151" s="51"/>
      <c r="Q151" s="51"/>
      <c r="R151" s="51"/>
      <c r="S151" s="51"/>
      <c r="T151" s="51"/>
      <c r="U151" s="51"/>
      <c r="V151" s="51"/>
      <c r="W151" s="51"/>
      <c r="X151" s="51"/>
      <c r="Y151" s="51"/>
      <c r="Z151" s="51"/>
      <c r="AA151" s="51"/>
      <c r="AB151" s="51"/>
    </row>
    <row r="152" customFormat="false" ht="15.75" hidden="false" customHeight="false" outlineLevel="0" collapsed="false">
      <c r="A152" s="71"/>
      <c r="B152" s="55"/>
      <c r="C152" s="56" t="s">
        <v>18</v>
      </c>
      <c r="D152" s="57"/>
      <c r="E152" s="72" t="n">
        <f aca="false">IFERROR(__xludf.dummyfunction("COUNTA(SPLIT(D152,"" ""))/COUNTA(SPLIT($B$47,"" ""))"),0.00476190476190476)</f>
        <v>0.004761904762</v>
      </c>
      <c r="F152" s="56"/>
      <c r="G152" s="56"/>
      <c r="H152" s="56"/>
      <c r="I152" s="56"/>
      <c r="J152" s="56"/>
      <c r="K152" s="59"/>
      <c r="L152" s="59"/>
      <c r="M152" s="59"/>
      <c r="N152" s="59"/>
      <c r="O152" s="59"/>
      <c r="P152" s="59"/>
      <c r="Q152" s="59"/>
      <c r="R152" s="59"/>
      <c r="S152" s="59"/>
      <c r="T152" s="59"/>
      <c r="U152" s="59"/>
      <c r="V152" s="59"/>
      <c r="W152" s="59"/>
      <c r="X152" s="59"/>
      <c r="Y152" s="59"/>
      <c r="Z152" s="59"/>
      <c r="AA152" s="59"/>
      <c r="AB152" s="59"/>
    </row>
    <row r="153" customFormat="false" ht="15.75" hidden="false" customHeight="false" outlineLevel="0" collapsed="false">
      <c r="A153" s="71"/>
      <c r="B153" s="71"/>
      <c r="C153" s="6" t="s">
        <v>19</v>
      </c>
      <c r="D153" s="49"/>
      <c r="E153" s="73" t="n">
        <f aca="false">IFERROR(__xludf.dummyfunction("COUNTA(SPLIT(D153,"" ""))/COUNTA(SPLIT($B$47,"" ""))"),0.00476190476190476)</f>
        <v>0.004761904762</v>
      </c>
      <c r="F153" s="6"/>
      <c r="G153" s="6"/>
      <c r="H153" s="6"/>
      <c r="I153" s="6"/>
      <c r="J153" s="6"/>
      <c r="K153" s="51"/>
      <c r="L153" s="51"/>
      <c r="M153" s="51"/>
      <c r="N153" s="51"/>
      <c r="O153" s="51"/>
      <c r="P153" s="51"/>
      <c r="Q153" s="51"/>
      <c r="R153" s="51"/>
      <c r="S153" s="51"/>
      <c r="T153" s="51"/>
      <c r="U153" s="51"/>
      <c r="V153" s="51"/>
      <c r="W153" s="51"/>
      <c r="X153" s="51"/>
      <c r="Y153" s="51"/>
      <c r="Z153" s="51"/>
      <c r="AA153" s="51"/>
      <c r="AB153" s="51"/>
    </row>
    <row r="154" customFormat="false" ht="15.75" hidden="false" customHeight="false" outlineLevel="0" collapsed="false">
      <c r="A154" s="71"/>
      <c r="B154" s="71"/>
      <c r="C154" s="6" t="s">
        <v>8</v>
      </c>
      <c r="D154" s="49"/>
      <c r="E154" s="74" t="n">
        <f aca="false">IFERROR(__xludf.dummyfunction("COUNTA(SPLIT(D154,"" ""))/COUNTA(SPLIT($B$47,"" ""))"),0.00476190476190476)</f>
        <v>0.004761904762</v>
      </c>
      <c r="F154" s="6"/>
      <c r="G154" s="6"/>
      <c r="H154" s="6"/>
      <c r="I154" s="6"/>
      <c r="J154" s="6"/>
      <c r="K154" s="51"/>
      <c r="L154" s="51"/>
      <c r="M154" s="51"/>
      <c r="N154" s="51"/>
      <c r="O154" s="51"/>
      <c r="P154" s="51"/>
      <c r="Q154" s="51"/>
      <c r="R154" s="51"/>
      <c r="S154" s="51"/>
      <c r="T154" s="51"/>
      <c r="U154" s="51"/>
      <c r="V154" s="51"/>
      <c r="W154" s="51"/>
      <c r="X154" s="51"/>
      <c r="Y154" s="51"/>
      <c r="Z154" s="51"/>
      <c r="AA154" s="51"/>
      <c r="AB154" s="51"/>
    </row>
    <row r="155" customFormat="false" ht="15.75" hidden="false" customHeight="false" outlineLevel="0" collapsed="false">
      <c r="A155" s="71"/>
      <c r="B155" s="71"/>
      <c r="C155" s="6" t="s">
        <v>20</v>
      </c>
      <c r="D155" s="49"/>
      <c r="E155" s="75" t="n">
        <f aca="false">IFERROR(__xludf.dummyfunction("COUNTA(SPLIT(D155,"" ""))/COUNTA(SPLIT($B$47,"" ""))"),0.00476190476190476)</f>
        <v>0.004761904762</v>
      </c>
      <c r="F155" s="6"/>
      <c r="G155" s="6"/>
      <c r="H155" s="6"/>
      <c r="I155" s="6"/>
      <c r="J155" s="6"/>
      <c r="K155" s="51"/>
      <c r="L155" s="51"/>
      <c r="M155" s="51"/>
      <c r="N155" s="51"/>
      <c r="O155" s="51"/>
      <c r="P155" s="51"/>
      <c r="Q155" s="51"/>
      <c r="R155" s="51"/>
      <c r="S155" s="51"/>
      <c r="T155" s="51"/>
      <c r="U155" s="51"/>
      <c r="V155" s="51"/>
      <c r="W155" s="51"/>
      <c r="X155" s="51"/>
      <c r="Y155" s="51"/>
      <c r="Z155" s="51"/>
      <c r="AA155" s="51"/>
      <c r="AB155" s="51"/>
    </row>
    <row r="156" customFormat="false" ht="15.75" hidden="false" customHeight="false" outlineLevel="0" collapsed="false">
      <c r="A156" s="51"/>
      <c r="B156" s="51"/>
      <c r="C156" s="6"/>
      <c r="D156" s="49"/>
      <c r="E156" s="51"/>
      <c r="F156" s="6"/>
      <c r="G156" s="6"/>
      <c r="H156" s="6"/>
      <c r="I156" s="6"/>
      <c r="J156" s="6"/>
      <c r="K156" s="51"/>
      <c r="L156" s="51"/>
      <c r="M156" s="51"/>
      <c r="N156" s="51"/>
      <c r="O156" s="51"/>
      <c r="P156" s="51"/>
      <c r="Q156" s="51"/>
      <c r="R156" s="51"/>
      <c r="S156" s="51"/>
      <c r="T156" s="51"/>
      <c r="U156" s="51"/>
      <c r="V156" s="51"/>
      <c r="W156" s="51"/>
      <c r="X156" s="51"/>
      <c r="Y156" s="51"/>
      <c r="Z156" s="51"/>
      <c r="AA156" s="51"/>
      <c r="AB156" s="51"/>
    </row>
    <row r="157" customFormat="false" ht="15.75" hidden="false" customHeight="false" outlineLevel="0" collapsed="false">
      <c r="A157" s="71"/>
      <c r="B157" s="55"/>
      <c r="C157" s="56" t="s">
        <v>18</v>
      </c>
      <c r="D157" s="57"/>
      <c r="E157" s="72" t="n">
        <f aca="false">IFERROR(__xludf.dummyfunction("COUNTA(SPLIT(D157,"" ""))/COUNTA(SPLIT($B$47,"" ""))"),0.00476190476190476)</f>
        <v>0.004761904762</v>
      </c>
      <c r="F157" s="56"/>
      <c r="G157" s="56"/>
      <c r="H157" s="56"/>
      <c r="I157" s="56"/>
      <c r="J157" s="56"/>
      <c r="K157" s="59"/>
      <c r="L157" s="59"/>
      <c r="M157" s="59"/>
      <c r="N157" s="59"/>
      <c r="O157" s="59"/>
      <c r="P157" s="59"/>
      <c r="Q157" s="59"/>
      <c r="R157" s="59"/>
      <c r="S157" s="59"/>
      <c r="T157" s="59"/>
      <c r="U157" s="59"/>
      <c r="V157" s="59"/>
      <c r="W157" s="59"/>
      <c r="X157" s="59"/>
      <c r="Y157" s="59"/>
      <c r="Z157" s="59"/>
      <c r="AA157" s="59"/>
      <c r="AB157" s="59"/>
    </row>
    <row r="158" customFormat="false" ht="15.75" hidden="false" customHeight="false" outlineLevel="0" collapsed="false">
      <c r="A158" s="71"/>
      <c r="B158" s="71"/>
      <c r="C158" s="6" t="s">
        <v>19</v>
      </c>
      <c r="D158" s="49"/>
      <c r="E158" s="73" t="n">
        <f aca="false">IFERROR(__xludf.dummyfunction("COUNTA(SPLIT(D158,"" ""))/COUNTA(SPLIT($B$47,"" ""))"),0.00476190476190476)</f>
        <v>0.004761904762</v>
      </c>
      <c r="F158" s="6"/>
      <c r="G158" s="6"/>
      <c r="H158" s="6"/>
      <c r="I158" s="6"/>
      <c r="J158" s="6"/>
      <c r="K158" s="51"/>
      <c r="L158" s="51"/>
      <c r="M158" s="51"/>
      <c r="N158" s="51"/>
      <c r="O158" s="51"/>
      <c r="P158" s="51"/>
      <c r="Q158" s="51"/>
      <c r="R158" s="51"/>
      <c r="S158" s="51"/>
      <c r="T158" s="51"/>
      <c r="U158" s="51"/>
      <c r="V158" s="51"/>
      <c r="W158" s="51"/>
      <c r="X158" s="51"/>
      <c r="Y158" s="51"/>
      <c r="Z158" s="51"/>
      <c r="AA158" s="51"/>
      <c r="AB158" s="51"/>
    </row>
    <row r="159" customFormat="false" ht="15.75" hidden="false" customHeight="false" outlineLevel="0" collapsed="false">
      <c r="A159" s="71"/>
      <c r="B159" s="71"/>
      <c r="C159" s="6" t="s">
        <v>8</v>
      </c>
      <c r="D159" s="49"/>
      <c r="E159" s="74" t="n">
        <f aca="false">IFERROR(__xludf.dummyfunction("COUNTA(SPLIT(D159,"" ""))/COUNTA(SPLIT($B$47,"" ""))"),0.00476190476190476)</f>
        <v>0.004761904762</v>
      </c>
      <c r="F159" s="6"/>
      <c r="G159" s="6"/>
      <c r="H159" s="6"/>
      <c r="I159" s="6"/>
      <c r="J159" s="6"/>
      <c r="K159" s="51"/>
      <c r="L159" s="51"/>
      <c r="M159" s="51"/>
      <c r="N159" s="51"/>
      <c r="O159" s="51"/>
      <c r="P159" s="51"/>
      <c r="Q159" s="51"/>
      <c r="R159" s="51"/>
      <c r="S159" s="51"/>
      <c r="T159" s="51"/>
      <c r="U159" s="51"/>
      <c r="V159" s="51"/>
      <c r="W159" s="51"/>
      <c r="X159" s="51"/>
      <c r="Y159" s="51"/>
      <c r="Z159" s="51"/>
      <c r="AA159" s="51"/>
      <c r="AB159" s="51"/>
    </row>
    <row r="160" customFormat="false" ht="15.75" hidden="false" customHeight="false" outlineLevel="0" collapsed="false">
      <c r="A160" s="71"/>
      <c r="B160" s="71"/>
      <c r="C160" s="6" t="s">
        <v>20</v>
      </c>
      <c r="D160" s="49"/>
      <c r="E160" s="75" t="n">
        <f aca="false">IFERROR(__xludf.dummyfunction("COUNTA(SPLIT(D160,"" ""))/COUNTA(SPLIT($B$47,"" ""))"),0.00476190476190476)</f>
        <v>0.004761904762</v>
      </c>
      <c r="F160" s="6"/>
      <c r="G160" s="6"/>
      <c r="H160" s="6"/>
      <c r="I160" s="6"/>
      <c r="J160" s="6"/>
      <c r="K160" s="51"/>
      <c r="L160" s="51"/>
      <c r="M160" s="51"/>
      <c r="N160" s="51"/>
      <c r="O160" s="51"/>
      <c r="P160" s="51"/>
      <c r="Q160" s="51"/>
      <c r="R160" s="51"/>
      <c r="S160" s="51"/>
      <c r="T160" s="51"/>
      <c r="U160" s="51"/>
      <c r="V160" s="51"/>
      <c r="W160" s="51"/>
      <c r="X160" s="51"/>
      <c r="Y160" s="51"/>
      <c r="Z160" s="51"/>
      <c r="AA160" s="51"/>
      <c r="AB160" s="51"/>
    </row>
    <row r="161" customFormat="false" ht="15.75" hidden="false" customHeight="false" outlineLevel="0" collapsed="false">
      <c r="A161" s="51"/>
      <c r="B161" s="51"/>
      <c r="C161" s="6"/>
      <c r="D161" s="49"/>
      <c r="E161" s="51"/>
      <c r="F161" s="6"/>
      <c r="G161" s="6"/>
      <c r="H161" s="6"/>
      <c r="I161" s="6"/>
      <c r="J161" s="6"/>
      <c r="K161" s="51"/>
      <c r="L161" s="51"/>
      <c r="M161" s="51"/>
      <c r="N161" s="51"/>
      <c r="O161" s="51"/>
      <c r="P161" s="51"/>
      <c r="Q161" s="51"/>
      <c r="R161" s="51"/>
      <c r="S161" s="51"/>
      <c r="T161" s="51"/>
      <c r="U161" s="51"/>
      <c r="V161" s="51"/>
      <c r="W161" s="51"/>
      <c r="X161" s="51"/>
      <c r="Y161" s="51"/>
      <c r="Z161" s="51"/>
      <c r="AA161" s="51"/>
      <c r="AB161" s="51"/>
    </row>
    <row r="162" customFormat="false" ht="15.75" hidden="false" customHeight="false" outlineLevel="0" collapsed="false">
      <c r="A162" s="71"/>
      <c r="B162" s="55"/>
      <c r="C162" s="56" t="s">
        <v>18</v>
      </c>
      <c r="D162" s="57"/>
      <c r="E162" s="72" t="n">
        <f aca="false">IFERROR(__xludf.dummyfunction("COUNTA(SPLIT(D162,"" ""))/COUNTA(SPLIT($B$47,"" ""))"),0.00476190476190476)</f>
        <v>0.004761904762</v>
      </c>
      <c r="F162" s="56"/>
      <c r="G162" s="56"/>
      <c r="H162" s="56"/>
      <c r="I162" s="56"/>
      <c r="J162" s="56"/>
      <c r="K162" s="59"/>
      <c r="L162" s="59"/>
      <c r="M162" s="59"/>
      <c r="N162" s="59"/>
      <c r="O162" s="59"/>
      <c r="P162" s="59"/>
      <c r="Q162" s="59"/>
      <c r="R162" s="59"/>
      <c r="S162" s="59"/>
      <c r="T162" s="59"/>
      <c r="U162" s="59"/>
      <c r="V162" s="59"/>
      <c r="W162" s="59"/>
      <c r="X162" s="59"/>
      <c r="Y162" s="59"/>
      <c r="Z162" s="59"/>
      <c r="AA162" s="59"/>
      <c r="AB162" s="59"/>
    </row>
    <row r="163" customFormat="false" ht="15.75" hidden="false" customHeight="false" outlineLevel="0" collapsed="false">
      <c r="A163" s="71"/>
      <c r="B163" s="71"/>
      <c r="C163" s="6" t="s">
        <v>19</v>
      </c>
      <c r="D163" s="49"/>
      <c r="E163" s="73" t="n">
        <f aca="false">IFERROR(__xludf.dummyfunction("COUNTA(SPLIT(D163,"" ""))/COUNTA(SPLIT($B$47,"" ""))"),0.00476190476190476)</f>
        <v>0.004761904762</v>
      </c>
      <c r="F163" s="6"/>
      <c r="G163" s="6"/>
      <c r="H163" s="6"/>
      <c r="I163" s="6"/>
      <c r="J163" s="6"/>
      <c r="K163" s="51"/>
      <c r="L163" s="51"/>
      <c r="M163" s="51"/>
      <c r="N163" s="51"/>
      <c r="O163" s="51"/>
      <c r="P163" s="51"/>
      <c r="Q163" s="51"/>
      <c r="R163" s="51"/>
      <c r="S163" s="51"/>
      <c r="T163" s="51"/>
      <c r="U163" s="51"/>
      <c r="V163" s="51"/>
      <c r="W163" s="51"/>
      <c r="X163" s="51"/>
      <c r="Y163" s="51"/>
      <c r="Z163" s="51"/>
      <c r="AA163" s="51"/>
      <c r="AB163" s="51"/>
    </row>
    <row r="164" customFormat="false" ht="15.75" hidden="false" customHeight="false" outlineLevel="0" collapsed="false">
      <c r="A164" s="71"/>
      <c r="B164" s="71"/>
      <c r="C164" s="6" t="s">
        <v>8</v>
      </c>
      <c r="D164" s="49"/>
      <c r="E164" s="74" t="n">
        <f aca="false">IFERROR(__xludf.dummyfunction("COUNTA(SPLIT(D164,"" ""))/COUNTA(SPLIT($B$47,"" ""))"),0.00476190476190476)</f>
        <v>0.004761904762</v>
      </c>
      <c r="F164" s="6"/>
      <c r="G164" s="6"/>
      <c r="H164" s="6"/>
      <c r="I164" s="6"/>
      <c r="J164" s="6"/>
      <c r="K164" s="51"/>
      <c r="L164" s="51"/>
      <c r="M164" s="51"/>
      <c r="N164" s="51"/>
      <c r="O164" s="51"/>
      <c r="P164" s="51"/>
      <c r="Q164" s="51"/>
      <c r="R164" s="51"/>
      <c r="S164" s="51"/>
      <c r="T164" s="51"/>
      <c r="U164" s="51"/>
      <c r="V164" s="51"/>
      <c r="W164" s="51"/>
      <c r="X164" s="51"/>
      <c r="Y164" s="51"/>
      <c r="Z164" s="51"/>
      <c r="AA164" s="51"/>
      <c r="AB164" s="51"/>
    </row>
    <row r="165" customFormat="false" ht="15.75" hidden="false" customHeight="false" outlineLevel="0" collapsed="false">
      <c r="A165" s="71"/>
      <c r="B165" s="71"/>
      <c r="C165" s="6" t="s">
        <v>20</v>
      </c>
      <c r="D165" s="49"/>
      <c r="E165" s="75" t="n">
        <f aca="false">IFERROR(__xludf.dummyfunction("COUNTA(SPLIT(D165,"" ""))/COUNTA(SPLIT($B$47,"" ""))"),0.00476190476190476)</f>
        <v>0.004761904762</v>
      </c>
      <c r="F165" s="6"/>
      <c r="G165" s="6"/>
      <c r="H165" s="6"/>
      <c r="I165" s="6"/>
      <c r="J165" s="6"/>
      <c r="K165" s="51"/>
      <c r="L165" s="51"/>
      <c r="M165" s="51"/>
      <c r="N165" s="51"/>
      <c r="O165" s="51"/>
      <c r="P165" s="51"/>
      <c r="Q165" s="51"/>
      <c r="R165" s="51"/>
      <c r="S165" s="51"/>
      <c r="T165" s="51"/>
      <c r="U165" s="51"/>
      <c r="V165" s="51"/>
      <c r="W165" s="51"/>
      <c r="X165" s="51"/>
      <c r="Y165" s="51"/>
      <c r="Z165" s="51"/>
      <c r="AA165" s="51"/>
      <c r="AB165" s="51"/>
    </row>
    <row r="166" customFormat="false" ht="15.75" hidden="false" customHeight="false" outlineLevel="0" collapsed="false">
      <c r="A166" s="51"/>
      <c r="B166" s="51"/>
      <c r="C166" s="6"/>
      <c r="D166" s="49"/>
      <c r="E166" s="51"/>
      <c r="F166" s="6"/>
      <c r="G166" s="6"/>
      <c r="H166" s="6"/>
      <c r="I166" s="6"/>
      <c r="J166" s="6"/>
      <c r="K166" s="51"/>
      <c r="L166" s="51"/>
      <c r="M166" s="51"/>
      <c r="N166" s="51"/>
      <c r="O166" s="51"/>
      <c r="P166" s="51"/>
      <c r="Q166" s="51"/>
      <c r="R166" s="51"/>
      <c r="S166" s="51"/>
      <c r="T166" s="51"/>
      <c r="U166" s="51"/>
      <c r="V166" s="51"/>
      <c r="W166" s="51"/>
      <c r="X166" s="51"/>
      <c r="Y166" s="51"/>
      <c r="Z166" s="51"/>
      <c r="AA166" s="51"/>
      <c r="AB166" s="51"/>
    </row>
    <row r="167" customFormat="false" ht="15.75" hidden="false" customHeight="false" outlineLevel="0" collapsed="false">
      <c r="A167" s="51"/>
      <c r="B167" s="51"/>
      <c r="C167" s="6"/>
      <c r="D167" s="49"/>
      <c r="E167" s="51"/>
      <c r="F167" s="6"/>
      <c r="G167" s="6"/>
      <c r="H167" s="6"/>
      <c r="I167" s="6"/>
      <c r="J167" s="6"/>
      <c r="K167" s="51"/>
      <c r="L167" s="51"/>
      <c r="M167" s="51"/>
      <c r="N167" s="51"/>
      <c r="O167" s="51"/>
      <c r="P167" s="51"/>
      <c r="Q167" s="51"/>
      <c r="R167" s="51"/>
      <c r="S167" s="51"/>
      <c r="T167" s="51"/>
      <c r="U167" s="51"/>
      <c r="V167" s="51"/>
      <c r="W167" s="51"/>
      <c r="X167" s="51"/>
      <c r="Y167" s="51"/>
      <c r="Z167" s="51"/>
      <c r="AA167" s="51"/>
      <c r="AB167" s="51"/>
    </row>
    <row r="168" customFormat="false" ht="15.75" hidden="false" customHeight="false" outlineLevel="0" collapsed="false">
      <c r="A168" s="51"/>
      <c r="B168" s="51"/>
      <c r="C168" s="6"/>
      <c r="D168" s="49"/>
      <c r="E168" s="51"/>
      <c r="F168" s="6"/>
      <c r="G168" s="6"/>
      <c r="H168" s="6"/>
      <c r="I168" s="6"/>
      <c r="J168" s="6"/>
      <c r="K168" s="51"/>
      <c r="L168" s="51"/>
      <c r="M168" s="51"/>
      <c r="N168" s="51"/>
      <c r="O168" s="51"/>
      <c r="P168" s="51"/>
      <c r="Q168" s="51"/>
      <c r="R168" s="51"/>
      <c r="S168" s="51"/>
      <c r="T168" s="51"/>
      <c r="U168" s="51"/>
      <c r="V168" s="51"/>
      <c r="W168" s="51"/>
      <c r="X168" s="51"/>
      <c r="Y168" s="51"/>
      <c r="Z168" s="51"/>
      <c r="AA168" s="51"/>
      <c r="AB168" s="51"/>
    </row>
    <row r="169" customFormat="false" ht="15.75" hidden="false" customHeight="false" outlineLevel="0" collapsed="false">
      <c r="A169" s="51"/>
      <c r="B169" s="51"/>
      <c r="C169" s="6"/>
      <c r="D169" s="49"/>
      <c r="E169" s="51"/>
      <c r="F169" s="6"/>
      <c r="G169" s="6"/>
      <c r="H169" s="6"/>
      <c r="I169" s="6"/>
      <c r="J169" s="6"/>
      <c r="K169" s="51"/>
      <c r="L169" s="51"/>
      <c r="M169" s="51"/>
      <c r="N169" s="51"/>
      <c r="O169" s="51"/>
      <c r="P169" s="51"/>
      <c r="Q169" s="51"/>
      <c r="R169" s="51"/>
      <c r="S169" s="51"/>
      <c r="T169" s="51"/>
      <c r="U169" s="51"/>
      <c r="V169" s="51"/>
      <c r="W169" s="51"/>
      <c r="X169" s="51"/>
      <c r="Y169" s="51"/>
      <c r="Z169" s="51"/>
      <c r="AA169" s="51"/>
      <c r="AB169" s="51"/>
    </row>
    <row r="170" customFormat="false" ht="15.75" hidden="false" customHeight="false" outlineLevel="0" collapsed="false">
      <c r="A170" s="51"/>
      <c r="B170" s="51"/>
      <c r="C170" s="6"/>
      <c r="D170" s="49"/>
      <c r="E170" s="51"/>
      <c r="F170" s="6"/>
      <c r="G170" s="6"/>
      <c r="H170" s="6"/>
      <c r="I170" s="6"/>
      <c r="J170" s="6"/>
      <c r="K170" s="51"/>
      <c r="L170" s="51"/>
      <c r="M170" s="51"/>
      <c r="N170" s="51"/>
      <c r="O170" s="51"/>
      <c r="P170" s="51"/>
      <c r="Q170" s="51"/>
      <c r="R170" s="51"/>
      <c r="S170" s="51"/>
      <c r="T170" s="51"/>
      <c r="U170" s="51"/>
      <c r="V170" s="51"/>
      <c r="W170" s="51"/>
      <c r="X170" s="51"/>
      <c r="Y170" s="51"/>
      <c r="Z170" s="51"/>
      <c r="AA170" s="51"/>
      <c r="AB170" s="51"/>
    </row>
    <row r="171" customFormat="false" ht="15.75" hidden="false" customHeight="false" outlineLevel="0" collapsed="false">
      <c r="A171" s="51"/>
      <c r="B171" s="51"/>
      <c r="C171" s="6"/>
      <c r="D171" s="49"/>
      <c r="E171" s="51"/>
      <c r="F171" s="6"/>
      <c r="G171" s="6"/>
      <c r="H171" s="6"/>
      <c r="I171" s="6"/>
      <c r="J171" s="6"/>
      <c r="K171" s="51"/>
      <c r="L171" s="51"/>
      <c r="M171" s="51"/>
      <c r="N171" s="51"/>
      <c r="O171" s="51"/>
      <c r="P171" s="51"/>
      <c r="Q171" s="51"/>
      <c r="R171" s="51"/>
      <c r="S171" s="51"/>
      <c r="T171" s="51"/>
      <c r="U171" s="51"/>
      <c r="V171" s="51"/>
      <c r="W171" s="51"/>
      <c r="X171" s="51"/>
      <c r="Y171" s="51"/>
      <c r="Z171" s="51"/>
      <c r="AA171" s="51"/>
      <c r="AB171" s="51"/>
    </row>
    <row r="172" customFormat="false" ht="15.75" hidden="false" customHeight="false" outlineLevel="0" collapsed="false">
      <c r="A172" s="51"/>
      <c r="B172" s="51"/>
      <c r="C172" s="6"/>
      <c r="D172" s="49"/>
      <c r="E172" s="51"/>
      <c r="F172" s="6"/>
      <c r="G172" s="6"/>
      <c r="H172" s="6"/>
      <c r="I172" s="6"/>
      <c r="J172" s="6"/>
      <c r="K172" s="51"/>
      <c r="L172" s="51"/>
      <c r="M172" s="51"/>
      <c r="N172" s="51"/>
      <c r="O172" s="51"/>
      <c r="P172" s="51"/>
      <c r="Q172" s="51"/>
      <c r="R172" s="51"/>
      <c r="S172" s="51"/>
      <c r="T172" s="51"/>
      <c r="U172" s="51"/>
      <c r="V172" s="51"/>
      <c r="W172" s="51"/>
      <c r="X172" s="51"/>
      <c r="Y172" s="51"/>
      <c r="Z172" s="51"/>
      <c r="AA172" s="51"/>
      <c r="AB172" s="51"/>
    </row>
    <row r="173" customFormat="false" ht="15.75" hidden="false" customHeight="false" outlineLevel="0" collapsed="false">
      <c r="A173" s="51"/>
      <c r="B173" s="51"/>
      <c r="C173" s="6"/>
      <c r="D173" s="49"/>
      <c r="E173" s="51"/>
      <c r="F173" s="6"/>
      <c r="G173" s="6"/>
      <c r="H173" s="6"/>
      <c r="I173" s="6"/>
      <c r="J173" s="6"/>
      <c r="K173" s="51"/>
      <c r="L173" s="51"/>
      <c r="M173" s="51"/>
      <c r="N173" s="51"/>
      <c r="O173" s="51"/>
      <c r="P173" s="51"/>
      <c r="Q173" s="51"/>
      <c r="R173" s="51"/>
      <c r="S173" s="51"/>
      <c r="T173" s="51"/>
      <c r="U173" s="51"/>
      <c r="V173" s="51"/>
      <c r="W173" s="51"/>
      <c r="X173" s="51"/>
      <c r="Y173" s="51"/>
      <c r="Z173" s="51"/>
      <c r="AA173" s="51"/>
      <c r="AB173" s="51"/>
    </row>
    <row r="174" customFormat="false" ht="15.75" hidden="false" customHeight="false" outlineLevel="0" collapsed="false">
      <c r="A174" s="51"/>
      <c r="B174" s="51"/>
      <c r="C174" s="6"/>
      <c r="D174" s="49"/>
      <c r="E174" s="51"/>
      <c r="F174" s="6"/>
      <c r="G174" s="6"/>
      <c r="H174" s="6"/>
      <c r="I174" s="6"/>
      <c r="J174" s="6"/>
      <c r="K174" s="51"/>
      <c r="L174" s="51"/>
      <c r="M174" s="51"/>
      <c r="N174" s="51"/>
      <c r="O174" s="51"/>
      <c r="P174" s="51"/>
      <c r="Q174" s="51"/>
      <c r="R174" s="51"/>
      <c r="S174" s="51"/>
      <c r="T174" s="51"/>
      <c r="U174" s="51"/>
      <c r="V174" s="51"/>
      <c r="W174" s="51"/>
      <c r="X174" s="51"/>
      <c r="Y174" s="51"/>
      <c r="Z174" s="51"/>
      <c r="AA174" s="51"/>
      <c r="AB174" s="51"/>
    </row>
    <row r="175" customFormat="false" ht="15.75" hidden="false" customHeight="false" outlineLevel="0" collapsed="false">
      <c r="A175" s="51"/>
      <c r="B175" s="51"/>
      <c r="C175" s="6"/>
      <c r="D175" s="49"/>
      <c r="E175" s="51"/>
      <c r="F175" s="6"/>
      <c r="G175" s="6"/>
      <c r="H175" s="6"/>
      <c r="I175" s="6"/>
      <c r="J175" s="6"/>
      <c r="K175" s="51"/>
      <c r="L175" s="51"/>
      <c r="M175" s="51"/>
      <c r="N175" s="51"/>
      <c r="O175" s="51"/>
      <c r="P175" s="51"/>
      <c r="Q175" s="51"/>
      <c r="R175" s="51"/>
      <c r="S175" s="51"/>
      <c r="T175" s="51"/>
      <c r="U175" s="51"/>
      <c r="V175" s="51"/>
      <c r="W175" s="51"/>
      <c r="X175" s="51"/>
      <c r="Y175" s="51"/>
      <c r="Z175" s="51"/>
      <c r="AA175" s="51"/>
      <c r="AB175" s="51"/>
    </row>
    <row r="176" customFormat="false" ht="15.75" hidden="false" customHeight="false" outlineLevel="0" collapsed="false">
      <c r="A176" s="51"/>
      <c r="B176" s="51"/>
      <c r="C176" s="6"/>
      <c r="D176" s="49"/>
      <c r="E176" s="51"/>
      <c r="F176" s="6"/>
      <c r="G176" s="6"/>
      <c r="H176" s="6"/>
      <c r="I176" s="6"/>
      <c r="J176" s="6"/>
      <c r="K176" s="51"/>
      <c r="L176" s="51"/>
      <c r="M176" s="51"/>
      <c r="N176" s="51"/>
      <c r="O176" s="51"/>
      <c r="P176" s="51"/>
      <c r="Q176" s="51"/>
      <c r="R176" s="51"/>
      <c r="S176" s="51"/>
      <c r="T176" s="51"/>
      <c r="U176" s="51"/>
      <c r="V176" s="51"/>
      <c r="W176" s="51"/>
      <c r="X176" s="51"/>
      <c r="Y176" s="51"/>
      <c r="Z176" s="51"/>
      <c r="AA176" s="51"/>
      <c r="AB176" s="51"/>
    </row>
    <row r="177" customFormat="false" ht="15.75" hidden="false" customHeight="false" outlineLevel="0" collapsed="false">
      <c r="A177" s="51"/>
      <c r="B177" s="51"/>
      <c r="C177" s="6"/>
      <c r="D177" s="49"/>
      <c r="E177" s="51"/>
      <c r="F177" s="6"/>
      <c r="G177" s="6"/>
      <c r="H177" s="6"/>
      <c r="I177" s="6"/>
      <c r="J177" s="6"/>
      <c r="K177" s="51"/>
      <c r="L177" s="51"/>
      <c r="M177" s="51"/>
      <c r="N177" s="51"/>
      <c r="O177" s="51"/>
      <c r="P177" s="51"/>
      <c r="Q177" s="51"/>
      <c r="R177" s="51"/>
      <c r="S177" s="51"/>
      <c r="T177" s="51"/>
      <c r="U177" s="51"/>
      <c r="V177" s="51"/>
      <c r="W177" s="51"/>
      <c r="X177" s="51"/>
      <c r="Y177" s="51"/>
      <c r="Z177" s="51"/>
      <c r="AA177" s="51"/>
      <c r="AB177" s="51"/>
    </row>
    <row r="178" customFormat="false" ht="15.75" hidden="false" customHeight="false" outlineLevel="0" collapsed="false">
      <c r="A178" s="51"/>
      <c r="B178" s="51"/>
      <c r="C178" s="6"/>
      <c r="D178" s="49"/>
      <c r="E178" s="51"/>
      <c r="F178" s="6"/>
      <c r="G178" s="6"/>
      <c r="H178" s="6"/>
      <c r="I178" s="6"/>
      <c r="J178" s="6"/>
      <c r="K178" s="51"/>
      <c r="L178" s="51"/>
      <c r="M178" s="51"/>
      <c r="N178" s="51"/>
      <c r="O178" s="51"/>
      <c r="P178" s="51"/>
      <c r="Q178" s="51"/>
      <c r="R178" s="51"/>
      <c r="S178" s="51"/>
      <c r="T178" s="51"/>
      <c r="U178" s="51"/>
      <c r="V178" s="51"/>
      <c r="W178" s="51"/>
      <c r="X178" s="51"/>
      <c r="Y178" s="51"/>
      <c r="Z178" s="51"/>
      <c r="AA178" s="51"/>
      <c r="AB178" s="51"/>
    </row>
    <row r="179" customFormat="false" ht="15.75" hidden="false" customHeight="false" outlineLevel="0" collapsed="false">
      <c r="A179" s="51"/>
      <c r="B179" s="51"/>
      <c r="C179" s="6"/>
      <c r="D179" s="49"/>
      <c r="E179" s="51"/>
      <c r="F179" s="6"/>
      <c r="G179" s="6"/>
      <c r="H179" s="6"/>
      <c r="I179" s="6"/>
      <c r="J179" s="6"/>
      <c r="K179" s="51"/>
      <c r="L179" s="51"/>
      <c r="M179" s="51"/>
      <c r="N179" s="51"/>
      <c r="O179" s="51"/>
      <c r="P179" s="51"/>
      <c r="Q179" s="51"/>
      <c r="R179" s="51"/>
      <c r="S179" s="51"/>
      <c r="T179" s="51"/>
      <c r="U179" s="51"/>
      <c r="V179" s="51"/>
      <c r="W179" s="51"/>
      <c r="X179" s="51"/>
      <c r="Y179" s="51"/>
      <c r="Z179" s="51"/>
      <c r="AA179" s="51"/>
      <c r="AB179" s="51"/>
    </row>
    <row r="180" customFormat="false" ht="15.75" hidden="false" customHeight="false" outlineLevel="0" collapsed="false">
      <c r="A180" s="51"/>
      <c r="B180" s="51"/>
      <c r="C180" s="6"/>
      <c r="D180" s="49"/>
      <c r="E180" s="51"/>
      <c r="F180" s="6"/>
      <c r="G180" s="6"/>
      <c r="H180" s="6"/>
      <c r="I180" s="6"/>
      <c r="J180" s="6"/>
      <c r="K180" s="51"/>
      <c r="L180" s="51"/>
      <c r="M180" s="51"/>
      <c r="N180" s="51"/>
      <c r="O180" s="51"/>
      <c r="P180" s="51"/>
      <c r="Q180" s="51"/>
      <c r="R180" s="51"/>
      <c r="S180" s="51"/>
      <c r="T180" s="51"/>
      <c r="U180" s="51"/>
      <c r="V180" s="51"/>
      <c r="W180" s="51"/>
      <c r="X180" s="51"/>
      <c r="Y180" s="51"/>
      <c r="Z180" s="51"/>
      <c r="AA180" s="51"/>
      <c r="AB180" s="51"/>
    </row>
    <row r="181" customFormat="false" ht="15.75" hidden="false" customHeight="false" outlineLevel="0" collapsed="false">
      <c r="A181" s="51"/>
      <c r="B181" s="51"/>
      <c r="C181" s="6"/>
      <c r="D181" s="49"/>
      <c r="E181" s="51"/>
      <c r="F181" s="6"/>
      <c r="G181" s="6"/>
      <c r="H181" s="6"/>
      <c r="I181" s="6"/>
      <c r="J181" s="6"/>
      <c r="K181" s="51"/>
      <c r="L181" s="51"/>
      <c r="M181" s="51"/>
      <c r="N181" s="51"/>
      <c r="O181" s="51"/>
      <c r="P181" s="51"/>
      <c r="Q181" s="51"/>
      <c r="R181" s="51"/>
      <c r="S181" s="51"/>
      <c r="T181" s="51"/>
      <c r="U181" s="51"/>
      <c r="V181" s="51"/>
      <c r="W181" s="51"/>
      <c r="X181" s="51"/>
      <c r="Y181" s="51"/>
      <c r="Z181" s="51"/>
      <c r="AA181" s="51"/>
      <c r="AB181" s="51"/>
    </row>
    <row r="182" customFormat="false" ht="15.75" hidden="false" customHeight="false" outlineLevel="0" collapsed="false">
      <c r="A182" s="51"/>
      <c r="B182" s="51"/>
      <c r="C182" s="6"/>
      <c r="D182" s="49"/>
      <c r="E182" s="51"/>
      <c r="F182" s="6"/>
      <c r="G182" s="6"/>
      <c r="H182" s="6"/>
      <c r="I182" s="6"/>
      <c r="J182" s="6"/>
      <c r="K182" s="51"/>
      <c r="L182" s="51"/>
      <c r="M182" s="51"/>
      <c r="N182" s="51"/>
      <c r="O182" s="51"/>
      <c r="P182" s="51"/>
      <c r="Q182" s="51"/>
      <c r="R182" s="51"/>
      <c r="S182" s="51"/>
      <c r="T182" s="51"/>
      <c r="U182" s="51"/>
      <c r="V182" s="51"/>
      <c r="W182" s="51"/>
      <c r="X182" s="51"/>
      <c r="Y182" s="51"/>
      <c r="Z182" s="51"/>
      <c r="AA182" s="51"/>
      <c r="AB182" s="51"/>
    </row>
    <row r="183" customFormat="false" ht="15.75" hidden="false" customHeight="false" outlineLevel="0" collapsed="false">
      <c r="A183" s="51"/>
      <c r="B183" s="51"/>
      <c r="C183" s="6"/>
      <c r="D183" s="49"/>
      <c r="E183" s="51"/>
      <c r="F183" s="6"/>
      <c r="G183" s="6"/>
      <c r="H183" s="6"/>
      <c r="I183" s="6"/>
      <c r="J183" s="6"/>
      <c r="K183" s="51"/>
      <c r="L183" s="51"/>
      <c r="M183" s="51"/>
      <c r="N183" s="51"/>
      <c r="O183" s="51"/>
      <c r="P183" s="51"/>
      <c r="Q183" s="51"/>
      <c r="R183" s="51"/>
      <c r="S183" s="51"/>
      <c r="T183" s="51"/>
      <c r="U183" s="51"/>
      <c r="V183" s="51"/>
      <c r="W183" s="51"/>
      <c r="X183" s="51"/>
      <c r="Y183" s="51"/>
      <c r="Z183" s="51"/>
      <c r="AA183" s="51"/>
      <c r="AB183" s="51"/>
    </row>
    <row r="184" customFormat="false" ht="15.75" hidden="false" customHeight="false" outlineLevel="0" collapsed="false">
      <c r="A184" s="51"/>
      <c r="B184" s="51"/>
      <c r="C184" s="6"/>
      <c r="D184" s="49"/>
      <c r="E184" s="51"/>
      <c r="F184" s="6"/>
      <c r="G184" s="6"/>
      <c r="H184" s="6"/>
      <c r="I184" s="6"/>
      <c r="J184" s="6"/>
      <c r="K184" s="51"/>
      <c r="L184" s="51"/>
      <c r="M184" s="51"/>
      <c r="N184" s="51"/>
      <c r="O184" s="51"/>
      <c r="P184" s="51"/>
      <c r="Q184" s="51"/>
      <c r="R184" s="51"/>
      <c r="S184" s="51"/>
      <c r="T184" s="51"/>
      <c r="U184" s="51"/>
      <c r="V184" s="51"/>
      <c r="W184" s="51"/>
      <c r="X184" s="51"/>
      <c r="Y184" s="51"/>
      <c r="Z184" s="51"/>
      <c r="AA184" s="51"/>
      <c r="AB184" s="51"/>
    </row>
    <row r="185" customFormat="false" ht="15.75" hidden="false" customHeight="false" outlineLevel="0" collapsed="false">
      <c r="A185" s="51"/>
      <c r="B185" s="51"/>
      <c r="C185" s="6"/>
      <c r="D185" s="49"/>
      <c r="E185" s="51"/>
      <c r="F185" s="6"/>
      <c r="G185" s="6"/>
      <c r="H185" s="6"/>
      <c r="I185" s="6"/>
      <c r="J185" s="6"/>
      <c r="K185" s="51"/>
      <c r="L185" s="51"/>
      <c r="M185" s="51"/>
      <c r="N185" s="51"/>
      <c r="O185" s="51"/>
      <c r="P185" s="51"/>
      <c r="Q185" s="51"/>
      <c r="R185" s="51"/>
      <c r="S185" s="51"/>
      <c r="T185" s="51"/>
      <c r="U185" s="51"/>
      <c r="V185" s="51"/>
      <c r="W185" s="51"/>
      <c r="X185" s="51"/>
      <c r="Y185" s="51"/>
      <c r="Z185" s="51"/>
      <c r="AA185" s="51"/>
      <c r="AB185" s="51"/>
    </row>
    <row r="186" customFormat="false" ht="15.75" hidden="false" customHeight="false" outlineLevel="0" collapsed="false">
      <c r="A186" s="51"/>
      <c r="B186" s="51"/>
      <c r="C186" s="6"/>
      <c r="D186" s="49"/>
      <c r="E186" s="51"/>
      <c r="F186" s="6"/>
      <c r="G186" s="6"/>
      <c r="H186" s="6"/>
      <c r="I186" s="6"/>
      <c r="J186" s="6"/>
      <c r="K186" s="51"/>
      <c r="L186" s="51"/>
      <c r="M186" s="51"/>
      <c r="N186" s="51"/>
      <c r="O186" s="51"/>
      <c r="P186" s="51"/>
      <c r="Q186" s="51"/>
      <c r="R186" s="51"/>
      <c r="S186" s="51"/>
      <c r="T186" s="51"/>
      <c r="U186" s="51"/>
      <c r="V186" s="51"/>
      <c r="W186" s="51"/>
      <c r="X186" s="51"/>
      <c r="Y186" s="51"/>
      <c r="Z186" s="51"/>
      <c r="AA186" s="51"/>
      <c r="AB186" s="51"/>
    </row>
    <row r="187" customFormat="false" ht="15.75" hidden="false" customHeight="false" outlineLevel="0" collapsed="false">
      <c r="A187" s="51"/>
      <c r="B187" s="51"/>
      <c r="C187" s="6"/>
      <c r="D187" s="49"/>
      <c r="E187" s="51"/>
      <c r="F187" s="6"/>
      <c r="G187" s="6"/>
      <c r="H187" s="6"/>
      <c r="I187" s="6"/>
      <c r="J187" s="6"/>
      <c r="K187" s="51"/>
      <c r="L187" s="51"/>
      <c r="M187" s="51"/>
      <c r="N187" s="51"/>
      <c r="O187" s="51"/>
      <c r="P187" s="51"/>
      <c r="Q187" s="51"/>
      <c r="R187" s="51"/>
      <c r="S187" s="51"/>
      <c r="T187" s="51"/>
      <c r="U187" s="51"/>
      <c r="V187" s="51"/>
      <c r="W187" s="51"/>
      <c r="X187" s="51"/>
      <c r="Y187" s="51"/>
      <c r="Z187" s="51"/>
      <c r="AA187" s="51"/>
      <c r="AB187" s="51"/>
    </row>
    <row r="188" customFormat="false" ht="15.75" hidden="false" customHeight="false" outlineLevel="0" collapsed="false">
      <c r="A188" s="51"/>
      <c r="B188" s="51"/>
      <c r="C188" s="6"/>
      <c r="D188" s="49"/>
      <c r="E188" s="51"/>
      <c r="F188" s="6"/>
      <c r="G188" s="6"/>
      <c r="H188" s="6"/>
      <c r="I188" s="6"/>
      <c r="J188" s="6"/>
      <c r="K188" s="51"/>
      <c r="L188" s="51"/>
      <c r="M188" s="51"/>
      <c r="N188" s="51"/>
      <c r="O188" s="51"/>
      <c r="P188" s="51"/>
      <c r="Q188" s="51"/>
      <c r="R188" s="51"/>
      <c r="S188" s="51"/>
      <c r="T188" s="51"/>
      <c r="U188" s="51"/>
      <c r="V188" s="51"/>
      <c r="W188" s="51"/>
      <c r="X188" s="51"/>
      <c r="Y188" s="51"/>
      <c r="Z188" s="51"/>
      <c r="AA188" s="51"/>
      <c r="AB188" s="51"/>
    </row>
    <row r="189" customFormat="false" ht="15.75" hidden="false" customHeight="false" outlineLevel="0" collapsed="false">
      <c r="A189" s="51"/>
      <c r="B189" s="51"/>
      <c r="C189" s="6"/>
      <c r="D189" s="49"/>
      <c r="E189" s="51"/>
      <c r="F189" s="6"/>
      <c r="G189" s="6"/>
      <c r="H189" s="6"/>
      <c r="I189" s="6"/>
      <c r="J189" s="6"/>
      <c r="K189" s="51"/>
      <c r="L189" s="51"/>
      <c r="M189" s="51"/>
      <c r="N189" s="51"/>
      <c r="O189" s="51"/>
      <c r="P189" s="51"/>
      <c r="Q189" s="51"/>
      <c r="R189" s="51"/>
      <c r="S189" s="51"/>
      <c r="T189" s="51"/>
      <c r="U189" s="51"/>
      <c r="V189" s="51"/>
      <c r="W189" s="51"/>
      <c r="X189" s="51"/>
      <c r="Y189" s="51"/>
      <c r="Z189" s="51"/>
      <c r="AA189" s="51"/>
      <c r="AB189" s="51"/>
    </row>
    <row r="190" customFormat="false" ht="15.75" hidden="false" customHeight="false" outlineLevel="0" collapsed="false">
      <c r="A190" s="51"/>
      <c r="B190" s="51"/>
      <c r="C190" s="6"/>
      <c r="D190" s="49"/>
      <c r="E190" s="51"/>
      <c r="F190" s="6"/>
      <c r="G190" s="6"/>
      <c r="H190" s="6"/>
      <c r="I190" s="6"/>
      <c r="J190" s="6"/>
      <c r="K190" s="51"/>
      <c r="L190" s="51"/>
      <c r="M190" s="51"/>
      <c r="N190" s="51"/>
      <c r="O190" s="51"/>
      <c r="P190" s="51"/>
      <c r="Q190" s="51"/>
      <c r="R190" s="51"/>
      <c r="S190" s="51"/>
      <c r="T190" s="51"/>
      <c r="U190" s="51"/>
      <c r="V190" s="51"/>
      <c r="W190" s="51"/>
      <c r="X190" s="51"/>
      <c r="Y190" s="51"/>
      <c r="Z190" s="51"/>
      <c r="AA190" s="51"/>
      <c r="AB190" s="51"/>
    </row>
    <row r="191" customFormat="false" ht="15.75" hidden="false" customHeight="false" outlineLevel="0" collapsed="false">
      <c r="A191" s="51"/>
      <c r="B191" s="51"/>
      <c r="C191" s="6"/>
      <c r="D191" s="49"/>
      <c r="E191" s="51"/>
      <c r="F191" s="6"/>
      <c r="G191" s="6"/>
      <c r="H191" s="6"/>
      <c r="I191" s="6"/>
      <c r="J191" s="6"/>
      <c r="K191" s="51"/>
      <c r="L191" s="51"/>
      <c r="M191" s="51"/>
      <c r="N191" s="51"/>
      <c r="O191" s="51"/>
      <c r="P191" s="51"/>
      <c r="Q191" s="51"/>
      <c r="R191" s="51"/>
      <c r="S191" s="51"/>
      <c r="T191" s="51"/>
      <c r="U191" s="51"/>
      <c r="V191" s="51"/>
      <c r="W191" s="51"/>
      <c r="X191" s="51"/>
      <c r="Y191" s="51"/>
      <c r="Z191" s="51"/>
      <c r="AA191" s="51"/>
      <c r="AB191" s="51"/>
    </row>
    <row r="192" customFormat="false" ht="15.75" hidden="false" customHeight="false" outlineLevel="0" collapsed="false">
      <c r="A192" s="51"/>
      <c r="B192" s="51"/>
      <c r="C192" s="6"/>
      <c r="D192" s="49"/>
      <c r="E192" s="51"/>
      <c r="F192" s="6"/>
      <c r="G192" s="6"/>
      <c r="H192" s="6"/>
      <c r="I192" s="6"/>
      <c r="J192" s="6"/>
      <c r="K192" s="51"/>
      <c r="L192" s="51"/>
      <c r="M192" s="51"/>
      <c r="N192" s="51"/>
      <c r="O192" s="51"/>
      <c r="P192" s="51"/>
      <c r="Q192" s="51"/>
      <c r="R192" s="51"/>
      <c r="S192" s="51"/>
      <c r="T192" s="51"/>
      <c r="U192" s="51"/>
      <c r="V192" s="51"/>
      <c r="W192" s="51"/>
      <c r="X192" s="51"/>
      <c r="Y192" s="51"/>
      <c r="Z192" s="51"/>
      <c r="AA192" s="51"/>
      <c r="AB192" s="51"/>
    </row>
    <row r="193" customFormat="false" ht="15.75" hidden="false" customHeight="false" outlineLevel="0" collapsed="false">
      <c r="A193" s="51"/>
      <c r="B193" s="51"/>
      <c r="C193" s="6"/>
      <c r="D193" s="49"/>
      <c r="E193" s="51"/>
      <c r="F193" s="6"/>
      <c r="G193" s="6"/>
      <c r="H193" s="6"/>
      <c r="I193" s="6"/>
      <c r="J193" s="6"/>
      <c r="K193" s="51"/>
      <c r="L193" s="51"/>
      <c r="M193" s="51"/>
      <c r="N193" s="51"/>
      <c r="O193" s="51"/>
      <c r="P193" s="51"/>
      <c r="Q193" s="51"/>
      <c r="R193" s="51"/>
      <c r="S193" s="51"/>
      <c r="T193" s="51"/>
      <c r="U193" s="51"/>
      <c r="V193" s="51"/>
      <c r="W193" s="51"/>
      <c r="X193" s="51"/>
      <c r="Y193" s="51"/>
      <c r="Z193" s="51"/>
      <c r="AA193" s="51"/>
      <c r="AB193" s="51"/>
    </row>
    <row r="194" customFormat="false" ht="15.75" hidden="false" customHeight="false" outlineLevel="0" collapsed="false">
      <c r="A194" s="51"/>
      <c r="B194" s="51"/>
      <c r="C194" s="6"/>
      <c r="D194" s="49"/>
      <c r="E194" s="51"/>
      <c r="F194" s="6"/>
      <c r="G194" s="6"/>
      <c r="H194" s="6"/>
      <c r="I194" s="6"/>
      <c r="J194" s="6"/>
      <c r="K194" s="51"/>
      <c r="L194" s="51"/>
      <c r="M194" s="51"/>
      <c r="N194" s="51"/>
      <c r="O194" s="51"/>
      <c r="P194" s="51"/>
      <c r="Q194" s="51"/>
      <c r="R194" s="51"/>
      <c r="S194" s="51"/>
      <c r="T194" s="51"/>
      <c r="U194" s="51"/>
      <c r="V194" s="51"/>
      <c r="W194" s="51"/>
      <c r="X194" s="51"/>
      <c r="Y194" s="51"/>
      <c r="Z194" s="51"/>
      <c r="AA194" s="51"/>
      <c r="AB194" s="51"/>
    </row>
    <row r="195" customFormat="false" ht="15.75" hidden="false" customHeight="false" outlineLevel="0" collapsed="false">
      <c r="A195" s="51"/>
      <c r="B195" s="51"/>
      <c r="C195" s="6"/>
      <c r="D195" s="49"/>
      <c r="E195" s="51"/>
      <c r="F195" s="6"/>
      <c r="G195" s="6"/>
      <c r="H195" s="6"/>
      <c r="I195" s="6"/>
      <c r="J195" s="6"/>
      <c r="K195" s="51"/>
      <c r="L195" s="51"/>
      <c r="M195" s="51"/>
      <c r="N195" s="51"/>
      <c r="O195" s="51"/>
      <c r="P195" s="51"/>
      <c r="Q195" s="51"/>
      <c r="R195" s="51"/>
      <c r="S195" s="51"/>
      <c r="T195" s="51"/>
      <c r="U195" s="51"/>
      <c r="V195" s="51"/>
      <c r="W195" s="51"/>
      <c r="X195" s="51"/>
      <c r="Y195" s="51"/>
      <c r="Z195" s="51"/>
      <c r="AA195" s="51"/>
      <c r="AB195" s="51"/>
    </row>
    <row r="196" customFormat="false" ht="15.75" hidden="false" customHeight="false" outlineLevel="0" collapsed="false">
      <c r="A196" s="51"/>
      <c r="B196" s="51"/>
      <c r="C196" s="6"/>
      <c r="D196" s="49"/>
      <c r="E196" s="51"/>
      <c r="F196" s="6"/>
      <c r="G196" s="6"/>
      <c r="H196" s="6"/>
      <c r="I196" s="6"/>
      <c r="J196" s="6"/>
      <c r="K196" s="51"/>
      <c r="L196" s="51"/>
      <c r="M196" s="51"/>
      <c r="N196" s="51"/>
      <c r="O196" s="51"/>
      <c r="P196" s="51"/>
      <c r="Q196" s="51"/>
      <c r="R196" s="51"/>
      <c r="S196" s="51"/>
      <c r="T196" s="51"/>
      <c r="U196" s="51"/>
      <c r="V196" s="51"/>
      <c r="W196" s="51"/>
      <c r="X196" s="51"/>
      <c r="Y196" s="51"/>
      <c r="Z196" s="51"/>
      <c r="AA196" s="51"/>
      <c r="AB196" s="51"/>
    </row>
    <row r="197" customFormat="false" ht="15.75" hidden="false" customHeight="false" outlineLevel="0" collapsed="false">
      <c r="A197" s="51"/>
      <c r="B197" s="51"/>
      <c r="C197" s="6"/>
      <c r="D197" s="49"/>
      <c r="E197" s="51"/>
      <c r="F197" s="6"/>
      <c r="G197" s="6"/>
      <c r="H197" s="6"/>
      <c r="I197" s="6"/>
      <c r="J197" s="6"/>
      <c r="K197" s="51"/>
      <c r="L197" s="51"/>
      <c r="M197" s="51"/>
      <c r="N197" s="51"/>
      <c r="O197" s="51"/>
      <c r="P197" s="51"/>
      <c r="Q197" s="51"/>
      <c r="R197" s="51"/>
      <c r="S197" s="51"/>
      <c r="T197" s="51"/>
      <c r="U197" s="51"/>
      <c r="V197" s="51"/>
      <c r="W197" s="51"/>
      <c r="X197" s="51"/>
      <c r="Y197" s="51"/>
      <c r="Z197" s="51"/>
      <c r="AA197" s="51"/>
      <c r="AB197" s="51"/>
    </row>
    <row r="198" customFormat="false" ht="15.75" hidden="false" customHeight="false" outlineLevel="0" collapsed="false">
      <c r="A198" s="51"/>
      <c r="B198" s="51"/>
      <c r="C198" s="6"/>
      <c r="D198" s="49"/>
      <c r="E198" s="51"/>
      <c r="F198" s="6"/>
      <c r="G198" s="6"/>
      <c r="H198" s="6"/>
      <c r="I198" s="6"/>
      <c r="J198" s="6"/>
      <c r="K198" s="51"/>
      <c r="L198" s="51"/>
      <c r="M198" s="51"/>
      <c r="N198" s="51"/>
      <c r="O198" s="51"/>
      <c r="P198" s="51"/>
      <c r="Q198" s="51"/>
      <c r="R198" s="51"/>
      <c r="S198" s="51"/>
      <c r="T198" s="51"/>
      <c r="U198" s="51"/>
      <c r="V198" s="51"/>
      <c r="W198" s="51"/>
      <c r="X198" s="51"/>
      <c r="Y198" s="51"/>
      <c r="Z198" s="51"/>
      <c r="AA198" s="51"/>
      <c r="AB198" s="51"/>
    </row>
    <row r="199" customFormat="false" ht="15.75" hidden="false" customHeight="false" outlineLevel="0" collapsed="false">
      <c r="A199" s="51"/>
      <c r="B199" s="51"/>
      <c r="C199" s="6"/>
      <c r="D199" s="49"/>
      <c r="E199" s="51"/>
      <c r="F199" s="6"/>
      <c r="G199" s="6"/>
      <c r="H199" s="6"/>
      <c r="I199" s="6"/>
      <c r="J199" s="6"/>
      <c r="K199" s="51"/>
      <c r="L199" s="51"/>
      <c r="M199" s="51"/>
      <c r="N199" s="51"/>
      <c r="O199" s="51"/>
      <c r="P199" s="51"/>
      <c r="Q199" s="51"/>
      <c r="R199" s="51"/>
      <c r="S199" s="51"/>
      <c r="T199" s="51"/>
      <c r="U199" s="51"/>
      <c r="V199" s="51"/>
      <c r="W199" s="51"/>
      <c r="X199" s="51"/>
      <c r="Y199" s="51"/>
      <c r="Z199" s="51"/>
      <c r="AA199" s="51"/>
      <c r="AB199" s="51"/>
    </row>
    <row r="200" customFormat="false" ht="15.75" hidden="false" customHeight="false" outlineLevel="0" collapsed="false">
      <c r="A200" s="51"/>
      <c r="B200" s="51"/>
      <c r="C200" s="6"/>
      <c r="D200" s="49"/>
      <c r="E200" s="51"/>
      <c r="F200" s="6"/>
      <c r="G200" s="6"/>
      <c r="H200" s="6"/>
      <c r="I200" s="6"/>
      <c r="J200" s="6"/>
      <c r="K200" s="51"/>
      <c r="L200" s="51"/>
      <c r="M200" s="51"/>
      <c r="N200" s="51"/>
      <c r="O200" s="51"/>
      <c r="P200" s="51"/>
      <c r="Q200" s="51"/>
      <c r="R200" s="51"/>
      <c r="S200" s="51"/>
      <c r="T200" s="51"/>
      <c r="U200" s="51"/>
      <c r="V200" s="51"/>
      <c r="W200" s="51"/>
      <c r="X200" s="51"/>
      <c r="Y200" s="51"/>
      <c r="Z200" s="51"/>
      <c r="AA200" s="51"/>
      <c r="AB200" s="51"/>
    </row>
    <row r="201" customFormat="false" ht="15.75" hidden="false" customHeight="false" outlineLevel="0" collapsed="false">
      <c r="A201" s="51"/>
      <c r="B201" s="51"/>
      <c r="C201" s="6"/>
      <c r="D201" s="49"/>
      <c r="E201" s="51"/>
      <c r="F201" s="6"/>
      <c r="G201" s="6"/>
      <c r="H201" s="6"/>
      <c r="I201" s="6"/>
      <c r="J201" s="6"/>
      <c r="K201" s="51"/>
      <c r="L201" s="51"/>
      <c r="M201" s="51"/>
      <c r="N201" s="51"/>
      <c r="O201" s="51"/>
      <c r="P201" s="51"/>
      <c r="Q201" s="51"/>
      <c r="R201" s="51"/>
      <c r="S201" s="51"/>
      <c r="T201" s="51"/>
      <c r="U201" s="51"/>
      <c r="V201" s="51"/>
      <c r="W201" s="51"/>
      <c r="X201" s="51"/>
      <c r="Y201" s="51"/>
      <c r="Z201" s="51"/>
      <c r="AA201" s="51"/>
      <c r="AB201" s="51"/>
    </row>
    <row r="202" customFormat="false" ht="15.75" hidden="false" customHeight="false" outlineLevel="0" collapsed="false">
      <c r="A202" s="51"/>
      <c r="B202" s="51"/>
      <c r="C202" s="6"/>
      <c r="D202" s="49"/>
      <c r="E202" s="51"/>
      <c r="F202" s="6"/>
      <c r="G202" s="6"/>
      <c r="H202" s="6"/>
      <c r="I202" s="6"/>
      <c r="J202" s="6"/>
      <c r="K202" s="51"/>
      <c r="L202" s="51"/>
      <c r="M202" s="51"/>
      <c r="N202" s="51"/>
      <c r="O202" s="51"/>
      <c r="P202" s="51"/>
      <c r="Q202" s="51"/>
      <c r="R202" s="51"/>
      <c r="S202" s="51"/>
      <c r="T202" s="51"/>
      <c r="U202" s="51"/>
      <c r="V202" s="51"/>
      <c r="W202" s="51"/>
      <c r="X202" s="51"/>
      <c r="Y202" s="51"/>
      <c r="Z202" s="51"/>
      <c r="AA202" s="51"/>
      <c r="AB202" s="51"/>
    </row>
    <row r="203" customFormat="false" ht="15.75" hidden="false" customHeight="false" outlineLevel="0" collapsed="false">
      <c r="A203" s="51"/>
      <c r="B203" s="51"/>
      <c r="C203" s="6"/>
      <c r="D203" s="49"/>
      <c r="E203" s="51"/>
      <c r="F203" s="6"/>
      <c r="G203" s="6"/>
      <c r="H203" s="6"/>
      <c r="I203" s="6"/>
      <c r="J203" s="6"/>
      <c r="K203" s="51"/>
      <c r="L203" s="51"/>
      <c r="M203" s="51"/>
      <c r="N203" s="51"/>
      <c r="O203" s="51"/>
      <c r="P203" s="51"/>
      <c r="Q203" s="51"/>
      <c r="R203" s="51"/>
      <c r="S203" s="51"/>
      <c r="T203" s="51"/>
      <c r="U203" s="51"/>
      <c r="V203" s="51"/>
      <c r="W203" s="51"/>
      <c r="X203" s="51"/>
      <c r="Y203" s="51"/>
      <c r="Z203" s="51"/>
      <c r="AA203" s="51"/>
      <c r="AB203" s="51"/>
    </row>
    <row r="204" customFormat="false" ht="15.75" hidden="false" customHeight="false" outlineLevel="0" collapsed="false">
      <c r="A204" s="51"/>
      <c r="B204" s="51"/>
      <c r="C204" s="6"/>
      <c r="D204" s="49"/>
      <c r="E204" s="51"/>
      <c r="F204" s="6"/>
      <c r="G204" s="6"/>
      <c r="H204" s="6"/>
      <c r="I204" s="6"/>
      <c r="J204" s="6"/>
      <c r="K204" s="51"/>
      <c r="L204" s="51"/>
      <c r="M204" s="51"/>
      <c r="N204" s="51"/>
      <c r="O204" s="51"/>
      <c r="P204" s="51"/>
      <c r="Q204" s="51"/>
      <c r="R204" s="51"/>
      <c r="S204" s="51"/>
      <c r="T204" s="51"/>
      <c r="U204" s="51"/>
      <c r="V204" s="51"/>
      <c r="W204" s="51"/>
      <c r="X204" s="51"/>
      <c r="Y204" s="51"/>
      <c r="Z204" s="51"/>
      <c r="AA204" s="51"/>
      <c r="AB204" s="51"/>
    </row>
    <row r="205" customFormat="false" ht="15.75" hidden="false" customHeight="false" outlineLevel="0" collapsed="false">
      <c r="A205" s="51"/>
      <c r="B205" s="51"/>
      <c r="C205" s="6"/>
      <c r="D205" s="49"/>
      <c r="E205" s="51"/>
      <c r="F205" s="6"/>
      <c r="G205" s="6"/>
      <c r="H205" s="6"/>
      <c r="I205" s="6"/>
      <c r="J205" s="6"/>
      <c r="K205" s="51"/>
      <c r="L205" s="51"/>
      <c r="M205" s="51"/>
      <c r="N205" s="51"/>
      <c r="O205" s="51"/>
      <c r="P205" s="51"/>
      <c r="Q205" s="51"/>
      <c r="R205" s="51"/>
      <c r="S205" s="51"/>
      <c r="T205" s="51"/>
      <c r="U205" s="51"/>
      <c r="V205" s="51"/>
      <c r="W205" s="51"/>
      <c r="X205" s="51"/>
      <c r="Y205" s="51"/>
      <c r="Z205" s="51"/>
      <c r="AA205" s="51"/>
      <c r="AB205" s="51"/>
    </row>
    <row r="206" customFormat="false" ht="15.75" hidden="false" customHeight="false" outlineLevel="0" collapsed="false">
      <c r="A206" s="51"/>
      <c r="B206" s="51"/>
      <c r="C206" s="6"/>
      <c r="D206" s="49"/>
      <c r="E206" s="51"/>
      <c r="F206" s="6"/>
      <c r="G206" s="6"/>
      <c r="H206" s="6"/>
      <c r="I206" s="6"/>
      <c r="J206" s="6"/>
      <c r="K206" s="51"/>
      <c r="L206" s="51"/>
      <c r="M206" s="51"/>
      <c r="N206" s="51"/>
      <c r="O206" s="51"/>
      <c r="P206" s="51"/>
      <c r="Q206" s="51"/>
      <c r="R206" s="51"/>
      <c r="S206" s="51"/>
      <c r="T206" s="51"/>
      <c r="U206" s="51"/>
      <c r="V206" s="51"/>
      <c r="W206" s="51"/>
      <c r="X206" s="51"/>
      <c r="Y206" s="51"/>
      <c r="Z206" s="51"/>
      <c r="AA206" s="51"/>
      <c r="AB206" s="51"/>
    </row>
    <row r="207" customFormat="false" ht="15.75" hidden="false" customHeight="false" outlineLevel="0" collapsed="false">
      <c r="A207" s="51"/>
      <c r="B207" s="51"/>
      <c r="C207" s="6"/>
      <c r="D207" s="49"/>
      <c r="E207" s="51"/>
      <c r="F207" s="6"/>
      <c r="G207" s="6"/>
      <c r="H207" s="6"/>
      <c r="I207" s="6"/>
      <c r="J207" s="6"/>
      <c r="K207" s="51"/>
      <c r="L207" s="51"/>
      <c r="M207" s="51"/>
      <c r="N207" s="51"/>
      <c r="O207" s="51"/>
      <c r="P207" s="51"/>
      <c r="Q207" s="51"/>
      <c r="R207" s="51"/>
      <c r="S207" s="51"/>
      <c r="T207" s="51"/>
      <c r="U207" s="51"/>
      <c r="V207" s="51"/>
      <c r="W207" s="51"/>
      <c r="X207" s="51"/>
      <c r="Y207" s="51"/>
      <c r="Z207" s="51"/>
      <c r="AA207" s="51"/>
      <c r="AB207" s="51"/>
    </row>
    <row r="208" customFormat="false" ht="15.75" hidden="false" customHeight="false" outlineLevel="0" collapsed="false">
      <c r="A208" s="51"/>
      <c r="B208" s="51"/>
      <c r="C208" s="6"/>
      <c r="D208" s="49"/>
      <c r="E208" s="51"/>
      <c r="F208" s="6"/>
      <c r="G208" s="6"/>
      <c r="H208" s="6"/>
      <c r="I208" s="6"/>
      <c r="J208" s="6"/>
      <c r="K208" s="51"/>
      <c r="L208" s="51"/>
      <c r="M208" s="51"/>
      <c r="N208" s="51"/>
      <c r="O208" s="51"/>
      <c r="P208" s="51"/>
      <c r="Q208" s="51"/>
      <c r="R208" s="51"/>
      <c r="S208" s="51"/>
      <c r="T208" s="51"/>
      <c r="U208" s="51"/>
      <c r="V208" s="51"/>
      <c r="W208" s="51"/>
      <c r="X208" s="51"/>
      <c r="Y208" s="51"/>
      <c r="Z208" s="51"/>
      <c r="AA208" s="51"/>
      <c r="AB208" s="51"/>
    </row>
    <row r="209" customFormat="false" ht="15.75" hidden="false" customHeight="false" outlineLevel="0" collapsed="false">
      <c r="A209" s="51"/>
      <c r="B209" s="51"/>
      <c r="C209" s="6"/>
      <c r="D209" s="49"/>
      <c r="E209" s="51"/>
      <c r="F209" s="6"/>
      <c r="G209" s="6"/>
      <c r="H209" s="6"/>
      <c r="I209" s="6"/>
      <c r="J209" s="6"/>
      <c r="K209" s="51"/>
      <c r="L209" s="51"/>
      <c r="M209" s="51"/>
      <c r="N209" s="51"/>
      <c r="O209" s="51"/>
      <c r="P209" s="51"/>
      <c r="Q209" s="51"/>
      <c r="R209" s="51"/>
      <c r="S209" s="51"/>
      <c r="T209" s="51"/>
      <c r="U209" s="51"/>
      <c r="V209" s="51"/>
      <c r="W209" s="51"/>
      <c r="X209" s="51"/>
      <c r="Y209" s="51"/>
      <c r="Z209" s="51"/>
      <c r="AA209" s="51"/>
      <c r="AB209" s="51"/>
    </row>
    <row r="210" customFormat="false" ht="15.75" hidden="false" customHeight="false" outlineLevel="0" collapsed="false">
      <c r="A210" s="51"/>
      <c r="B210" s="51"/>
      <c r="C210" s="6"/>
      <c r="D210" s="49"/>
      <c r="E210" s="51"/>
      <c r="F210" s="6"/>
      <c r="G210" s="6"/>
      <c r="H210" s="6"/>
      <c r="I210" s="6"/>
      <c r="J210" s="6"/>
      <c r="K210" s="51"/>
      <c r="L210" s="51"/>
      <c r="M210" s="51"/>
      <c r="N210" s="51"/>
      <c r="O210" s="51"/>
      <c r="P210" s="51"/>
      <c r="Q210" s="51"/>
      <c r="R210" s="51"/>
      <c r="S210" s="51"/>
      <c r="T210" s="51"/>
      <c r="U210" s="51"/>
      <c r="V210" s="51"/>
      <c r="W210" s="51"/>
      <c r="X210" s="51"/>
      <c r="Y210" s="51"/>
      <c r="Z210" s="51"/>
      <c r="AA210" s="51"/>
      <c r="AB210" s="51"/>
    </row>
    <row r="211" customFormat="false" ht="15.75" hidden="false" customHeight="false" outlineLevel="0" collapsed="false">
      <c r="A211" s="51"/>
      <c r="B211" s="51"/>
      <c r="C211" s="6"/>
      <c r="D211" s="49"/>
      <c r="E211" s="51"/>
      <c r="F211" s="6"/>
      <c r="G211" s="6"/>
      <c r="H211" s="6"/>
      <c r="I211" s="6"/>
      <c r="J211" s="6"/>
      <c r="K211" s="51"/>
      <c r="L211" s="51"/>
      <c r="M211" s="51"/>
      <c r="N211" s="51"/>
      <c r="O211" s="51"/>
      <c r="P211" s="51"/>
      <c r="Q211" s="51"/>
      <c r="R211" s="51"/>
      <c r="S211" s="51"/>
      <c r="T211" s="51"/>
      <c r="U211" s="51"/>
      <c r="V211" s="51"/>
      <c r="W211" s="51"/>
      <c r="X211" s="51"/>
      <c r="Y211" s="51"/>
      <c r="Z211" s="51"/>
      <c r="AA211" s="51"/>
      <c r="AB211" s="51"/>
    </row>
    <row r="212" customFormat="false" ht="15.75" hidden="false" customHeight="false" outlineLevel="0" collapsed="false">
      <c r="A212" s="51"/>
      <c r="B212" s="51"/>
      <c r="C212" s="6"/>
      <c r="D212" s="49"/>
      <c r="E212" s="51"/>
      <c r="F212" s="6"/>
      <c r="G212" s="6"/>
      <c r="H212" s="6"/>
      <c r="I212" s="6"/>
      <c r="J212" s="6"/>
      <c r="K212" s="51"/>
      <c r="L212" s="51"/>
      <c r="M212" s="51"/>
      <c r="N212" s="51"/>
      <c r="O212" s="51"/>
      <c r="P212" s="51"/>
      <c r="Q212" s="51"/>
      <c r="R212" s="51"/>
      <c r="S212" s="51"/>
      <c r="T212" s="51"/>
      <c r="U212" s="51"/>
      <c r="V212" s="51"/>
      <c r="W212" s="51"/>
      <c r="X212" s="51"/>
      <c r="Y212" s="51"/>
      <c r="Z212" s="51"/>
      <c r="AA212" s="51"/>
      <c r="AB212" s="51"/>
    </row>
    <row r="213" customFormat="false" ht="15.75" hidden="false" customHeight="false" outlineLevel="0" collapsed="false">
      <c r="A213" s="51"/>
      <c r="B213" s="51"/>
      <c r="C213" s="6"/>
      <c r="D213" s="49"/>
      <c r="E213" s="51"/>
      <c r="F213" s="6"/>
      <c r="G213" s="6"/>
      <c r="H213" s="6"/>
      <c r="I213" s="6"/>
      <c r="J213" s="6"/>
      <c r="K213" s="51"/>
      <c r="L213" s="51"/>
      <c r="M213" s="51"/>
      <c r="N213" s="51"/>
      <c r="O213" s="51"/>
      <c r="P213" s="51"/>
      <c r="Q213" s="51"/>
      <c r="R213" s="51"/>
      <c r="S213" s="51"/>
      <c r="T213" s="51"/>
      <c r="U213" s="51"/>
      <c r="V213" s="51"/>
      <c r="W213" s="51"/>
      <c r="X213" s="51"/>
      <c r="Y213" s="51"/>
      <c r="Z213" s="51"/>
      <c r="AA213" s="51"/>
      <c r="AB213" s="51"/>
    </row>
    <row r="214" customFormat="false" ht="15.75" hidden="false" customHeight="false" outlineLevel="0" collapsed="false">
      <c r="A214" s="51"/>
      <c r="B214" s="51"/>
      <c r="C214" s="6"/>
      <c r="D214" s="49"/>
      <c r="E214" s="51"/>
      <c r="F214" s="6"/>
      <c r="G214" s="6"/>
      <c r="H214" s="6"/>
      <c r="I214" s="6"/>
      <c r="J214" s="6"/>
      <c r="K214" s="51"/>
      <c r="L214" s="51"/>
      <c r="M214" s="51"/>
      <c r="N214" s="51"/>
      <c r="O214" s="51"/>
      <c r="P214" s="51"/>
      <c r="Q214" s="51"/>
      <c r="R214" s="51"/>
      <c r="S214" s="51"/>
      <c r="T214" s="51"/>
      <c r="U214" s="51"/>
      <c r="V214" s="51"/>
      <c r="W214" s="51"/>
      <c r="X214" s="51"/>
      <c r="Y214" s="51"/>
      <c r="Z214" s="51"/>
      <c r="AA214" s="51"/>
      <c r="AB214" s="51"/>
    </row>
    <row r="215" customFormat="false" ht="15.75" hidden="false" customHeight="false" outlineLevel="0" collapsed="false">
      <c r="A215" s="51"/>
      <c r="B215" s="51"/>
      <c r="C215" s="6"/>
      <c r="D215" s="49"/>
      <c r="E215" s="51"/>
      <c r="F215" s="6"/>
      <c r="G215" s="6"/>
      <c r="H215" s="6"/>
      <c r="I215" s="6"/>
      <c r="J215" s="6"/>
      <c r="K215" s="51"/>
      <c r="L215" s="51"/>
      <c r="M215" s="51"/>
      <c r="N215" s="51"/>
      <c r="O215" s="51"/>
      <c r="P215" s="51"/>
      <c r="Q215" s="51"/>
      <c r="R215" s="51"/>
      <c r="S215" s="51"/>
      <c r="T215" s="51"/>
      <c r="U215" s="51"/>
      <c r="V215" s="51"/>
      <c r="W215" s="51"/>
      <c r="X215" s="51"/>
      <c r="Y215" s="51"/>
      <c r="Z215" s="51"/>
      <c r="AA215" s="51"/>
      <c r="AB215" s="51"/>
    </row>
    <row r="216" customFormat="false" ht="15.75" hidden="false" customHeight="false" outlineLevel="0" collapsed="false">
      <c r="A216" s="51"/>
      <c r="B216" s="51"/>
      <c r="C216" s="6"/>
      <c r="D216" s="49"/>
      <c r="E216" s="51"/>
      <c r="F216" s="6"/>
      <c r="G216" s="6"/>
      <c r="H216" s="6"/>
      <c r="I216" s="6"/>
      <c r="J216" s="6"/>
      <c r="K216" s="51"/>
      <c r="L216" s="51"/>
      <c r="M216" s="51"/>
      <c r="N216" s="51"/>
      <c r="O216" s="51"/>
      <c r="P216" s="51"/>
      <c r="Q216" s="51"/>
      <c r="R216" s="51"/>
      <c r="S216" s="51"/>
      <c r="T216" s="51"/>
      <c r="U216" s="51"/>
      <c r="V216" s="51"/>
      <c r="W216" s="51"/>
      <c r="X216" s="51"/>
      <c r="Y216" s="51"/>
      <c r="Z216" s="51"/>
      <c r="AA216" s="51"/>
      <c r="AB216" s="51"/>
    </row>
    <row r="217" customFormat="false" ht="15.75" hidden="false" customHeight="false" outlineLevel="0" collapsed="false">
      <c r="A217" s="51"/>
      <c r="B217" s="51"/>
      <c r="C217" s="6"/>
      <c r="D217" s="49"/>
      <c r="E217" s="51"/>
      <c r="F217" s="6"/>
      <c r="G217" s="6"/>
      <c r="H217" s="6"/>
      <c r="I217" s="6"/>
      <c r="J217" s="6"/>
      <c r="K217" s="51"/>
      <c r="L217" s="51"/>
      <c r="M217" s="51"/>
      <c r="N217" s="51"/>
      <c r="O217" s="51"/>
      <c r="P217" s="51"/>
      <c r="Q217" s="51"/>
      <c r="R217" s="51"/>
      <c r="S217" s="51"/>
      <c r="T217" s="51"/>
      <c r="U217" s="51"/>
      <c r="V217" s="51"/>
      <c r="W217" s="51"/>
      <c r="X217" s="51"/>
      <c r="Y217" s="51"/>
      <c r="Z217" s="51"/>
      <c r="AA217" s="51"/>
      <c r="AB217" s="51"/>
    </row>
    <row r="218" customFormat="false" ht="15.75" hidden="false" customHeight="false" outlineLevel="0" collapsed="false">
      <c r="A218" s="51"/>
      <c r="B218" s="51"/>
      <c r="C218" s="6"/>
      <c r="D218" s="49"/>
      <c r="E218" s="51"/>
      <c r="F218" s="6"/>
      <c r="G218" s="6"/>
      <c r="H218" s="6"/>
      <c r="I218" s="6"/>
      <c r="J218" s="6"/>
      <c r="K218" s="51"/>
      <c r="L218" s="51"/>
      <c r="M218" s="51"/>
      <c r="N218" s="51"/>
      <c r="O218" s="51"/>
      <c r="P218" s="51"/>
      <c r="Q218" s="51"/>
      <c r="R218" s="51"/>
      <c r="S218" s="51"/>
      <c r="T218" s="51"/>
      <c r="U218" s="51"/>
      <c r="V218" s="51"/>
      <c r="W218" s="51"/>
      <c r="X218" s="51"/>
      <c r="Y218" s="51"/>
      <c r="Z218" s="51"/>
      <c r="AA218" s="51"/>
      <c r="AB218" s="51"/>
    </row>
    <row r="219" customFormat="false" ht="15.75" hidden="false" customHeight="false" outlineLevel="0" collapsed="false">
      <c r="A219" s="51"/>
      <c r="B219" s="51"/>
      <c r="C219" s="6"/>
      <c r="D219" s="49"/>
      <c r="E219" s="51"/>
      <c r="F219" s="6"/>
      <c r="G219" s="6"/>
      <c r="H219" s="6"/>
      <c r="I219" s="6"/>
      <c r="J219" s="6"/>
      <c r="K219" s="51"/>
      <c r="L219" s="51"/>
      <c r="M219" s="51"/>
      <c r="N219" s="51"/>
      <c r="O219" s="51"/>
      <c r="P219" s="51"/>
      <c r="Q219" s="51"/>
      <c r="R219" s="51"/>
      <c r="S219" s="51"/>
      <c r="T219" s="51"/>
      <c r="U219" s="51"/>
      <c r="V219" s="51"/>
      <c r="W219" s="51"/>
      <c r="X219" s="51"/>
      <c r="Y219" s="51"/>
      <c r="Z219" s="51"/>
      <c r="AA219" s="51"/>
      <c r="AB219" s="51"/>
    </row>
    <row r="220" customFormat="false" ht="15.75" hidden="false" customHeight="false" outlineLevel="0" collapsed="false">
      <c r="A220" s="51"/>
      <c r="B220" s="51"/>
      <c r="C220" s="6"/>
      <c r="D220" s="49"/>
      <c r="E220" s="51"/>
      <c r="F220" s="6"/>
      <c r="G220" s="6"/>
      <c r="H220" s="6"/>
      <c r="I220" s="6"/>
      <c r="J220" s="6"/>
      <c r="K220" s="51"/>
      <c r="L220" s="51"/>
      <c r="M220" s="51"/>
      <c r="N220" s="51"/>
      <c r="O220" s="51"/>
      <c r="P220" s="51"/>
      <c r="Q220" s="51"/>
      <c r="R220" s="51"/>
      <c r="S220" s="51"/>
      <c r="T220" s="51"/>
      <c r="U220" s="51"/>
      <c r="V220" s="51"/>
      <c r="W220" s="51"/>
      <c r="X220" s="51"/>
      <c r="Y220" s="51"/>
      <c r="Z220" s="51"/>
      <c r="AA220" s="51"/>
      <c r="AB220" s="51"/>
    </row>
    <row r="221" customFormat="false" ht="15.75" hidden="false" customHeight="false" outlineLevel="0" collapsed="false">
      <c r="A221" s="51"/>
      <c r="B221" s="51"/>
      <c r="C221" s="6"/>
      <c r="D221" s="49"/>
      <c r="E221" s="51"/>
      <c r="F221" s="6"/>
      <c r="G221" s="6"/>
      <c r="H221" s="6"/>
      <c r="I221" s="6"/>
      <c r="J221" s="6"/>
      <c r="K221" s="51"/>
      <c r="L221" s="51"/>
      <c r="M221" s="51"/>
      <c r="N221" s="51"/>
      <c r="O221" s="51"/>
      <c r="P221" s="51"/>
      <c r="Q221" s="51"/>
      <c r="R221" s="51"/>
      <c r="S221" s="51"/>
      <c r="T221" s="51"/>
      <c r="U221" s="51"/>
      <c r="V221" s="51"/>
      <c r="W221" s="51"/>
      <c r="X221" s="51"/>
      <c r="Y221" s="51"/>
      <c r="Z221" s="51"/>
      <c r="AA221" s="51"/>
      <c r="AB221" s="51"/>
    </row>
    <row r="222" customFormat="false" ht="15.75" hidden="false" customHeight="false" outlineLevel="0" collapsed="false">
      <c r="A222" s="51"/>
      <c r="B222" s="51"/>
      <c r="C222" s="6"/>
      <c r="D222" s="49"/>
      <c r="E222" s="51"/>
      <c r="F222" s="6"/>
      <c r="G222" s="6"/>
      <c r="H222" s="6"/>
      <c r="I222" s="6"/>
      <c r="J222" s="6"/>
      <c r="K222" s="51"/>
      <c r="L222" s="51"/>
      <c r="M222" s="51"/>
      <c r="N222" s="51"/>
      <c r="O222" s="51"/>
      <c r="P222" s="51"/>
      <c r="Q222" s="51"/>
      <c r="R222" s="51"/>
      <c r="S222" s="51"/>
      <c r="T222" s="51"/>
      <c r="U222" s="51"/>
      <c r="V222" s="51"/>
      <c r="W222" s="51"/>
      <c r="X222" s="51"/>
      <c r="Y222" s="51"/>
      <c r="Z222" s="51"/>
      <c r="AA222" s="51"/>
      <c r="AB222" s="51"/>
    </row>
    <row r="223" customFormat="false" ht="15.75" hidden="false" customHeight="false" outlineLevel="0" collapsed="false">
      <c r="A223" s="51"/>
      <c r="B223" s="51"/>
      <c r="C223" s="6"/>
      <c r="D223" s="49"/>
      <c r="E223" s="51"/>
      <c r="F223" s="6"/>
      <c r="G223" s="6"/>
      <c r="H223" s="6"/>
      <c r="I223" s="6"/>
      <c r="J223" s="6"/>
      <c r="K223" s="51"/>
      <c r="L223" s="51"/>
      <c r="M223" s="51"/>
      <c r="N223" s="51"/>
      <c r="O223" s="51"/>
      <c r="P223" s="51"/>
      <c r="Q223" s="51"/>
      <c r="R223" s="51"/>
      <c r="S223" s="51"/>
      <c r="T223" s="51"/>
      <c r="U223" s="51"/>
      <c r="V223" s="51"/>
      <c r="W223" s="51"/>
      <c r="X223" s="51"/>
      <c r="Y223" s="51"/>
      <c r="Z223" s="51"/>
      <c r="AA223" s="51"/>
      <c r="AB223" s="51"/>
    </row>
    <row r="224" customFormat="false" ht="15.75" hidden="false" customHeight="false" outlineLevel="0" collapsed="false">
      <c r="A224" s="51"/>
      <c r="B224" s="51"/>
      <c r="C224" s="6"/>
      <c r="D224" s="49"/>
      <c r="E224" s="51"/>
      <c r="F224" s="6"/>
      <c r="G224" s="6"/>
      <c r="H224" s="6"/>
      <c r="I224" s="6"/>
      <c r="J224" s="6"/>
      <c r="K224" s="51"/>
      <c r="L224" s="51"/>
      <c r="M224" s="51"/>
      <c r="N224" s="51"/>
      <c r="O224" s="51"/>
      <c r="P224" s="51"/>
      <c r="Q224" s="51"/>
      <c r="R224" s="51"/>
      <c r="S224" s="51"/>
      <c r="T224" s="51"/>
      <c r="U224" s="51"/>
      <c r="V224" s="51"/>
      <c r="W224" s="51"/>
      <c r="X224" s="51"/>
      <c r="Y224" s="51"/>
      <c r="Z224" s="51"/>
      <c r="AA224" s="51"/>
      <c r="AB224" s="51"/>
    </row>
    <row r="225" customFormat="false" ht="15.75" hidden="false" customHeight="false" outlineLevel="0" collapsed="false">
      <c r="A225" s="51"/>
      <c r="B225" s="51"/>
      <c r="C225" s="6"/>
      <c r="D225" s="49"/>
      <c r="E225" s="51"/>
      <c r="F225" s="6"/>
      <c r="G225" s="6"/>
      <c r="H225" s="6"/>
      <c r="I225" s="6"/>
      <c r="J225" s="6"/>
      <c r="K225" s="51"/>
      <c r="L225" s="51"/>
      <c r="M225" s="51"/>
      <c r="N225" s="51"/>
      <c r="O225" s="51"/>
      <c r="P225" s="51"/>
      <c r="Q225" s="51"/>
      <c r="R225" s="51"/>
      <c r="S225" s="51"/>
      <c r="T225" s="51"/>
      <c r="U225" s="51"/>
      <c r="V225" s="51"/>
      <c r="W225" s="51"/>
      <c r="X225" s="51"/>
      <c r="Y225" s="51"/>
      <c r="Z225" s="51"/>
      <c r="AA225" s="51"/>
      <c r="AB225" s="51"/>
    </row>
    <row r="226" customFormat="false" ht="15.75" hidden="false" customHeight="false" outlineLevel="0" collapsed="false">
      <c r="A226" s="51"/>
      <c r="B226" s="51"/>
      <c r="C226" s="6"/>
      <c r="D226" s="49"/>
      <c r="E226" s="51"/>
      <c r="F226" s="6"/>
      <c r="G226" s="6"/>
      <c r="H226" s="6"/>
      <c r="I226" s="6"/>
      <c r="J226" s="6"/>
      <c r="K226" s="51"/>
      <c r="L226" s="51"/>
      <c r="M226" s="51"/>
      <c r="N226" s="51"/>
      <c r="O226" s="51"/>
      <c r="P226" s="51"/>
      <c r="Q226" s="51"/>
      <c r="R226" s="51"/>
      <c r="S226" s="51"/>
      <c r="T226" s="51"/>
      <c r="U226" s="51"/>
      <c r="V226" s="51"/>
      <c r="W226" s="51"/>
      <c r="X226" s="51"/>
      <c r="Y226" s="51"/>
      <c r="Z226" s="51"/>
      <c r="AA226" s="51"/>
      <c r="AB226" s="51"/>
    </row>
    <row r="227" customFormat="false" ht="15.75" hidden="false" customHeight="false" outlineLevel="0" collapsed="false">
      <c r="A227" s="51"/>
      <c r="B227" s="51"/>
      <c r="C227" s="6"/>
      <c r="D227" s="49"/>
      <c r="E227" s="51"/>
      <c r="F227" s="6"/>
      <c r="G227" s="6"/>
      <c r="H227" s="6"/>
      <c r="I227" s="6"/>
      <c r="J227" s="6"/>
      <c r="K227" s="51"/>
      <c r="L227" s="51"/>
      <c r="M227" s="51"/>
      <c r="N227" s="51"/>
      <c r="O227" s="51"/>
      <c r="P227" s="51"/>
      <c r="Q227" s="51"/>
      <c r="R227" s="51"/>
      <c r="S227" s="51"/>
      <c r="T227" s="51"/>
      <c r="U227" s="51"/>
      <c r="V227" s="51"/>
      <c r="W227" s="51"/>
      <c r="X227" s="51"/>
      <c r="Y227" s="51"/>
      <c r="Z227" s="51"/>
      <c r="AA227" s="51"/>
      <c r="AB227" s="51"/>
    </row>
    <row r="228" customFormat="false" ht="15.75" hidden="false" customHeight="false" outlineLevel="0" collapsed="false">
      <c r="A228" s="51"/>
      <c r="B228" s="51"/>
      <c r="C228" s="6"/>
      <c r="D228" s="49"/>
      <c r="E228" s="51"/>
      <c r="F228" s="6"/>
      <c r="G228" s="6"/>
      <c r="H228" s="6"/>
      <c r="I228" s="6"/>
      <c r="J228" s="6"/>
      <c r="K228" s="51"/>
      <c r="L228" s="51"/>
      <c r="M228" s="51"/>
      <c r="N228" s="51"/>
      <c r="O228" s="51"/>
      <c r="P228" s="51"/>
      <c r="Q228" s="51"/>
      <c r="R228" s="51"/>
      <c r="S228" s="51"/>
      <c r="T228" s="51"/>
      <c r="U228" s="51"/>
      <c r="V228" s="51"/>
      <c r="W228" s="51"/>
      <c r="X228" s="51"/>
      <c r="Y228" s="51"/>
      <c r="Z228" s="51"/>
      <c r="AA228" s="51"/>
      <c r="AB228" s="51"/>
    </row>
    <row r="229" customFormat="false" ht="15.75" hidden="false" customHeight="false" outlineLevel="0" collapsed="false">
      <c r="A229" s="51"/>
      <c r="B229" s="51"/>
      <c r="C229" s="6"/>
      <c r="D229" s="49"/>
      <c r="E229" s="51"/>
      <c r="F229" s="6"/>
      <c r="G229" s="6"/>
      <c r="H229" s="6"/>
      <c r="I229" s="6"/>
      <c r="J229" s="6"/>
      <c r="K229" s="51"/>
      <c r="L229" s="51"/>
      <c r="M229" s="51"/>
      <c r="N229" s="51"/>
      <c r="O229" s="51"/>
      <c r="P229" s="51"/>
      <c r="Q229" s="51"/>
      <c r="R229" s="51"/>
      <c r="S229" s="51"/>
      <c r="T229" s="51"/>
      <c r="U229" s="51"/>
      <c r="V229" s="51"/>
      <c r="W229" s="51"/>
      <c r="X229" s="51"/>
      <c r="Y229" s="51"/>
      <c r="Z229" s="51"/>
      <c r="AA229" s="51"/>
      <c r="AB229" s="51"/>
    </row>
    <row r="230" customFormat="false" ht="15.75" hidden="false" customHeight="false" outlineLevel="0" collapsed="false">
      <c r="A230" s="51"/>
      <c r="B230" s="51"/>
      <c r="C230" s="6"/>
      <c r="D230" s="49"/>
      <c r="E230" s="51"/>
      <c r="F230" s="6"/>
      <c r="G230" s="6"/>
      <c r="H230" s="6"/>
      <c r="I230" s="6"/>
      <c r="J230" s="6"/>
      <c r="K230" s="51"/>
      <c r="L230" s="51"/>
      <c r="M230" s="51"/>
      <c r="N230" s="51"/>
      <c r="O230" s="51"/>
      <c r="P230" s="51"/>
      <c r="Q230" s="51"/>
      <c r="R230" s="51"/>
      <c r="S230" s="51"/>
      <c r="T230" s="51"/>
      <c r="U230" s="51"/>
      <c r="V230" s="51"/>
      <c r="W230" s="51"/>
      <c r="X230" s="51"/>
      <c r="Y230" s="51"/>
      <c r="Z230" s="51"/>
      <c r="AA230" s="51"/>
      <c r="AB230" s="51"/>
    </row>
    <row r="231" customFormat="false" ht="15.75" hidden="false" customHeight="false" outlineLevel="0" collapsed="false">
      <c r="A231" s="51"/>
      <c r="B231" s="51"/>
      <c r="C231" s="6"/>
      <c r="D231" s="49"/>
      <c r="E231" s="51"/>
      <c r="F231" s="6"/>
      <c r="G231" s="6"/>
      <c r="H231" s="6"/>
      <c r="I231" s="6"/>
      <c r="J231" s="6"/>
      <c r="K231" s="51"/>
      <c r="L231" s="51"/>
      <c r="M231" s="51"/>
      <c r="N231" s="51"/>
      <c r="O231" s="51"/>
      <c r="P231" s="51"/>
      <c r="Q231" s="51"/>
      <c r="R231" s="51"/>
      <c r="S231" s="51"/>
      <c r="T231" s="51"/>
      <c r="U231" s="51"/>
      <c r="V231" s="51"/>
      <c r="W231" s="51"/>
      <c r="X231" s="51"/>
      <c r="Y231" s="51"/>
      <c r="Z231" s="51"/>
      <c r="AA231" s="51"/>
      <c r="AB231" s="51"/>
    </row>
    <row r="232" customFormat="false" ht="15.75" hidden="false" customHeight="false" outlineLevel="0" collapsed="false">
      <c r="A232" s="51"/>
      <c r="B232" s="51"/>
      <c r="C232" s="6"/>
      <c r="D232" s="49"/>
      <c r="E232" s="51"/>
      <c r="F232" s="6"/>
      <c r="G232" s="6"/>
      <c r="H232" s="6"/>
      <c r="I232" s="6"/>
      <c r="J232" s="6"/>
      <c r="K232" s="51"/>
      <c r="L232" s="51"/>
      <c r="M232" s="51"/>
      <c r="N232" s="51"/>
      <c r="O232" s="51"/>
      <c r="P232" s="51"/>
      <c r="Q232" s="51"/>
      <c r="R232" s="51"/>
      <c r="S232" s="51"/>
      <c r="T232" s="51"/>
      <c r="U232" s="51"/>
      <c r="V232" s="51"/>
      <c r="W232" s="51"/>
      <c r="X232" s="51"/>
      <c r="Y232" s="51"/>
      <c r="Z232" s="51"/>
      <c r="AA232" s="51"/>
      <c r="AB232" s="51"/>
    </row>
    <row r="233" customFormat="false" ht="15.75" hidden="false" customHeight="false" outlineLevel="0" collapsed="false">
      <c r="A233" s="51"/>
      <c r="B233" s="51"/>
      <c r="C233" s="6"/>
      <c r="D233" s="49"/>
      <c r="E233" s="51"/>
      <c r="F233" s="6"/>
      <c r="G233" s="6"/>
      <c r="H233" s="6"/>
      <c r="I233" s="6"/>
      <c r="J233" s="6"/>
      <c r="K233" s="51"/>
      <c r="L233" s="51"/>
      <c r="M233" s="51"/>
      <c r="N233" s="51"/>
      <c r="O233" s="51"/>
      <c r="P233" s="51"/>
      <c r="Q233" s="51"/>
      <c r="R233" s="51"/>
      <c r="S233" s="51"/>
      <c r="T233" s="51"/>
      <c r="U233" s="51"/>
      <c r="V233" s="51"/>
      <c r="W233" s="51"/>
      <c r="X233" s="51"/>
      <c r="Y233" s="51"/>
      <c r="Z233" s="51"/>
      <c r="AA233" s="51"/>
      <c r="AB233" s="51"/>
    </row>
    <row r="234" customFormat="false" ht="15.75" hidden="false" customHeight="false" outlineLevel="0" collapsed="false">
      <c r="A234" s="51"/>
      <c r="B234" s="51"/>
      <c r="C234" s="6"/>
      <c r="D234" s="49"/>
      <c r="E234" s="51"/>
      <c r="F234" s="6"/>
      <c r="G234" s="6"/>
      <c r="H234" s="6"/>
      <c r="I234" s="6"/>
      <c r="J234" s="6"/>
      <c r="K234" s="51"/>
      <c r="L234" s="51"/>
      <c r="M234" s="51"/>
      <c r="N234" s="51"/>
      <c r="O234" s="51"/>
      <c r="P234" s="51"/>
      <c r="Q234" s="51"/>
      <c r="R234" s="51"/>
      <c r="S234" s="51"/>
      <c r="T234" s="51"/>
      <c r="U234" s="51"/>
      <c r="V234" s="51"/>
      <c r="W234" s="51"/>
      <c r="X234" s="51"/>
      <c r="Y234" s="51"/>
      <c r="Z234" s="51"/>
      <c r="AA234" s="51"/>
      <c r="AB234" s="51"/>
    </row>
    <row r="235" customFormat="false" ht="15.75" hidden="false" customHeight="false" outlineLevel="0" collapsed="false">
      <c r="A235" s="51"/>
      <c r="B235" s="51"/>
      <c r="C235" s="6"/>
      <c r="D235" s="49"/>
      <c r="E235" s="51"/>
      <c r="F235" s="6"/>
      <c r="G235" s="6"/>
      <c r="H235" s="6"/>
      <c r="I235" s="6"/>
      <c r="J235" s="6"/>
      <c r="K235" s="51"/>
      <c r="L235" s="51"/>
      <c r="M235" s="51"/>
      <c r="N235" s="51"/>
      <c r="O235" s="51"/>
      <c r="P235" s="51"/>
      <c r="Q235" s="51"/>
      <c r="R235" s="51"/>
      <c r="S235" s="51"/>
      <c r="T235" s="51"/>
      <c r="U235" s="51"/>
      <c r="V235" s="51"/>
      <c r="W235" s="51"/>
      <c r="X235" s="51"/>
      <c r="Y235" s="51"/>
      <c r="Z235" s="51"/>
      <c r="AA235" s="51"/>
      <c r="AB235" s="51"/>
    </row>
    <row r="236" customFormat="false" ht="15.75" hidden="false" customHeight="false" outlineLevel="0" collapsed="false">
      <c r="A236" s="51"/>
      <c r="B236" s="51"/>
      <c r="C236" s="6"/>
      <c r="D236" s="49"/>
      <c r="E236" s="51"/>
      <c r="F236" s="6"/>
      <c r="G236" s="6"/>
      <c r="H236" s="6"/>
      <c r="I236" s="6"/>
      <c r="J236" s="6"/>
      <c r="K236" s="51"/>
      <c r="L236" s="51"/>
      <c r="M236" s="51"/>
      <c r="N236" s="51"/>
      <c r="O236" s="51"/>
      <c r="P236" s="51"/>
      <c r="Q236" s="51"/>
      <c r="R236" s="51"/>
      <c r="S236" s="51"/>
      <c r="T236" s="51"/>
      <c r="U236" s="51"/>
      <c r="V236" s="51"/>
      <c r="W236" s="51"/>
      <c r="X236" s="51"/>
      <c r="Y236" s="51"/>
      <c r="Z236" s="51"/>
      <c r="AA236" s="51"/>
      <c r="AB236" s="51"/>
    </row>
    <row r="237" customFormat="false" ht="15.75" hidden="false" customHeight="false" outlineLevel="0" collapsed="false">
      <c r="A237" s="51"/>
      <c r="B237" s="51"/>
      <c r="C237" s="6"/>
      <c r="D237" s="49"/>
      <c r="E237" s="51"/>
      <c r="F237" s="6"/>
      <c r="G237" s="6"/>
      <c r="H237" s="6"/>
      <c r="I237" s="6"/>
      <c r="J237" s="6"/>
      <c r="K237" s="51"/>
      <c r="L237" s="51"/>
      <c r="M237" s="51"/>
      <c r="N237" s="51"/>
      <c r="O237" s="51"/>
      <c r="P237" s="51"/>
      <c r="Q237" s="51"/>
      <c r="R237" s="51"/>
      <c r="S237" s="51"/>
      <c r="T237" s="51"/>
      <c r="U237" s="51"/>
      <c r="V237" s="51"/>
      <c r="W237" s="51"/>
      <c r="X237" s="51"/>
      <c r="Y237" s="51"/>
      <c r="Z237" s="51"/>
      <c r="AA237" s="51"/>
      <c r="AB237" s="51"/>
    </row>
    <row r="238" customFormat="false" ht="15.75" hidden="false" customHeight="false" outlineLevel="0" collapsed="false">
      <c r="A238" s="51"/>
      <c r="B238" s="51"/>
      <c r="C238" s="6"/>
      <c r="D238" s="49"/>
      <c r="E238" s="51"/>
      <c r="F238" s="6"/>
      <c r="G238" s="6"/>
      <c r="H238" s="6"/>
      <c r="I238" s="6"/>
      <c r="J238" s="6"/>
      <c r="K238" s="51"/>
      <c r="L238" s="51"/>
      <c r="M238" s="51"/>
      <c r="N238" s="51"/>
      <c r="O238" s="51"/>
      <c r="P238" s="51"/>
      <c r="Q238" s="51"/>
      <c r="R238" s="51"/>
      <c r="S238" s="51"/>
      <c r="T238" s="51"/>
      <c r="U238" s="51"/>
      <c r="V238" s="51"/>
      <c r="W238" s="51"/>
      <c r="X238" s="51"/>
      <c r="Y238" s="51"/>
      <c r="Z238" s="51"/>
      <c r="AA238" s="51"/>
      <c r="AB238" s="51"/>
    </row>
    <row r="239" customFormat="false" ht="15.75" hidden="false" customHeight="false" outlineLevel="0" collapsed="false">
      <c r="A239" s="51"/>
      <c r="B239" s="51"/>
      <c r="C239" s="6"/>
      <c r="D239" s="49"/>
      <c r="E239" s="51"/>
      <c r="F239" s="6"/>
      <c r="G239" s="6"/>
      <c r="H239" s="6"/>
      <c r="I239" s="6"/>
      <c r="J239" s="6"/>
      <c r="K239" s="51"/>
      <c r="L239" s="51"/>
      <c r="M239" s="51"/>
      <c r="N239" s="51"/>
      <c r="O239" s="51"/>
      <c r="P239" s="51"/>
      <c r="Q239" s="51"/>
      <c r="R239" s="51"/>
      <c r="S239" s="51"/>
      <c r="T239" s="51"/>
      <c r="U239" s="51"/>
      <c r="V239" s="51"/>
      <c r="W239" s="51"/>
      <c r="X239" s="51"/>
      <c r="Y239" s="51"/>
      <c r="Z239" s="51"/>
      <c r="AA239" s="51"/>
      <c r="AB239" s="51"/>
    </row>
    <row r="240" customFormat="false" ht="15.75" hidden="false" customHeight="false" outlineLevel="0" collapsed="false">
      <c r="A240" s="51"/>
      <c r="B240" s="51"/>
      <c r="C240" s="6"/>
      <c r="D240" s="49"/>
      <c r="E240" s="51"/>
      <c r="F240" s="6"/>
      <c r="G240" s="6"/>
      <c r="H240" s="6"/>
      <c r="I240" s="6"/>
      <c r="J240" s="6"/>
      <c r="K240" s="51"/>
      <c r="L240" s="51"/>
      <c r="M240" s="51"/>
      <c r="N240" s="51"/>
      <c r="O240" s="51"/>
      <c r="P240" s="51"/>
      <c r="Q240" s="51"/>
      <c r="R240" s="51"/>
      <c r="S240" s="51"/>
      <c r="T240" s="51"/>
      <c r="U240" s="51"/>
      <c r="V240" s="51"/>
      <c r="W240" s="51"/>
      <c r="X240" s="51"/>
      <c r="Y240" s="51"/>
      <c r="Z240" s="51"/>
      <c r="AA240" s="51"/>
      <c r="AB240" s="51"/>
    </row>
    <row r="241" customFormat="false" ht="15.75" hidden="false" customHeight="false" outlineLevel="0" collapsed="false">
      <c r="A241" s="51"/>
      <c r="B241" s="51"/>
      <c r="C241" s="6"/>
      <c r="D241" s="49"/>
      <c r="E241" s="51"/>
      <c r="F241" s="6"/>
      <c r="G241" s="6"/>
      <c r="H241" s="6"/>
      <c r="I241" s="6"/>
      <c r="J241" s="6"/>
      <c r="K241" s="51"/>
      <c r="L241" s="51"/>
      <c r="M241" s="51"/>
      <c r="N241" s="51"/>
      <c r="O241" s="51"/>
      <c r="P241" s="51"/>
      <c r="Q241" s="51"/>
      <c r="R241" s="51"/>
      <c r="S241" s="51"/>
      <c r="T241" s="51"/>
      <c r="U241" s="51"/>
      <c r="V241" s="51"/>
      <c r="W241" s="51"/>
      <c r="X241" s="51"/>
      <c r="Y241" s="51"/>
      <c r="Z241" s="51"/>
      <c r="AA241" s="51"/>
      <c r="AB241" s="51"/>
    </row>
    <row r="242" customFormat="false" ht="15.75" hidden="false" customHeight="false" outlineLevel="0" collapsed="false">
      <c r="A242" s="51"/>
      <c r="B242" s="51"/>
      <c r="C242" s="6"/>
      <c r="D242" s="49"/>
      <c r="E242" s="51"/>
      <c r="F242" s="6"/>
      <c r="G242" s="6"/>
      <c r="H242" s="6"/>
      <c r="I242" s="6"/>
      <c r="J242" s="6"/>
      <c r="K242" s="51"/>
      <c r="L242" s="51"/>
      <c r="M242" s="51"/>
      <c r="N242" s="51"/>
      <c r="O242" s="51"/>
      <c r="P242" s="51"/>
      <c r="Q242" s="51"/>
      <c r="R242" s="51"/>
      <c r="S242" s="51"/>
      <c r="T242" s="51"/>
      <c r="U242" s="51"/>
      <c r="V242" s="51"/>
      <c r="W242" s="51"/>
      <c r="X242" s="51"/>
      <c r="Y242" s="51"/>
      <c r="Z242" s="51"/>
      <c r="AA242" s="51"/>
      <c r="AB242" s="51"/>
    </row>
    <row r="243" customFormat="false" ht="15.75" hidden="false" customHeight="false" outlineLevel="0" collapsed="false">
      <c r="A243" s="51"/>
      <c r="B243" s="51"/>
      <c r="C243" s="6"/>
      <c r="D243" s="49"/>
      <c r="E243" s="51"/>
      <c r="F243" s="6"/>
      <c r="G243" s="6"/>
      <c r="H243" s="6"/>
      <c r="I243" s="6"/>
      <c r="J243" s="6"/>
      <c r="K243" s="51"/>
      <c r="L243" s="51"/>
      <c r="M243" s="51"/>
      <c r="N243" s="51"/>
      <c r="O243" s="51"/>
      <c r="P243" s="51"/>
      <c r="Q243" s="51"/>
      <c r="R243" s="51"/>
      <c r="S243" s="51"/>
      <c r="T243" s="51"/>
      <c r="U243" s="51"/>
      <c r="V243" s="51"/>
      <c r="W243" s="51"/>
      <c r="X243" s="51"/>
      <c r="Y243" s="51"/>
      <c r="Z243" s="51"/>
      <c r="AA243" s="51"/>
      <c r="AB243" s="51"/>
    </row>
    <row r="244" customFormat="false" ht="15.75" hidden="false" customHeight="false" outlineLevel="0" collapsed="false">
      <c r="A244" s="51"/>
      <c r="B244" s="51"/>
      <c r="C244" s="6"/>
      <c r="D244" s="49"/>
      <c r="E244" s="51"/>
      <c r="F244" s="6"/>
      <c r="G244" s="6"/>
      <c r="H244" s="6"/>
      <c r="I244" s="6"/>
      <c r="J244" s="6"/>
      <c r="K244" s="51"/>
      <c r="L244" s="51"/>
      <c r="M244" s="51"/>
      <c r="N244" s="51"/>
      <c r="O244" s="51"/>
      <c r="P244" s="51"/>
      <c r="Q244" s="51"/>
      <c r="R244" s="51"/>
      <c r="S244" s="51"/>
      <c r="T244" s="51"/>
      <c r="U244" s="51"/>
      <c r="V244" s="51"/>
      <c r="W244" s="51"/>
      <c r="X244" s="51"/>
      <c r="Y244" s="51"/>
      <c r="Z244" s="51"/>
      <c r="AA244" s="51"/>
      <c r="AB244" s="51"/>
    </row>
    <row r="245" customFormat="false" ht="15.75" hidden="false" customHeight="false" outlineLevel="0" collapsed="false">
      <c r="A245" s="51"/>
      <c r="B245" s="51"/>
      <c r="C245" s="6"/>
      <c r="D245" s="49"/>
      <c r="E245" s="51"/>
      <c r="F245" s="6"/>
      <c r="G245" s="6"/>
      <c r="H245" s="6"/>
      <c r="I245" s="6"/>
      <c r="J245" s="6"/>
      <c r="K245" s="51"/>
      <c r="L245" s="51"/>
      <c r="M245" s="51"/>
      <c r="N245" s="51"/>
      <c r="O245" s="51"/>
      <c r="P245" s="51"/>
      <c r="Q245" s="51"/>
      <c r="R245" s="51"/>
      <c r="S245" s="51"/>
      <c r="T245" s="51"/>
      <c r="U245" s="51"/>
      <c r="V245" s="51"/>
      <c r="W245" s="51"/>
      <c r="X245" s="51"/>
      <c r="Y245" s="51"/>
      <c r="Z245" s="51"/>
      <c r="AA245" s="51"/>
      <c r="AB245" s="51"/>
    </row>
    <row r="246" customFormat="false" ht="15.75" hidden="false" customHeight="false" outlineLevel="0" collapsed="false">
      <c r="A246" s="51"/>
      <c r="B246" s="51"/>
      <c r="C246" s="6"/>
      <c r="D246" s="49"/>
      <c r="E246" s="51"/>
      <c r="F246" s="6"/>
      <c r="G246" s="6"/>
      <c r="H246" s="6"/>
      <c r="I246" s="6"/>
      <c r="J246" s="6"/>
      <c r="K246" s="51"/>
      <c r="L246" s="51"/>
      <c r="M246" s="51"/>
      <c r="N246" s="51"/>
      <c r="O246" s="51"/>
      <c r="P246" s="51"/>
      <c r="Q246" s="51"/>
      <c r="R246" s="51"/>
      <c r="S246" s="51"/>
      <c r="T246" s="51"/>
      <c r="U246" s="51"/>
      <c r="V246" s="51"/>
      <c r="W246" s="51"/>
      <c r="X246" s="51"/>
      <c r="Y246" s="51"/>
      <c r="Z246" s="51"/>
      <c r="AA246" s="51"/>
      <c r="AB246" s="51"/>
    </row>
    <row r="247" customFormat="false" ht="15.75" hidden="false" customHeight="false" outlineLevel="0" collapsed="false">
      <c r="A247" s="51"/>
      <c r="B247" s="51"/>
      <c r="C247" s="6"/>
      <c r="D247" s="49"/>
      <c r="E247" s="51"/>
      <c r="F247" s="6"/>
      <c r="G247" s="6"/>
      <c r="H247" s="6"/>
      <c r="I247" s="6"/>
      <c r="J247" s="6"/>
      <c r="K247" s="51"/>
      <c r="L247" s="51"/>
      <c r="M247" s="51"/>
      <c r="N247" s="51"/>
      <c r="O247" s="51"/>
      <c r="P247" s="51"/>
      <c r="Q247" s="51"/>
      <c r="R247" s="51"/>
      <c r="S247" s="51"/>
      <c r="T247" s="51"/>
      <c r="U247" s="51"/>
      <c r="V247" s="51"/>
      <c r="W247" s="51"/>
      <c r="X247" s="51"/>
      <c r="Y247" s="51"/>
      <c r="Z247" s="51"/>
      <c r="AA247" s="51"/>
      <c r="AB247" s="51"/>
    </row>
    <row r="248" customFormat="false" ht="15.75" hidden="false" customHeight="false" outlineLevel="0" collapsed="false">
      <c r="A248" s="51"/>
      <c r="B248" s="51"/>
      <c r="C248" s="6"/>
      <c r="D248" s="49"/>
      <c r="E248" s="51"/>
      <c r="F248" s="6"/>
      <c r="G248" s="6"/>
      <c r="H248" s="6"/>
      <c r="I248" s="6"/>
      <c r="J248" s="6"/>
      <c r="K248" s="51"/>
      <c r="L248" s="51"/>
      <c r="M248" s="51"/>
      <c r="N248" s="51"/>
      <c r="O248" s="51"/>
      <c r="P248" s="51"/>
      <c r="Q248" s="51"/>
      <c r="R248" s="51"/>
      <c r="S248" s="51"/>
      <c r="T248" s="51"/>
      <c r="U248" s="51"/>
      <c r="V248" s="51"/>
      <c r="W248" s="51"/>
      <c r="X248" s="51"/>
      <c r="Y248" s="51"/>
      <c r="Z248" s="51"/>
      <c r="AA248" s="51"/>
      <c r="AB248" s="51"/>
    </row>
    <row r="249" customFormat="false" ht="15.75" hidden="false" customHeight="false" outlineLevel="0" collapsed="false">
      <c r="A249" s="51"/>
      <c r="B249" s="51"/>
      <c r="C249" s="6"/>
      <c r="D249" s="49"/>
      <c r="E249" s="51"/>
      <c r="F249" s="6"/>
      <c r="G249" s="6"/>
      <c r="H249" s="6"/>
      <c r="I249" s="6"/>
      <c r="J249" s="6"/>
      <c r="K249" s="51"/>
      <c r="L249" s="51"/>
      <c r="M249" s="51"/>
      <c r="N249" s="51"/>
      <c r="O249" s="51"/>
      <c r="P249" s="51"/>
      <c r="Q249" s="51"/>
      <c r="R249" s="51"/>
      <c r="S249" s="51"/>
      <c r="T249" s="51"/>
      <c r="U249" s="51"/>
      <c r="V249" s="51"/>
      <c r="W249" s="51"/>
      <c r="X249" s="51"/>
      <c r="Y249" s="51"/>
      <c r="Z249" s="51"/>
      <c r="AA249" s="51"/>
      <c r="AB249" s="51"/>
    </row>
    <row r="250" customFormat="false" ht="15.75" hidden="false" customHeight="false" outlineLevel="0" collapsed="false">
      <c r="A250" s="51"/>
      <c r="B250" s="51"/>
      <c r="C250" s="6"/>
      <c r="D250" s="49"/>
      <c r="E250" s="51"/>
      <c r="F250" s="6"/>
      <c r="G250" s="6"/>
      <c r="H250" s="6"/>
      <c r="I250" s="6"/>
      <c r="J250" s="6"/>
      <c r="K250" s="51"/>
      <c r="L250" s="51"/>
      <c r="M250" s="51"/>
      <c r="N250" s="51"/>
      <c r="O250" s="51"/>
      <c r="P250" s="51"/>
      <c r="Q250" s="51"/>
      <c r="R250" s="51"/>
      <c r="S250" s="51"/>
      <c r="T250" s="51"/>
      <c r="U250" s="51"/>
      <c r="V250" s="51"/>
      <c r="W250" s="51"/>
      <c r="X250" s="51"/>
      <c r="Y250" s="51"/>
      <c r="Z250" s="51"/>
      <c r="AA250" s="51"/>
      <c r="AB250" s="51"/>
    </row>
    <row r="251" customFormat="false" ht="15.75" hidden="false" customHeight="false" outlineLevel="0" collapsed="false">
      <c r="A251" s="51"/>
      <c r="B251" s="51"/>
      <c r="C251" s="6"/>
      <c r="D251" s="49"/>
      <c r="E251" s="51"/>
      <c r="F251" s="6"/>
      <c r="G251" s="6"/>
      <c r="H251" s="6"/>
      <c r="I251" s="6"/>
      <c r="J251" s="6"/>
      <c r="K251" s="51"/>
      <c r="L251" s="51"/>
      <c r="M251" s="51"/>
      <c r="N251" s="51"/>
      <c r="O251" s="51"/>
      <c r="P251" s="51"/>
      <c r="Q251" s="51"/>
      <c r="R251" s="51"/>
      <c r="S251" s="51"/>
      <c r="T251" s="51"/>
      <c r="U251" s="51"/>
      <c r="V251" s="51"/>
      <c r="W251" s="51"/>
      <c r="X251" s="51"/>
      <c r="Y251" s="51"/>
      <c r="Z251" s="51"/>
      <c r="AA251" s="51"/>
      <c r="AB251" s="51"/>
    </row>
    <row r="252" customFormat="false" ht="15.75" hidden="false" customHeight="false" outlineLevel="0" collapsed="false">
      <c r="A252" s="51"/>
      <c r="B252" s="51"/>
      <c r="C252" s="6"/>
      <c r="D252" s="49"/>
      <c r="E252" s="51"/>
      <c r="F252" s="6"/>
      <c r="G252" s="6"/>
      <c r="H252" s="6"/>
      <c r="I252" s="6"/>
      <c r="J252" s="6"/>
      <c r="K252" s="51"/>
      <c r="L252" s="51"/>
      <c r="M252" s="51"/>
      <c r="N252" s="51"/>
      <c r="O252" s="51"/>
      <c r="P252" s="51"/>
      <c r="Q252" s="51"/>
      <c r="R252" s="51"/>
      <c r="S252" s="51"/>
      <c r="T252" s="51"/>
      <c r="U252" s="51"/>
      <c r="V252" s="51"/>
      <c r="W252" s="51"/>
      <c r="X252" s="51"/>
      <c r="Y252" s="51"/>
      <c r="Z252" s="51"/>
      <c r="AA252" s="51"/>
      <c r="AB252" s="51"/>
    </row>
    <row r="253" customFormat="false" ht="15.75" hidden="false" customHeight="false" outlineLevel="0" collapsed="false">
      <c r="A253" s="51"/>
      <c r="B253" s="51"/>
      <c r="C253" s="6"/>
      <c r="D253" s="49"/>
      <c r="E253" s="51"/>
      <c r="F253" s="6"/>
      <c r="G253" s="6"/>
      <c r="H253" s="6"/>
      <c r="I253" s="6"/>
      <c r="J253" s="6"/>
      <c r="K253" s="51"/>
      <c r="L253" s="51"/>
      <c r="M253" s="51"/>
      <c r="N253" s="51"/>
      <c r="O253" s="51"/>
      <c r="P253" s="51"/>
      <c r="Q253" s="51"/>
      <c r="R253" s="51"/>
      <c r="S253" s="51"/>
      <c r="T253" s="51"/>
      <c r="U253" s="51"/>
      <c r="V253" s="51"/>
      <c r="W253" s="51"/>
      <c r="X253" s="51"/>
      <c r="Y253" s="51"/>
      <c r="Z253" s="51"/>
      <c r="AA253" s="51"/>
      <c r="AB253" s="51"/>
    </row>
    <row r="254" customFormat="false" ht="15.75" hidden="false" customHeight="false" outlineLevel="0" collapsed="false">
      <c r="A254" s="51"/>
      <c r="B254" s="51"/>
      <c r="C254" s="6"/>
      <c r="D254" s="49"/>
      <c r="E254" s="51"/>
      <c r="F254" s="6"/>
      <c r="G254" s="6"/>
      <c r="H254" s="6"/>
      <c r="I254" s="6"/>
      <c r="J254" s="6"/>
      <c r="K254" s="51"/>
      <c r="L254" s="51"/>
      <c r="M254" s="51"/>
      <c r="N254" s="51"/>
      <c r="O254" s="51"/>
      <c r="P254" s="51"/>
      <c r="Q254" s="51"/>
      <c r="R254" s="51"/>
      <c r="S254" s="51"/>
      <c r="T254" s="51"/>
      <c r="U254" s="51"/>
      <c r="V254" s="51"/>
      <c r="W254" s="51"/>
      <c r="X254" s="51"/>
      <c r="Y254" s="51"/>
      <c r="Z254" s="51"/>
      <c r="AA254" s="51"/>
      <c r="AB254" s="51"/>
    </row>
    <row r="255" customFormat="false" ht="15.75" hidden="false" customHeight="false" outlineLevel="0" collapsed="false">
      <c r="A255" s="51"/>
      <c r="B255" s="51"/>
      <c r="C255" s="6"/>
      <c r="D255" s="49"/>
      <c r="E255" s="51"/>
      <c r="F255" s="6"/>
      <c r="G255" s="6"/>
      <c r="H255" s="6"/>
      <c r="I255" s="6"/>
      <c r="J255" s="6"/>
      <c r="K255" s="51"/>
      <c r="L255" s="51"/>
      <c r="M255" s="51"/>
      <c r="N255" s="51"/>
      <c r="O255" s="51"/>
      <c r="P255" s="51"/>
      <c r="Q255" s="51"/>
      <c r="R255" s="51"/>
      <c r="S255" s="51"/>
      <c r="T255" s="51"/>
      <c r="U255" s="51"/>
      <c r="V255" s="51"/>
      <c r="W255" s="51"/>
      <c r="X255" s="51"/>
      <c r="Y255" s="51"/>
      <c r="Z255" s="51"/>
      <c r="AA255" s="51"/>
      <c r="AB255" s="51"/>
    </row>
    <row r="256" customFormat="false" ht="15.75" hidden="false" customHeight="false" outlineLevel="0" collapsed="false">
      <c r="A256" s="51"/>
      <c r="B256" s="51"/>
      <c r="C256" s="6"/>
      <c r="D256" s="49"/>
      <c r="E256" s="51"/>
      <c r="F256" s="6"/>
      <c r="G256" s="6"/>
      <c r="H256" s="6"/>
      <c r="I256" s="6"/>
      <c r="J256" s="6"/>
      <c r="K256" s="51"/>
      <c r="L256" s="51"/>
      <c r="M256" s="51"/>
      <c r="N256" s="51"/>
      <c r="O256" s="51"/>
      <c r="P256" s="51"/>
      <c r="Q256" s="51"/>
      <c r="R256" s="51"/>
      <c r="S256" s="51"/>
      <c r="T256" s="51"/>
      <c r="U256" s="51"/>
      <c r="V256" s="51"/>
      <c r="W256" s="51"/>
      <c r="X256" s="51"/>
      <c r="Y256" s="51"/>
      <c r="Z256" s="51"/>
      <c r="AA256" s="51"/>
      <c r="AB256" s="51"/>
    </row>
    <row r="257" customFormat="false" ht="15.75" hidden="false" customHeight="false" outlineLevel="0" collapsed="false">
      <c r="A257" s="51"/>
      <c r="B257" s="51"/>
      <c r="C257" s="6"/>
      <c r="D257" s="49"/>
      <c r="E257" s="51"/>
      <c r="F257" s="6"/>
      <c r="G257" s="6"/>
      <c r="H257" s="6"/>
      <c r="I257" s="6"/>
      <c r="J257" s="6"/>
      <c r="K257" s="51"/>
      <c r="L257" s="51"/>
      <c r="M257" s="51"/>
      <c r="N257" s="51"/>
      <c r="O257" s="51"/>
      <c r="P257" s="51"/>
      <c r="Q257" s="51"/>
      <c r="R257" s="51"/>
      <c r="S257" s="51"/>
      <c r="T257" s="51"/>
      <c r="U257" s="51"/>
      <c r="V257" s="51"/>
      <c r="W257" s="51"/>
      <c r="X257" s="51"/>
      <c r="Y257" s="51"/>
      <c r="Z257" s="51"/>
      <c r="AA257" s="51"/>
      <c r="AB257" s="51"/>
    </row>
    <row r="258" customFormat="false" ht="15.75" hidden="false" customHeight="false" outlineLevel="0" collapsed="false">
      <c r="A258" s="51"/>
      <c r="B258" s="51"/>
      <c r="C258" s="6"/>
      <c r="D258" s="49"/>
      <c r="E258" s="51"/>
      <c r="F258" s="6"/>
      <c r="G258" s="6"/>
      <c r="H258" s="6"/>
      <c r="I258" s="6"/>
      <c r="J258" s="6"/>
      <c r="K258" s="51"/>
      <c r="L258" s="51"/>
      <c r="M258" s="51"/>
      <c r="N258" s="51"/>
      <c r="O258" s="51"/>
      <c r="P258" s="51"/>
      <c r="Q258" s="51"/>
      <c r="R258" s="51"/>
      <c r="S258" s="51"/>
      <c r="T258" s="51"/>
      <c r="U258" s="51"/>
      <c r="V258" s="51"/>
      <c r="W258" s="51"/>
      <c r="X258" s="51"/>
      <c r="Y258" s="51"/>
      <c r="Z258" s="51"/>
      <c r="AA258" s="51"/>
      <c r="AB258" s="51"/>
    </row>
    <row r="259" customFormat="false" ht="15.75" hidden="false" customHeight="false" outlineLevel="0" collapsed="false">
      <c r="A259" s="51"/>
      <c r="B259" s="51"/>
      <c r="C259" s="6"/>
      <c r="D259" s="49"/>
      <c r="E259" s="51"/>
      <c r="F259" s="6"/>
      <c r="G259" s="6"/>
      <c r="H259" s="6"/>
      <c r="I259" s="6"/>
      <c r="J259" s="6"/>
      <c r="K259" s="51"/>
      <c r="L259" s="51"/>
      <c r="M259" s="51"/>
      <c r="N259" s="51"/>
      <c r="O259" s="51"/>
      <c r="P259" s="51"/>
      <c r="Q259" s="51"/>
      <c r="R259" s="51"/>
      <c r="S259" s="51"/>
      <c r="T259" s="51"/>
      <c r="U259" s="51"/>
      <c r="V259" s="51"/>
      <c r="W259" s="51"/>
      <c r="X259" s="51"/>
      <c r="Y259" s="51"/>
      <c r="Z259" s="51"/>
      <c r="AA259" s="51"/>
      <c r="AB259" s="51"/>
    </row>
    <row r="260" customFormat="false" ht="15.75" hidden="false" customHeight="false" outlineLevel="0" collapsed="false">
      <c r="A260" s="51"/>
      <c r="B260" s="51"/>
      <c r="C260" s="6"/>
      <c r="D260" s="49"/>
      <c r="E260" s="51"/>
      <c r="F260" s="6"/>
      <c r="G260" s="6"/>
      <c r="H260" s="6"/>
      <c r="I260" s="6"/>
      <c r="J260" s="6"/>
      <c r="K260" s="51"/>
      <c r="L260" s="51"/>
      <c r="M260" s="51"/>
      <c r="N260" s="51"/>
      <c r="O260" s="51"/>
      <c r="P260" s="51"/>
      <c r="Q260" s="51"/>
      <c r="R260" s="51"/>
      <c r="S260" s="51"/>
      <c r="T260" s="51"/>
      <c r="U260" s="51"/>
      <c r="V260" s="51"/>
      <c r="W260" s="51"/>
      <c r="X260" s="51"/>
      <c r="Y260" s="51"/>
      <c r="Z260" s="51"/>
      <c r="AA260" s="51"/>
      <c r="AB260" s="51"/>
    </row>
    <row r="261" customFormat="false" ht="15.75" hidden="false" customHeight="false" outlineLevel="0" collapsed="false">
      <c r="A261" s="51"/>
      <c r="B261" s="51"/>
      <c r="C261" s="6"/>
      <c r="D261" s="49"/>
      <c r="E261" s="51"/>
      <c r="F261" s="6"/>
      <c r="G261" s="6"/>
      <c r="H261" s="6"/>
      <c r="I261" s="6"/>
      <c r="J261" s="6"/>
      <c r="K261" s="51"/>
      <c r="L261" s="51"/>
      <c r="M261" s="51"/>
      <c r="N261" s="51"/>
      <c r="O261" s="51"/>
      <c r="P261" s="51"/>
      <c r="Q261" s="51"/>
      <c r="R261" s="51"/>
      <c r="S261" s="51"/>
      <c r="T261" s="51"/>
      <c r="U261" s="51"/>
      <c r="V261" s="51"/>
      <c r="W261" s="51"/>
      <c r="X261" s="51"/>
      <c r="Y261" s="51"/>
      <c r="Z261" s="51"/>
      <c r="AA261" s="51"/>
      <c r="AB261" s="51"/>
    </row>
    <row r="262" customFormat="false" ht="15.75" hidden="false" customHeight="false" outlineLevel="0" collapsed="false">
      <c r="A262" s="51"/>
      <c r="B262" s="51"/>
      <c r="C262" s="6"/>
      <c r="D262" s="49"/>
      <c r="E262" s="51"/>
      <c r="F262" s="6"/>
      <c r="G262" s="6"/>
      <c r="H262" s="6"/>
      <c r="I262" s="6"/>
      <c r="J262" s="6"/>
      <c r="K262" s="51"/>
      <c r="L262" s="51"/>
      <c r="M262" s="51"/>
      <c r="N262" s="51"/>
      <c r="O262" s="51"/>
      <c r="P262" s="51"/>
      <c r="Q262" s="51"/>
      <c r="R262" s="51"/>
      <c r="S262" s="51"/>
      <c r="T262" s="51"/>
      <c r="U262" s="51"/>
      <c r="V262" s="51"/>
      <c r="W262" s="51"/>
      <c r="X262" s="51"/>
      <c r="Y262" s="51"/>
      <c r="Z262" s="51"/>
      <c r="AA262" s="51"/>
      <c r="AB262" s="51"/>
    </row>
    <row r="263" customFormat="false" ht="15.75" hidden="false" customHeight="false" outlineLevel="0" collapsed="false">
      <c r="A263" s="51"/>
      <c r="B263" s="51"/>
      <c r="C263" s="6"/>
      <c r="D263" s="49"/>
      <c r="E263" s="51"/>
      <c r="F263" s="6"/>
      <c r="G263" s="6"/>
      <c r="H263" s="6"/>
      <c r="I263" s="6"/>
      <c r="J263" s="6"/>
      <c r="K263" s="51"/>
      <c r="L263" s="51"/>
      <c r="M263" s="51"/>
      <c r="N263" s="51"/>
      <c r="O263" s="51"/>
      <c r="P263" s="51"/>
      <c r="Q263" s="51"/>
      <c r="R263" s="51"/>
      <c r="S263" s="51"/>
      <c r="T263" s="51"/>
      <c r="U263" s="51"/>
      <c r="V263" s="51"/>
      <c r="W263" s="51"/>
      <c r="X263" s="51"/>
      <c r="Y263" s="51"/>
      <c r="Z263" s="51"/>
      <c r="AA263" s="51"/>
      <c r="AB263" s="51"/>
    </row>
    <row r="264" customFormat="false" ht="15.75" hidden="false" customHeight="false" outlineLevel="0" collapsed="false">
      <c r="A264" s="51"/>
      <c r="B264" s="51"/>
      <c r="C264" s="6"/>
      <c r="D264" s="49"/>
      <c r="E264" s="51"/>
      <c r="F264" s="6"/>
      <c r="G264" s="6"/>
      <c r="H264" s="6"/>
      <c r="I264" s="6"/>
      <c r="J264" s="6"/>
      <c r="K264" s="51"/>
      <c r="L264" s="51"/>
      <c r="M264" s="51"/>
      <c r="N264" s="51"/>
      <c r="O264" s="51"/>
      <c r="P264" s="51"/>
      <c r="Q264" s="51"/>
      <c r="R264" s="51"/>
      <c r="S264" s="51"/>
      <c r="T264" s="51"/>
      <c r="U264" s="51"/>
      <c r="V264" s="51"/>
      <c r="W264" s="51"/>
      <c r="X264" s="51"/>
      <c r="Y264" s="51"/>
      <c r="Z264" s="51"/>
      <c r="AA264" s="51"/>
      <c r="AB264" s="51"/>
    </row>
    <row r="265" customFormat="false" ht="15.75" hidden="false" customHeight="false" outlineLevel="0" collapsed="false">
      <c r="A265" s="51"/>
      <c r="B265" s="51"/>
      <c r="C265" s="6"/>
      <c r="D265" s="49"/>
      <c r="E265" s="51"/>
      <c r="F265" s="6"/>
      <c r="G265" s="6"/>
      <c r="H265" s="6"/>
      <c r="I265" s="6"/>
      <c r="J265" s="6"/>
      <c r="K265" s="51"/>
      <c r="L265" s="51"/>
      <c r="M265" s="51"/>
      <c r="N265" s="51"/>
      <c r="O265" s="51"/>
      <c r="P265" s="51"/>
      <c r="Q265" s="51"/>
      <c r="R265" s="51"/>
      <c r="S265" s="51"/>
      <c r="T265" s="51"/>
      <c r="U265" s="51"/>
      <c r="V265" s="51"/>
      <c r="W265" s="51"/>
      <c r="X265" s="51"/>
      <c r="Y265" s="51"/>
      <c r="Z265" s="51"/>
      <c r="AA265" s="51"/>
      <c r="AB265" s="51"/>
    </row>
    <row r="266" customFormat="false" ht="15.75" hidden="false" customHeight="false" outlineLevel="0" collapsed="false">
      <c r="A266" s="51"/>
      <c r="B266" s="51"/>
      <c r="C266" s="6"/>
      <c r="D266" s="49"/>
      <c r="E266" s="51"/>
      <c r="F266" s="6"/>
      <c r="G266" s="6"/>
      <c r="H266" s="6"/>
      <c r="I266" s="6"/>
      <c r="J266" s="6"/>
      <c r="K266" s="51"/>
      <c r="L266" s="51"/>
      <c r="M266" s="51"/>
      <c r="N266" s="51"/>
      <c r="O266" s="51"/>
      <c r="P266" s="51"/>
      <c r="Q266" s="51"/>
      <c r="R266" s="51"/>
      <c r="S266" s="51"/>
      <c r="T266" s="51"/>
      <c r="U266" s="51"/>
      <c r="V266" s="51"/>
      <c r="W266" s="51"/>
      <c r="X266" s="51"/>
      <c r="Y266" s="51"/>
      <c r="Z266" s="51"/>
      <c r="AA266" s="51"/>
      <c r="AB266" s="51"/>
    </row>
    <row r="267" customFormat="false" ht="15.75" hidden="false" customHeight="false" outlineLevel="0" collapsed="false">
      <c r="A267" s="51"/>
      <c r="B267" s="51"/>
      <c r="C267" s="6"/>
      <c r="D267" s="49"/>
      <c r="E267" s="51"/>
      <c r="F267" s="6"/>
      <c r="G267" s="6"/>
      <c r="H267" s="6"/>
      <c r="I267" s="6"/>
      <c r="J267" s="6"/>
      <c r="K267" s="51"/>
      <c r="L267" s="51"/>
      <c r="M267" s="51"/>
      <c r="N267" s="51"/>
      <c r="O267" s="51"/>
      <c r="P267" s="51"/>
      <c r="Q267" s="51"/>
      <c r="R267" s="51"/>
      <c r="S267" s="51"/>
      <c r="T267" s="51"/>
      <c r="U267" s="51"/>
      <c r="V267" s="51"/>
      <c r="W267" s="51"/>
      <c r="X267" s="51"/>
      <c r="Y267" s="51"/>
      <c r="Z267" s="51"/>
      <c r="AA267" s="51"/>
      <c r="AB267" s="51"/>
    </row>
    <row r="268" customFormat="false" ht="15.75" hidden="false" customHeight="false" outlineLevel="0" collapsed="false">
      <c r="A268" s="51"/>
      <c r="B268" s="51"/>
      <c r="C268" s="6"/>
      <c r="D268" s="49"/>
      <c r="E268" s="51"/>
      <c r="F268" s="6"/>
      <c r="G268" s="6"/>
      <c r="H268" s="6"/>
      <c r="I268" s="6"/>
      <c r="J268" s="6"/>
      <c r="K268" s="51"/>
      <c r="L268" s="51"/>
      <c r="M268" s="51"/>
      <c r="N268" s="51"/>
      <c r="O268" s="51"/>
      <c r="P268" s="51"/>
      <c r="Q268" s="51"/>
      <c r="R268" s="51"/>
      <c r="S268" s="51"/>
      <c r="T268" s="51"/>
      <c r="U268" s="51"/>
      <c r="V268" s="51"/>
      <c r="W268" s="51"/>
      <c r="X268" s="51"/>
      <c r="Y268" s="51"/>
      <c r="Z268" s="51"/>
      <c r="AA268" s="51"/>
      <c r="AB268" s="51"/>
    </row>
    <row r="269" customFormat="false" ht="15.75" hidden="false" customHeight="false" outlineLevel="0" collapsed="false">
      <c r="A269" s="51"/>
      <c r="B269" s="51"/>
      <c r="C269" s="6"/>
      <c r="D269" s="49"/>
      <c r="E269" s="51"/>
      <c r="F269" s="6"/>
      <c r="G269" s="6"/>
      <c r="H269" s="6"/>
      <c r="I269" s="6"/>
      <c r="J269" s="6"/>
      <c r="K269" s="51"/>
      <c r="L269" s="51"/>
      <c r="M269" s="51"/>
      <c r="N269" s="51"/>
      <c r="O269" s="51"/>
      <c r="P269" s="51"/>
      <c r="Q269" s="51"/>
      <c r="R269" s="51"/>
      <c r="S269" s="51"/>
      <c r="T269" s="51"/>
      <c r="U269" s="51"/>
      <c r="V269" s="51"/>
      <c r="W269" s="51"/>
      <c r="X269" s="51"/>
      <c r="Y269" s="51"/>
      <c r="Z269" s="51"/>
      <c r="AA269" s="51"/>
      <c r="AB269" s="51"/>
    </row>
    <row r="270" customFormat="false" ht="15.75" hidden="false" customHeight="false" outlineLevel="0" collapsed="false">
      <c r="A270" s="51"/>
      <c r="B270" s="51"/>
      <c r="C270" s="6"/>
      <c r="D270" s="49"/>
      <c r="E270" s="51"/>
      <c r="F270" s="6"/>
      <c r="G270" s="6"/>
      <c r="H270" s="6"/>
      <c r="I270" s="6"/>
      <c r="J270" s="6"/>
      <c r="K270" s="51"/>
      <c r="L270" s="51"/>
      <c r="M270" s="51"/>
      <c r="N270" s="51"/>
      <c r="O270" s="51"/>
      <c r="P270" s="51"/>
      <c r="Q270" s="51"/>
      <c r="R270" s="51"/>
      <c r="S270" s="51"/>
      <c r="T270" s="51"/>
      <c r="U270" s="51"/>
      <c r="V270" s="51"/>
      <c r="W270" s="51"/>
      <c r="X270" s="51"/>
      <c r="Y270" s="51"/>
      <c r="Z270" s="51"/>
      <c r="AA270" s="51"/>
      <c r="AB270" s="51"/>
    </row>
    <row r="271" customFormat="false" ht="15.75" hidden="false" customHeight="false" outlineLevel="0" collapsed="false">
      <c r="A271" s="51"/>
      <c r="B271" s="51"/>
      <c r="C271" s="6"/>
      <c r="D271" s="49"/>
      <c r="E271" s="51"/>
      <c r="F271" s="6"/>
      <c r="G271" s="6"/>
      <c r="H271" s="6"/>
      <c r="I271" s="6"/>
      <c r="J271" s="6"/>
      <c r="K271" s="51"/>
      <c r="L271" s="51"/>
      <c r="M271" s="51"/>
      <c r="N271" s="51"/>
      <c r="O271" s="51"/>
      <c r="P271" s="51"/>
      <c r="Q271" s="51"/>
      <c r="R271" s="51"/>
      <c r="S271" s="51"/>
      <c r="T271" s="51"/>
      <c r="U271" s="51"/>
      <c r="V271" s="51"/>
      <c r="W271" s="51"/>
      <c r="X271" s="51"/>
      <c r="Y271" s="51"/>
      <c r="Z271" s="51"/>
      <c r="AA271" s="51"/>
      <c r="AB271" s="51"/>
    </row>
    <row r="272" customFormat="false" ht="15.75" hidden="false" customHeight="false" outlineLevel="0" collapsed="false">
      <c r="A272" s="51"/>
      <c r="B272" s="51"/>
      <c r="C272" s="6"/>
      <c r="D272" s="49"/>
      <c r="E272" s="51"/>
      <c r="F272" s="6"/>
      <c r="G272" s="6"/>
      <c r="H272" s="6"/>
      <c r="I272" s="6"/>
      <c r="J272" s="6"/>
      <c r="K272" s="51"/>
      <c r="L272" s="51"/>
      <c r="M272" s="51"/>
      <c r="N272" s="51"/>
      <c r="O272" s="51"/>
      <c r="P272" s="51"/>
      <c r="Q272" s="51"/>
      <c r="R272" s="51"/>
      <c r="S272" s="51"/>
      <c r="T272" s="51"/>
      <c r="U272" s="51"/>
      <c r="V272" s="51"/>
      <c r="W272" s="51"/>
      <c r="X272" s="51"/>
      <c r="Y272" s="51"/>
      <c r="Z272" s="51"/>
      <c r="AA272" s="51"/>
      <c r="AB272" s="51"/>
    </row>
    <row r="273" customFormat="false" ht="15.75" hidden="false" customHeight="false" outlineLevel="0" collapsed="false">
      <c r="A273" s="51"/>
      <c r="B273" s="51"/>
      <c r="C273" s="6"/>
      <c r="D273" s="49"/>
      <c r="E273" s="51"/>
      <c r="F273" s="6"/>
      <c r="G273" s="6"/>
      <c r="H273" s="6"/>
      <c r="I273" s="6"/>
      <c r="J273" s="6"/>
      <c r="K273" s="51"/>
      <c r="L273" s="51"/>
      <c r="M273" s="51"/>
      <c r="N273" s="51"/>
      <c r="O273" s="51"/>
      <c r="P273" s="51"/>
      <c r="Q273" s="51"/>
      <c r="R273" s="51"/>
      <c r="S273" s="51"/>
      <c r="T273" s="51"/>
      <c r="U273" s="51"/>
      <c r="V273" s="51"/>
      <c r="W273" s="51"/>
      <c r="X273" s="51"/>
      <c r="Y273" s="51"/>
      <c r="Z273" s="51"/>
      <c r="AA273" s="51"/>
      <c r="AB273" s="51"/>
    </row>
    <row r="274" customFormat="false" ht="15.75" hidden="false" customHeight="false" outlineLevel="0" collapsed="false">
      <c r="A274" s="51"/>
      <c r="B274" s="51"/>
      <c r="C274" s="6"/>
      <c r="D274" s="49"/>
      <c r="E274" s="51"/>
      <c r="F274" s="6"/>
      <c r="G274" s="6"/>
      <c r="H274" s="6"/>
      <c r="I274" s="6"/>
      <c r="J274" s="6"/>
      <c r="K274" s="51"/>
      <c r="L274" s="51"/>
      <c r="M274" s="51"/>
      <c r="N274" s="51"/>
      <c r="O274" s="51"/>
      <c r="P274" s="51"/>
      <c r="Q274" s="51"/>
      <c r="R274" s="51"/>
      <c r="S274" s="51"/>
      <c r="T274" s="51"/>
      <c r="U274" s="51"/>
      <c r="V274" s="51"/>
      <c r="W274" s="51"/>
      <c r="X274" s="51"/>
      <c r="Y274" s="51"/>
      <c r="Z274" s="51"/>
      <c r="AA274" s="51"/>
      <c r="AB274" s="51"/>
    </row>
    <row r="275" customFormat="false" ht="15.75" hidden="false" customHeight="false" outlineLevel="0" collapsed="false">
      <c r="A275" s="51"/>
      <c r="B275" s="51"/>
      <c r="C275" s="6"/>
      <c r="D275" s="49"/>
      <c r="E275" s="51"/>
      <c r="F275" s="6"/>
      <c r="G275" s="6"/>
      <c r="H275" s="6"/>
      <c r="I275" s="6"/>
      <c r="J275" s="6"/>
      <c r="K275" s="51"/>
      <c r="L275" s="51"/>
      <c r="M275" s="51"/>
      <c r="N275" s="51"/>
      <c r="O275" s="51"/>
      <c r="P275" s="51"/>
      <c r="Q275" s="51"/>
      <c r="R275" s="51"/>
      <c r="S275" s="51"/>
      <c r="T275" s="51"/>
      <c r="U275" s="51"/>
      <c r="V275" s="51"/>
      <c r="W275" s="51"/>
      <c r="X275" s="51"/>
      <c r="Y275" s="51"/>
      <c r="Z275" s="51"/>
      <c r="AA275" s="51"/>
      <c r="AB275" s="51"/>
    </row>
    <row r="276" customFormat="false" ht="15.75" hidden="false" customHeight="false" outlineLevel="0" collapsed="false">
      <c r="A276" s="51"/>
      <c r="B276" s="51"/>
      <c r="C276" s="6"/>
      <c r="D276" s="49"/>
      <c r="E276" s="51"/>
      <c r="F276" s="6"/>
      <c r="G276" s="6"/>
      <c r="H276" s="6"/>
      <c r="I276" s="6"/>
      <c r="J276" s="6"/>
      <c r="K276" s="51"/>
      <c r="L276" s="51"/>
      <c r="M276" s="51"/>
      <c r="N276" s="51"/>
      <c r="O276" s="51"/>
      <c r="P276" s="51"/>
      <c r="Q276" s="51"/>
      <c r="R276" s="51"/>
      <c r="S276" s="51"/>
      <c r="T276" s="51"/>
      <c r="U276" s="51"/>
      <c r="V276" s="51"/>
      <c r="W276" s="51"/>
      <c r="X276" s="51"/>
      <c r="Y276" s="51"/>
      <c r="Z276" s="51"/>
      <c r="AA276" s="51"/>
      <c r="AB276" s="51"/>
    </row>
    <row r="277" customFormat="false" ht="15.75" hidden="false" customHeight="false" outlineLevel="0" collapsed="false">
      <c r="A277" s="51"/>
      <c r="B277" s="51"/>
      <c r="C277" s="6"/>
      <c r="D277" s="49"/>
      <c r="E277" s="51"/>
      <c r="F277" s="6"/>
      <c r="G277" s="6"/>
      <c r="H277" s="6"/>
      <c r="I277" s="6"/>
      <c r="J277" s="6"/>
      <c r="K277" s="51"/>
      <c r="L277" s="51"/>
      <c r="M277" s="51"/>
      <c r="N277" s="51"/>
      <c r="O277" s="51"/>
      <c r="P277" s="51"/>
      <c r="Q277" s="51"/>
      <c r="R277" s="51"/>
      <c r="S277" s="51"/>
      <c r="T277" s="51"/>
      <c r="U277" s="51"/>
      <c r="V277" s="51"/>
      <c r="W277" s="51"/>
      <c r="X277" s="51"/>
      <c r="Y277" s="51"/>
      <c r="Z277" s="51"/>
      <c r="AA277" s="51"/>
      <c r="AB277" s="51"/>
    </row>
    <row r="278" customFormat="false" ht="15.75" hidden="false" customHeight="false" outlineLevel="0" collapsed="false">
      <c r="A278" s="51"/>
      <c r="B278" s="51"/>
      <c r="C278" s="6"/>
      <c r="D278" s="49"/>
      <c r="E278" s="51"/>
      <c r="F278" s="6"/>
      <c r="G278" s="6"/>
      <c r="H278" s="6"/>
      <c r="I278" s="6"/>
      <c r="J278" s="6"/>
      <c r="K278" s="51"/>
      <c r="L278" s="51"/>
      <c r="M278" s="51"/>
      <c r="N278" s="51"/>
      <c r="O278" s="51"/>
      <c r="P278" s="51"/>
      <c r="Q278" s="51"/>
      <c r="R278" s="51"/>
      <c r="S278" s="51"/>
      <c r="T278" s="51"/>
      <c r="U278" s="51"/>
      <c r="V278" s="51"/>
      <c r="W278" s="51"/>
      <c r="X278" s="51"/>
      <c r="Y278" s="51"/>
      <c r="Z278" s="51"/>
      <c r="AA278" s="51"/>
      <c r="AB278" s="51"/>
    </row>
    <row r="279" customFormat="false" ht="15.75" hidden="false" customHeight="false" outlineLevel="0" collapsed="false">
      <c r="A279" s="51"/>
      <c r="B279" s="51"/>
      <c r="C279" s="6"/>
      <c r="D279" s="49"/>
      <c r="E279" s="51"/>
      <c r="F279" s="6"/>
      <c r="G279" s="6"/>
      <c r="H279" s="6"/>
      <c r="I279" s="6"/>
      <c r="J279" s="6"/>
      <c r="K279" s="51"/>
      <c r="L279" s="51"/>
      <c r="M279" s="51"/>
      <c r="N279" s="51"/>
      <c r="O279" s="51"/>
      <c r="P279" s="51"/>
      <c r="Q279" s="51"/>
      <c r="R279" s="51"/>
      <c r="S279" s="51"/>
      <c r="T279" s="51"/>
      <c r="U279" s="51"/>
      <c r="V279" s="51"/>
      <c r="W279" s="51"/>
      <c r="X279" s="51"/>
      <c r="Y279" s="51"/>
      <c r="Z279" s="51"/>
      <c r="AA279" s="51"/>
      <c r="AB279" s="51"/>
    </row>
    <row r="280" customFormat="false" ht="15.75" hidden="false" customHeight="false" outlineLevel="0" collapsed="false">
      <c r="A280" s="51"/>
      <c r="B280" s="51"/>
      <c r="C280" s="6"/>
      <c r="D280" s="49"/>
      <c r="E280" s="51"/>
      <c r="F280" s="6"/>
      <c r="G280" s="6"/>
      <c r="H280" s="6"/>
      <c r="I280" s="6"/>
      <c r="J280" s="6"/>
      <c r="K280" s="51"/>
      <c r="L280" s="51"/>
      <c r="M280" s="51"/>
      <c r="N280" s="51"/>
      <c r="O280" s="51"/>
      <c r="P280" s="51"/>
      <c r="Q280" s="51"/>
      <c r="R280" s="51"/>
      <c r="S280" s="51"/>
      <c r="T280" s="51"/>
      <c r="U280" s="51"/>
      <c r="V280" s="51"/>
      <c r="W280" s="51"/>
      <c r="X280" s="51"/>
      <c r="Y280" s="51"/>
      <c r="Z280" s="51"/>
      <c r="AA280" s="51"/>
      <c r="AB280" s="51"/>
    </row>
    <row r="281" customFormat="false" ht="15.75" hidden="false" customHeight="false" outlineLevel="0" collapsed="false">
      <c r="A281" s="51"/>
      <c r="B281" s="51"/>
      <c r="C281" s="6"/>
      <c r="D281" s="49"/>
      <c r="E281" s="51"/>
      <c r="F281" s="6"/>
      <c r="G281" s="6"/>
      <c r="H281" s="6"/>
      <c r="I281" s="6"/>
      <c r="J281" s="6"/>
      <c r="K281" s="51"/>
      <c r="L281" s="51"/>
      <c r="M281" s="51"/>
      <c r="N281" s="51"/>
      <c r="O281" s="51"/>
      <c r="P281" s="51"/>
      <c r="Q281" s="51"/>
      <c r="R281" s="51"/>
      <c r="S281" s="51"/>
      <c r="T281" s="51"/>
      <c r="U281" s="51"/>
      <c r="V281" s="51"/>
      <c r="W281" s="51"/>
      <c r="X281" s="51"/>
      <c r="Y281" s="51"/>
      <c r="Z281" s="51"/>
      <c r="AA281" s="51"/>
      <c r="AB281" s="51"/>
    </row>
    <row r="282" customFormat="false" ht="15.75" hidden="false" customHeight="false" outlineLevel="0" collapsed="false">
      <c r="A282" s="51"/>
      <c r="B282" s="51"/>
      <c r="C282" s="6"/>
      <c r="D282" s="49"/>
      <c r="E282" s="51"/>
      <c r="F282" s="6"/>
      <c r="G282" s="6"/>
      <c r="H282" s="6"/>
      <c r="I282" s="6"/>
      <c r="J282" s="6"/>
      <c r="K282" s="51"/>
      <c r="L282" s="51"/>
      <c r="M282" s="51"/>
      <c r="N282" s="51"/>
      <c r="O282" s="51"/>
      <c r="P282" s="51"/>
      <c r="Q282" s="51"/>
      <c r="R282" s="51"/>
      <c r="S282" s="51"/>
      <c r="T282" s="51"/>
      <c r="U282" s="51"/>
      <c r="V282" s="51"/>
      <c r="W282" s="51"/>
      <c r="X282" s="51"/>
      <c r="Y282" s="51"/>
      <c r="Z282" s="51"/>
      <c r="AA282" s="51"/>
      <c r="AB282" s="51"/>
    </row>
    <row r="283" customFormat="false" ht="15.75" hidden="false" customHeight="false" outlineLevel="0" collapsed="false">
      <c r="A283" s="51"/>
      <c r="B283" s="51"/>
      <c r="C283" s="6"/>
      <c r="D283" s="49"/>
      <c r="E283" s="51"/>
      <c r="F283" s="6"/>
      <c r="G283" s="6"/>
      <c r="H283" s="6"/>
      <c r="I283" s="6"/>
      <c r="J283" s="6"/>
      <c r="K283" s="51"/>
      <c r="L283" s="51"/>
      <c r="M283" s="51"/>
      <c r="N283" s="51"/>
      <c r="O283" s="51"/>
      <c r="P283" s="51"/>
      <c r="Q283" s="51"/>
      <c r="R283" s="51"/>
      <c r="S283" s="51"/>
      <c r="T283" s="51"/>
      <c r="U283" s="51"/>
      <c r="V283" s="51"/>
      <c r="W283" s="51"/>
      <c r="X283" s="51"/>
      <c r="Y283" s="51"/>
      <c r="Z283" s="51"/>
      <c r="AA283" s="51"/>
      <c r="AB283" s="51"/>
    </row>
    <row r="284" customFormat="false" ht="15.75" hidden="false" customHeight="false" outlineLevel="0" collapsed="false">
      <c r="A284" s="51"/>
      <c r="B284" s="51"/>
      <c r="C284" s="6"/>
      <c r="D284" s="49"/>
      <c r="E284" s="51"/>
      <c r="F284" s="6"/>
      <c r="G284" s="6"/>
      <c r="H284" s="6"/>
      <c r="I284" s="6"/>
      <c r="J284" s="6"/>
      <c r="K284" s="51"/>
      <c r="L284" s="51"/>
      <c r="M284" s="51"/>
      <c r="N284" s="51"/>
      <c r="O284" s="51"/>
      <c r="P284" s="51"/>
      <c r="Q284" s="51"/>
      <c r="R284" s="51"/>
      <c r="S284" s="51"/>
      <c r="T284" s="51"/>
      <c r="U284" s="51"/>
      <c r="V284" s="51"/>
      <c r="W284" s="51"/>
      <c r="X284" s="51"/>
      <c r="Y284" s="51"/>
      <c r="Z284" s="51"/>
      <c r="AA284" s="51"/>
      <c r="AB284" s="51"/>
    </row>
    <row r="285" customFormat="false" ht="15.75" hidden="false" customHeight="false" outlineLevel="0" collapsed="false">
      <c r="A285" s="51"/>
      <c r="B285" s="51"/>
      <c r="C285" s="6"/>
      <c r="D285" s="49"/>
      <c r="E285" s="51"/>
      <c r="F285" s="6"/>
      <c r="G285" s="6"/>
      <c r="H285" s="6"/>
      <c r="I285" s="6"/>
      <c r="J285" s="6"/>
      <c r="K285" s="51"/>
      <c r="L285" s="51"/>
      <c r="M285" s="51"/>
      <c r="N285" s="51"/>
      <c r="O285" s="51"/>
      <c r="P285" s="51"/>
      <c r="Q285" s="51"/>
      <c r="R285" s="51"/>
      <c r="S285" s="51"/>
      <c r="T285" s="51"/>
      <c r="U285" s="51"/>
      <c r="V285" s="51"/>
      <c r="W285" s="51"/>
      <c r="X285" s="51"/>
      <c r="Y285" s="51"/>
      <c r="Z285" s="51"/>
      <c r="AA285" s="51"/>
      <c r="AB285" s="51"/>
    </row>
    <row r="286" customFormat="false" ht="15.75" hidden="false" customHeight="false" outlineLevel="0" collapsed="false">
      <c r="A286" s="51"/>
      <c r="B286" s="51"/>
      <c r="C286" s="6"/>
      <c r="D286" s="49"/>
      <c r="E286" s="51"/>
      <c r="F286" s="6"/>
      <c r="G286" s="6"/>
      <c r="H286" s="6"/>
      <c r="I286" s="6"/>
      <c r="J286" s="6"/>
      <c r="K286" s="51"/>
      <c r="L286" s="51"/>
      <c r="M286" s="51"/>
      <c r="N286" s="51"/>
      <c r="O286" s="51"/>
      <c r="P286" s="51"/>
      <c r="Q286" s="51"/>
      <c r="R286" s="51"/>
      <c r="S286" s="51"/>
      <c r="T286" s="51"/>
      <c r="U286" s="51"/>
      <c r="V286" s="51"/>
      <c r="W286" s="51"/>
      <c r="X286" s="51"/>
      <c r="Y286" s="51"/>
      <c r="Z286" s="51"/>
      <c r="AA286" s="51"/>
      <c r="AB286" s="51"/>
    </row>
    <row r="287" customFormat="false" ht="15.75" hidden="false" customHeight="false" outlineLevel="0" collapsed="false">
      <c r="A287" s="51"/>
      <c r="B287" s="51"/>
      <c r="C287" s="6"/>
      <c r="D287" s="49"/>
      <c r="E287" s="51"/>
      <c r="F287" s="6"/>
      <c r="G287" s="6"/>
      <c r="H287" s="6"/>
      <c r="I287" s="6"/>
      <c r="J287" s="6"/>
      <c r="K287" s="51"/>
      <c r="L287" s="51"/>
      <c r="M287" s="51"/>
      <c r="N287" s="51"/>
      <c r="O287" s="51"/>
      <c r="P287" s="51"/>
      <c r="Q287" s="51"/>
      <c r="R287" s="51"/>
      <c r="S287" s="51"/>
      <c r="T287" s="51"/>
      <c r="U287" s="51"/>
      <c r="V287" s="51"/>
      <c r="W287" s="51"/>
      <c r="X287" s="51"/>
      <c r="Y287" s="51"/>
      <c r="Z287" s="51"/>
      <c r="AA287" s="51"/>
      <c r="AB287" s="51"/>
    </row>
    <row r="288" customFormat="false" ht="15.75" hidden="false" customHeight="false" outlineLevel="0" collapsed="false">
      <c r="A288" s="51"/>
      <c r="B288" s="51"/>
      <c r="C288" s="6"/>
      <c r="D288" s="49"/>
      <c r="E288" s="51"/>
      <c r="F288" s="6"/>
      <c r="G288" s="6"/>
      <c r="H288" s="6"/>
      <c r="I288" s="6"/>
      <c r="J288" s="6"/>
      <c r="K288" s="51"/>
      <c r="L288" s="51"/>
      <c r="M288" s="51"/>
      <c r="N288" s="51"/>
      <c r="O288" s="51"/>
      <c r="P288" s="51"/>
      <c r="Q288" s="51"/>
      <c r="R288" s="51"/>
      <c r="S288" s="51"/>
      <c r="T288" s="51"/>
      <c r="U288" s="51"/>
      <c r="V288" s="51"/>
      <c r="W288" s="51"/>
      <c r="X288" s="51"/>
      <c r="Y288" s="51"/>
      <c r="Z288" s="51"/>
      <c r="AA288" s="51"/>
      <c r="AB288" s="51"/>
    </row>
    <row r="289" customFormat="false" ht="15.75" hidden="false" customHeight="false" outlineLevel="0" collapsed="false">
      <c r="A289" s="51"/>
      <c r="B289" s="51"/>
      <c r="C289" s="6"/>
      <c r="D289" s="49"/>
      <c r="E289" s="51"/>
      <c r="F289" s="6"/>
      <c r="G289" s="6"/>
      <c r="H289" s="6"/>
      <c r="I289" s="6"/>
      <c r="J289" s="6"/>
      <c r="K289" s="51"/>
      <c r="L289" s="51"/>
      <c r="M289" s="51"/>
      <c r="N289" s="51"/>
      <c r="O289" s="51"/>
      <c r="P289" s="51"/>
      <c r="Q289" s="51"/>
      <c r="R289" s="51"/>
      <c r="S289" s="51"/>
      <c r="T289" s="51"/>
      <c r="U289" s="51"/>
      <c r="V289" s="51"/>
      <c r="W289" s="51"/>
      <c r="X289" s="51"/>
      <c r="Y289" s="51"/>
      <c r="Z289" s="51"/>
      <c r="AA289" s="51"/>
      <c r="AB289" s="51"/>
    </row>
    <row r="290" customFormat="false" ht="15.75" hidden="false" customHeight="false" outlineLevel="0" collapsed="false">
      <c r="A290" s="51"/>
      <c r="B290" s="51"/>
      <c r="C290" s="6"/>
      <c r="D290" s="49"/>
      <c r="E290" s="51"/>
      <c r="F290" s="6"/>
      <c r="G290" s="6"/>
      <c r="H290" s="6"/>
      <c r="I290" s="6"/>
      <c r="J290" s="6"/>
      <c r="K290" s="51"/>
      <c r="L290" s="51"/>
      <c r="M290" s="51"/>
      <c r="N290" s="51"/>
      <c r="O290" s="51"/>
      <c r="P290" s="51"/>
      <c r="Q290" s="51"/>
      <c r="R290" s="51"/>
      <c r="S290" s="51"/>
      <c r="T290" s="51"/>
      <c r="U290" s="51"/>
      <c r="V290" s="51"/>
      <c r="W290" s="51"/>
      <c r="X290" s="51"/>
      <c r="Y290" s="51"/>
      <c r="Z290" s="51"/>
      <c r="AA290" s="51"/>
      <c r="AB290" s="51"/>
    </row>
    <row r="291" customFormat="false" ht="15.75" hidden="false" customHeight="false" outlineLevel="0" collapsed="false">
      <c r="A291" s="51"/>
      <c r="B291" s="51"/>
      <c r="C291" s="6"/>
      <c r="D291" s="49"/>
      <c r="E291" s="51"/>
      <c r="F291" s="6"/>
      <c r="G291" s="6"/>
      <c r="H291" s="6"/>
      <c r="I291" s="6"/>
      <c r="J291" s="6"/>
      <c r="K291" s="51"/>
      <c r="L291" s="51"/>
      <c r="M291" s="51"/>
      <c r="N291" s="51"/>
      <c r="O291" s="51"/>
      <c r="P291" s="51"/>
      <c r="Q291" s="51"/>
      <c r="R291" s="51"/>
      <c r="S291" s="51"/>
      <c r="T291" s="51"/>
      <c r="U291" s="51"/>
      <c r="V291" s="51"/>
      <c r="W291" s="51"/>
      <c r="X291" s="51"/>
      <c r="Y291" s="51"/>
      <c r="Z291" s="51"/>
      <c r="AA291" s="51"/>
      <c r="AB291" s="51"/>
    </row>
    <row r="292" customFormat="false" ht="15.75" hidden="false" customHeight="false" outlineLevel="0" collapsed="false">
      <c r="A292" s="51"/>
      <c r="B292" s="51"/>
      <c r="C292" s="6"/>
      <c r="D292" s="49"/>
      <c r="E292" s="51"/>
      <c r="F292" s="6"/>
      <c r="G292" s="6"/>
      <c r="H292" s="6"/>
      <c r="I292" s="6"/>
      <c r="J292" s="6"/>
      <c r="K292" s="51"/>
      <c r="L292" s="51"/>
      <c r="M292" s="51"/>
      <c r="N292" s="51"/>
      <c r="O292" s="51"/>
      <c r="P292" s="51"/>
      <c r="Q292" s="51"/>
      <c r="R292" s="51"/>
      <c r="S292" s="51"/>
      <c r="T292" s="51"/>
      <c r="U292" s="51"/>
      <c r="V292" s="51"/>
      <c r="W292" s="51"/>
      <c r="X292" s="51"/>
      <c r="Y292" s="51"/>
      <c r="Z292" s="51"/>
      <c r="AA292" s="51"/>
      <c r="AB292" s="51"/>
    </row>
    <row r="293" customFormat="false" ht="15.75" hidden="false" customHeight="false" outlineLevel="0" collapsed="false">
      <c r="A293" s="51"/>
      <c r="B293" s="51"/>
      <c r="C293" s="6"/>
      <c r="D293" s="49"/>
      <c r="E293" s="51"/>
      <c r="F293" s="6"/>
      <c r="G293" s="6"/>
      <c r="H293" s="6"/>
      <c r="I293" s="6"/>
      <c r="J293" s="6"/>
      <c r="K293" s="51"/>
      <c r="L293" s="51"/>
      <c r="M293" s="51"/>
      <c r="N293" s="51"/>
      <c r="O293" s="51"/>
      <c r="P293" s="51"/>
      <c r="Q293" s="51"/>
      <c r="R293" s="51"/>
      <c r="S293" s="51"/>
      <c r="T293" s="51"/>
      <c r="U293" s="51"/>
      <c r="V293" s="51"/>
      <c r="W293" s="51"/>
      <c r="X293" s="51"/>
      <c r="Y293" s="51"/>
      <c r="Z293" s="51"/>
      <c r="AA293" s="51"/>
      <c r="AB293" s="51"/>
    </row>
    <row r="294" customFormat="false" ht="15.75" hidden="false" customHeight="false" outlineLevel="0" collapsed="false">
      <c r="A294" s="51"/>
      <c r="B294" s="51"/>
      <c r="C294" s="6"/>
      <c r="D294" s="49"/>
      <c r="E294" s="51"/>
      <c r="F294" s="6"/>
      <c r="G294" s="6"/>
      <c r="H294" s="6"/>
      <c r="I294" s="6"/>
      <c r="J294" s="6"/>
      <c r="K294" s="51"/>
      <c r="L294" s="51"/>
      <c r="M294" s="51"/>
      <c r="N294" s="51"/>
      <c r="O294" s="51"/>
      <c r="P294" s="51"/>
      <c r="Q294" s="51"/>
      <c r="R294" s="51"/>
      <c r="S294" s="51"/>
      <c r="T294" s="51"/>
      <c r="U294" s="51"/>
      <c r="V294" s="51"/>
      <c r="W294" s="51"/>
      <c r="X294" s="51"/>
      <c r="Y294" s="51"/>
      <c r="Z294" s="51"/>
      <c r="AA294" s="51"/>
      <c r="AB294" s="51"/>
    </row>
    <row r="295" customFormat="false" ht="15.75" hidden="false" customHeight="false" outlineLevel="0" collapsed="false">
      <c r="A295" s="51"/>
      <c r="B295" s="51"/>
      <c r="C295" s="6"/>
      <c r="D295" s="49"/>
      <c r="E295" s="51"/>
      <c r="F295" s="6"/>
      <c r="G295" s="6"/>
      <c r="H295" s="6"/>
      <c r="I295" s="6"/>
      <c r="J295" s="6"/>
      <c r="K295" s="51"/>
      <c r="L295" s="51"/>
      <c r="M295" s="51"/>
      <c r="N295" s="51"/>
      <c r="O295" s="51"/>
      <c r="P295" s="51"/>
      <c r="Q295" s="51"/>
      <c r="R295" s="51"/>
      <c r="S295" s="51"/>
      <c r="T295" s="51"/>
      <c r="U295" s="51"/>
      <c r="V295" s="51"/>
      <c r="W295" s="51"/>
      <c r="X295" s="51"/>
      <c r="Y295" s="51"/>
      <c r="Z295" s="51"/>
      <c r="AA295" s="51"/>
      <c r="AB295" s="51"/>
    </row>
    <row r="296" customFormat="false" ht="15.75" hidden="false" customHeight="false" outlineLevel="0" collapsed="false">
      <c r="A296" s="51"/>
      <c r="B296" s="51"/>
      <c r="C296" s="6"/>
      <c r="D296" s="49"/>
      <c r="E296" s="51"/>
      <c r="F296" s="6"/>
      <c r="G296" s="6"/>
      <c r="H296" s="6"/>
      <c r="I296" s="6"/>
      <c r="J296" s="6"/>
      <c r="K296" s="51"/>
      <c r="L296" s="51"/>
      <c r="M296" s="51"/>
      <c r="N296" s="51"/>
      <c r="O296" s="51"/>
      <c r="P296" s="51"/>
      <c r="Q296" s="51"/>
      <c r="R296" s="51"/>
      <c r="S296" s="51"/>
      <c r="T296" s="51"/>
      <c r="U296" s="51"/>
      <c r="V296" s="51"/>
      <c r="W296" s="51"/>
      <c r="X296" s="51"/>
      <c r="Y296" s="51"/>
      <c r="Z296" s="51"/>
      <c r="AA296" s="51"/>
      <c r="AB296" s="51"/>
    </row>
    <row r="297" customFormat="false" ht="15.75" hidden="false" customHeight="false" outlineLevel="0" collapsed="false">
      <c r="A297" s="51"/>
      <c r="B297" s="51"/>
      <c r="C297" s="6"/>
      <c r="D297" s="49"/>
      <c r="E297" s="51"/>
      <c r="F297" s="6"/>
      <c r="G297" s="6"/>
      <c r="H297" s="6"/>
      <c r="I297" s="6"/>
      <c r="J297" s="6"/>
      <c r="K297" s="51"/>
      <c r="L297" s="51"/>
      <c r="M297" s="51"/>
      <c r="N297" s="51"/>
      <c r="O297" s="51"/>
      <c r="P297" s="51"/>
      <c r="Q297" s="51"/>
      <c r="R297" s="51"/>
      <c r="S297" s="51"/>
      <c r="T297" s="51"/>
      <c r="U297" s="51"/>
      <c r="V297" s="51"/>
      <c r="W297" s="51"/>
      <c r="X297" s="51"/>
      <c r="Y297" s="51"/>
      <c r="Z297" s="51"/>
      <c r="AA297" s="51"/>
      <c r="AB297" s="51"/>
    </row>
    <row r="298" customFormat="false" ht="15.75" hidden="false" customHeight="false" outlineLevel="0" collapsed="false">
      <c r="A298" s="51"/>
      <c r="B298" s="51"/>
      <c r="C298" s="6"/>
      <c r="D298" s="49"/>
      <c r="E298" s="51"/>
      <c r="F298" s="6"/>
      <c r="G298" s="6"/>
      <c r="H298" s="6"/>
      <c r="I298" s="6"/>
      <c r="J298" s="6"/>
      <c r="K298" s="51"/>
      <c r="L298" s="51"/>
      <c r="M298" s="51"/>
      <c r="N298" s="51"/>
      <c r="O298" s="51"/>
      <c r="P298" s="51"/>
      <c r="Q298" s="51"/>
      <c r="R298" s="51"/>
      <c r="S298" s="51"/>
      <c r="T298" s="51"/>
      <c r="U298" s="51"/>
      <c r="V298" s="51"/>
      <c r="W298" s="51"/>
      <c r="X298" s="51"/>
      <c r="Y298" s="51"/>
      <c r="Z298" s="51"/>
      <c r="AA298" s="51"/>
      <c r="AB298" s="51"/>
    </row>
    <row r="299" customFormat="false" ht="15.75" hidden="false" customHeight="false" outlineLevel="0" collapsed="false">
      <c r="A299" s="51"/>
      <c r="B299" s="51"/>
      <c r="C299" s="6"/>
      <c r="D299" s="49"/>
      <c r="E299" s="51"/>
      <c r="F299" s="6"/>
      <c r="G299" s="6"/>
      <c r="H299" s="6"/>
      <c r="I299" s="6"/>
      <c r="J299" s="6"/>
      <c r="K299" s="51"/>
      <c r="L299" s="51"/>
      <c r="M299" s="51"/>
      <c r="N299" s="51"/>
      <c r="O299" s="51"/>
      <c r="P299" s="51"/>
      <c r="Q299" s="51"/>
      <c r="R299" s="51"/>
      <c r="S299" s="51"/>
      <c r="T299" s="51"/>
      <c r="U299" s="51"/>
      <c r="V299" s="51"/>
      <c r="W299" s="51"/>
      <c r="X299" s="51"/>
      <c r="Y299" s="51"/>
      <c r="Z299" s="51"/>
      <c r="AA299" s="51"/>
      <c r="AB299" s="51"/>
    </row>
    <row r="300" customFormat="false" ht="15.75" hidden="false" customHeight="false" outlineLevel="0" collapsed="false">
      <c r="A300" s="51"/>
      <c r="B300" s="51"/>
      <c r="C300" s="6"/>
      <c r="D300" s="49"/>
      <c r="E300" s="51"/>
      <c r="F300" s="6"/>
      <c r="G300" s="6"/>
      <c r="H300" s="6"/>
      <c r="I300" s="6"/>
      <c r="J300" s="6"/>
      <c r="K300" s="51"/>
      <c r="L300" s="51"/>
      <c r="M300" s="51"/>
      <c r="N300" s="51"/>
      <c r="O300" s="51"/>
      <c r="P300" s="51"/>
      <c r="Q300" s="51"/>
      <c r="R300" s="51"/>
      <c r="S300" s="51"/>
      <c r="T300" s="51"/>
      <c r="U300" s="51"/>
      <c r="V300" s="51"/>
      <c r="W300" s="51"/>
      <c r="X300" s="51"/>
      <c r="Y300" s="51"/>
      <c r="Z300" s="51"/>
      <c r="AA300" s="51"/>
      <c r="AB300" s="51"/>
    </row>
    <row r="301" customFormat="false" ht="15.75" hidden="false" customHeight="false" outlineLevel="0" collapsed="false">
      <c r="A301" s="51"/>
      <c r="B301" s="51"/>
      <c r="C301" s="6"/>
      <c r="D301" s="49"/>
      <c r="E301" s="51"/>
      <c r="F301" s="6"/>
      <c r="G301" s="6"/>
      <c r="H301" s="6"/>
      <c r="I301" s="6"/>
      <c r="J301" s="6"/>
      <c r="K301" s="51"/>
      <c r="L301" s="51"/>
      <c r="M301" s="51"/>
      <c r="N301" s="51"/>
      <c r="O301" s="51"/>
      <c r="P301" s="51"/>
      <c r="Q301" s="51"/>
      <c r="R301" s="51"/>
      <c r="S301" s="51"/>
      <c r="T301" s="51"/>
      <c r="U301" s="51"/>
      <c r="V301" s="51"/>
      <c r="W301" s="51"/>
      <c r="X301" s="51"/>
      <c r="Y301" s="51"/>
      <c r="Z301" s="51"/>
      <c r="AA301" s="51"/>
      <c r="AB301" s="51"/>
    </row>
    <row r="302" customFormat="false" ht="15.75" hidden="false" customHeight="false" outlineLevel="0" collapsed="false">
      <c r="A302" s="51"/>
      <c r="B302" s="51"/>
      <c r="C302" s="6"/>
      <c r="D302" s="49"/>
      <c r="E302" s="51"/>
      <c r="F302" s="6"/>
      <c r="G302" s="6"/>
      <c r="H302" s="6"/>
      <c r="I302" s="6"/>
      <c r="J302" s="6"/>
      <c r="K302" s="51"/>
      <c r="L302" s="51"/>
      <c r="M302" s="51"/>
      <c r="N302" s="51"/>
      <c r="O302" s="51"/>
      <c r="P302" s="51"/>
      <c r="Q302" s="51"/>
      <c r="R302" s="51"/>
      <c r="S302" s="51"/>
      <c r="T302" s="51"/>
      <c r="U302" s="51"/>
      <c r="V302" s="51"/>
      <c r="W302" s="51"/>
      <c r="X302" s="51"/>
      <c r="Y302" s="51"/>
      <c r="Z302" s="51"/>
      <c r="AA302" s="51"/>
      <c r="AB302" s="51"/>
    </row>
    <row r="303" customFormat="false" ht="15.75" hidden="false" customHeight="false" outlineLevel="0" collapsed="false">
      <c r="A303" s="51"/>
      <c r="B303" s="51"/>
      <c r="C303" s="6"/>
      <c r="D303" s="49"/>
      <c r="E303" s="51"/>
      <c r="F303" s="6"/>
      <c r="G303" s="6"/>
      <c r="H303" s="6"/>
      <c r="I303" s="6"/>
      <c r="J303" s="6"/>
      <c r="K303" s="51"/>
      <c r="L303" s="51"/>
      <c r="M303" s="51"/>
      <c r="N303" s="51"/>
      <c r="O303" s="51"/>
      <c r="P303" s="51"/>
      <c r="Q303" s="51"/>
      <c r="R303" s="51"/>
      <c r="S303" s="51"/>
      <c r="T303" s="51"/>
      <c r="U303" s="51"/>
      <c r="V303" s="51"/>
      <c r="W303" s="51"/>
      <c r="X303" s="51"/>
      <c r="Y303" s="51"/>
      <c r="Z303" s="51"/>
      <c r="AA303" s="51"/>
      <c r="AB303" s="51"/>
    </row>
    <row r="304" customFormat="false" ht="15.75" hidden="false" customHeight="false" outlineLevel="0" collapsed="false">
      <c r="A304" s="51"/>
      <c r="B304" s="51"/>
      <c r="C304" s="6"/>
      <c r="D304" s="49"/>
      <c r="E304" s="51"/>
      <c r="F304" s="6"/>
      <c r="G304" s="6"/>
      <c r="H304" s="6"/>
      <c r="I304" s="6"/>
      <c r="J304" s="6"/>
      <c r="K304" s="51"/>
      <c r="L304" s="51"/>
      <c r="M304" s="51"/>
      <c r="N304" s="51"/>
      <c r="O304" s="51"/>
      <c r="P304" s="51"/>
      <c r="Q304" s="51"/>
      <c r="R304" s="51"/>
      <c r="S304" s="51"/>
      <c r="T304" s="51"/>
      <c r="U304" s="51"/>
      <c r="V304" s="51"/>
      <c r="W304" s="51"/>
      <c r="X304" s="51"/>
      <c r="Y304" s="51"/>
      <c r="Z304" s="51"/>
      <c r="AA304" s="51"/>
      <c r="AB304" s="51"/>
    </row>
    <row r="305" customFormat="false" ht="15.75" hidden="false" customHeight="false" outlineLevel="0" collapsed="false">
      <c r="A305" s="51"/>
      <c r="B305" s="51"/>
      <c r="C305" s="6"/>
      <c r="D305" s="49"/>
      <c r="E305" s="51"/>
      <c r="F305" s="6"/>
      <c r="G305" s="6"/>
      <c r="H305" s="6"/>
      <c r="I305" s="6"/>
      <c r="J305" s="6"/>
      <c r="K305" s="51"/>
      <c r="L305" s="51"/>
      <c r="M305" s="51"/>
      <c r="N305" s="51"/>
      <c r="O305" s="51"/>
      <c r="P305" s="51"/>
      <c r="Q305" s="51"/>
      <c r="R305" s="51"/>
      <c r="S305" s="51"/>
      <c r="T305" s="51"/>
      <c r="U305" s="51"/>
      <c r="V305" s="51"/>
      <c r="W305" s="51"/>
      <c r="X305" s="51"/>
      <c r="Y305" s="51"/>
      <c r="Z305" s="51"/>
      <c r="AA305" s="51"/>
      <c r="AB305" s="51"/>
    </row>
    <row r="306" customFormat="false" ht="15.75" hidden="false" customHeight="false" outlineLevel="0" collapsed="false">
      <c r="A306" s="51"/>
      <c r="B306" s="51"/>
      <c r="C306" s="6"/>
      <c r="D306" s="49"/>
      <c r="E306" s="51"/>
      <c r="F306" s="6"/>
      <c r="G306" s="6"/>
      <c r="H306" s="6"/>
      <c r="I306" s="6"/>
      <c r="J306" s="6"/>
      <c r="K306" s="51"/>
      <c r="L306" s="51"/>
      <c r="M306" s="51"/>
      <c r="N306" s="51"/>
      <c r="O306" s="51"/>
      <c r="P306" s="51"/>
      <c r="Q306" s="51"/>
      <c r="R306" s="51"/>
      <c r="S306" s="51"/>
      <c r="T306" s="51"/>
      <c r="U306" s="51"/>
      <c r="V306" s="51"/>
      <c r="W306" s="51"/>
      <c r="X306" s="51"/>
      <c r="Y306" s="51"/>
      <c r="Z306" s="51"/>
      <c r="AA306" s="51"/>
      <c r="AB306" s="51"/>
    </row>
    <row r="307" customFormat="false" ht="15.75" hidden="false" customHeight="false" outlineLevel="0" collapsed="false">
      <c r="A307" s="51"/>
      <c r="B307" s="51"/>
      <c r="C307" s="6"/>
      <c r="D307" s="49"/>
      <c r="E307" s="51"/>
      <c r="F307" s="6"/>
      <c r="G307" s="6"/>
      <c r="H307" s="6"/>
      <c r="I307" s="6"/>
      <c r="J307" s="6"/>
      <c r="K307" s="51"/>
      <c r="L307" s="51"/>
      <c r="M307" s="51"/>
      <c r="N307" s="51"/>
      <c r="O307" s="51"/>
      <c r="P307" s="51"/>
      <c r="Q307" s="51"/>
      <c r="R307" s="51"/>
      <c r="S307" s="51"/>
      <c r="T307" s="51"/>
      <c r="U307" s="51"/>
      <c r="V307" s="51"/>
      <c r="W307" s="51"/>
      <c r="X307" s="51"/>
      <c r="Y307" s="51"/>
      <c r="Z307" s="51"/>
      <c r="AA307" s="51"/>
      <c r="AB307" s="51"/>
    </row>
    <row r="308" customFormat="false" ht="15.75" hidden="false" customHeight="false" outlineLevel="0" collapsed="false">
      <c r="A308" s="51"/>
      <c r="B308" s="51"/>
      <c r="C308" s="6"/>
      <c r="D308" s="49"/>
      <c r="E308" s="51"/>
      <c r="F308" s="6"/>
      <c r="G308" s="6"/>
      <c r="H308" s="6"/>
      <c r="I308" s="6"/>
      <c r="J308" s="6"/>
      <c r="K308" s="51"/>
      <c r="L308" s="51"/>
      <c r="M308" s="51"/>
      <c r="N308" s="51"/>
      <c r="O308" s="51"/>
      <c r="P308" s="51"/>
      <c r="Q308" s="51"/>
      <c r="R308" s="51"/>
      <c r="S308" s="51"/>
      <c r="T308" s="51"/>
      <c r="U308" s="51"/>
      <c r="V308" s="51"/>
      <c r="W308" s="51"/>
      <c r="X308" s="51"/>
      <c r="Y308" s="51"/>
      <c r="Z308" s="51"/>
      <c r="AA308" s="51"/>
      <c r="AB308" s="51"/>
    </row>
    <row r="309" customFormat="false" ht="15.75" hidden="false" customHeight="false" outlineLevel="0" collapsed="false">
      <c r="A309" s="51"/>
      <c r="B309" s="51"/>
      <c r="C309" s="6"/>
      <c r="D309" s="49"/>
      <c r="E309" s="51"/>
      <c r="F309" s="6"/>
      <c r="G309" s="6"/>
      <c r="H309" s="6"/>
      <c r="I309" s="6"/>
      <c r="J309" s="6"/>
      <c r="K309" s="51"/>
      <c r="L309" s="51"/>
      <c r="M309" s="51"/>
      <c r="N309" s="51"/>
      <c r="O309" s="51"/>
      <c r="P309" s="51"/>
      <c r="Q309" s="51"/>
      <c r="R309" s="51"/>
      <c r="S309" s="51"/>
      <c r="T309" s="51"/>
      <c r="U309" s="51"/>
      <c r="V309" s="51"/>
      <c r="W309" s="51"/>
      <c r="X309" s="51"/>
      <c r="Y309" s="51"/>
      <c r="Z309" s="51"/>
      <c r="AA309" s="51"/>
      <c r="AB309" s="51"/>
    </row>
    <row r="310" customFormat="false" ht="15.75" hidden="false" customHeight="false" outlineLevel="0" collapsed="false">
      <c r="A310" s="51"/>
      <c r="B310" s="51"/>
      <c r="C310" s="6"/>
      <c r="D310" s="49"/>
      <c r="E310" s="51"/>
      <c r="F310" s="6"/>
      <c r="G310" s="6"/>
      <c r="H310" s="6"/>
      <c r="I310" s="6"/>
      <c r="J310" s="6"/>
      <c r="K310" s="51"/>
      <c r="L310" s="51"/>
      <c r="M310" s="51"/>
      <c r="N310" s="51"/>
      <c r="O310" s="51"/>
      <c r="P310" s="51"/>
      <c r="Q310" s="51"/>
      <c r="R310" s="51"/>
      <c r="S310" s="51"/>
      <c r="T310" s="51"/>
      <c r="U310" s="51"/>
      <c r="V310" s="51"/>
      <c r="W310" s="51"/>
      <c r="X310" s="51"/>
      <c r="Y310" s="51"/>
      <c r="Z310" s="51"/>
      <c r="AA310" s="51"/>
      <c r="AB310" s="51"/>
    </row>
    <row r="311" customFormat="false" ht="15.75" hidden="false" customHeight="false" outlineLevel="0" collapsed="false">
      <c r="A311" s="51"/>
      <c r="B311" s="51"/>
      <c r="C311" s="6"/>
      <c r="D311" s="49"/>
      <c r="E311" s="51"/>
      <c r="F311" s="6"/>
      <c r="G311" s="6"/>
      <c r="H311" s="6"/>
      <c r="I311" s="6"/>
      <c r="J311" s="6"/>
      <c r="K311" s="51"/>
      <c r="L311" s="51"/>
      <c r="M311" s="51"/>
      <c r="N311" s="51"/>
      <c r="O311" s="51"/>
      <c r="P311" s="51"/>
      <c r="Q311" s="51"/>
      <c r="R311" s="51"/>
      <c r="S311" s="51"/>
      <c r="T311" s="51"/>
      <c r="U311" s="51"/>
      <c r="V311" s="51"/>
      <c r="W311" s="51"/>
      <c r="X311" s="51"/>
      <c r="Y311" s="51"/>
      <c r="Z311" s="51"/>
      <c r="AA311" s="51"/>
      <c r="AB311" s="51"/>
    </row>
    <row r="312" customFormat="false" ht="15.75" hidden="false" customHeight="false" outlineLevel="0" collapsed="false">
      <c r="A312" s="51"/>
      <c r="B312" s="51"/>
      <c r="C312" s="6"/>
      <c r="D312" s="49"/>
      <c r="E312" s="51"/>
      <c r="F312" s="6"/>
      <c r="G312" s="6"/>
      <c r="H312" s="6"/>
      <c r="I312" s="6"/>
      <c r="J312" s="6"/>
      <c r="K312" s="51"/>
      <c r="L312" s="51"/>
      <c r="M312" s="51"/>
      <c r="N312" s="51"/>
      <c r="O312" s="51"/>
      <c r="P312" s="51"/>
      <c r="Q312" s="51"/>
      <c r="R312" s="51"/>
      <c r="S312" s="51"/>
      <c r="T312" s="51"/>
      <c r="U312" s="51"/>
      <c r="V312" s="51"/>
      <c r="W312" s="51"/>
      <c r="X312" s="51"/>
      <c r="Y312" s="51"/>
      <c r="Z312" s="51"/>
      <c r="AA312" s="51"/>
      <c r="AB312" s="51"/>
    </row>
    <row r="313" customFormat="false" ht="15.75" hidden="false" customHeight="false" outlineLevel="0" collapsed="false">
      <c r="A313" s="51"/>
      <c r="B313" s="51"/>
      <c r="C313" s="6"/>
      <c r="D313" s="49"/>
      <c r="E313" s="51"/>
      <c r="F313" s="6"/>
      <c r="G313" s="6"/>
      <c r="H313" s="6"/>
      <c r="I313" s="6"/>
      <c r="J313" s="6"/>
      <c r="K313" s="51"/>
      <c r="L313" s="51"/>
      <c r="M313" s="51"/>
      <c r="N313" s="51"/>
      <c r="O313" s="51"/>
      <c r="P313" s="51"/>
      <c r="Q313" s="51"/>
      <c r="R313" s="51"/>
      <c r="S313" s="51"/>
      <c r="T313" s="51"/>
      <c r="U313" s="51"/>
      <c r="V313" s="51"/>
      <c r="W313" s="51"/>
      <c r="X313" s="51"/>
      <c r="Y313" s="51"/>
      <c r="Z313" s="51"/>
      <c r="AA313" s="51"/>
      <c r="AB313" s="51"/>
    </row>
    <row r="314" customFormat="false" ht="15.75" hidden="false" customHeight="false" outlineLevel="0" collapsed="false">
      <c r="A314" s="51"/>
      <c r="B314" s="51"/>
      <c r="C314" s="6"/>
      <c r="D314" s="49"/>
      <c r="E314" s="51"/>
      <c r="F314" s="6"/>
      <c r="G314" s="6"/>
      <c r="H314" s="6"/>
      <c r="I314" s="6"/>
      <c r="J314" s="6"/>
      <c r="K314" s="51"/>
      <c r="L314" s="51"/>
      <c r="M314" s="51"/>
      <c r="N314" s="51"/>
      <c r="O314" s="51"/>
      <c r="P314" s="51"/>
      <c r="Q314" s="51"/>
      <c r="R314" s="51"/>
      <c r="S314" s="51"/>
      <c r="T314" s="51"/>
      <c r="U314" s="51"/>
      <c r="V314" s="51"/>
      <c r="W314" s="51"/>
      <c r="X314" s="51"/>
      <c r="Y314" s="51"/>
      <c r="Z314" s="51"/>
      <c r="AA314" s="51"/>
      <c r="AB314" s="51"/>
    </row>
    <row r="315" customFormat="false" ht="15.75" hidden="false" customHeight="false" outlineLevel="0" collapsed="false">
      <c r="A315" s="51"/>
      <c r="B315" s="51"/>
      <c r="C315" s="6"/>
      <c r="D315" s="49"/>
      <c r="E315" s="51"/>
      <c r="F315" s="6"/>
      <c r="G315" s="6"/>
      <c r="H315" s="6"/>
      <c r="I315" s="6"/>
      <c r="J315" s="6"/>
      <c r="K315" s="51"/>
      <c r="L315" s="51"/>
      <c r="M315" s="51"/>
      <c r="N315" s="51"/>
      <c r="O315" s="51"/>
      <c r="P315" s="51"/>
      <c r="Q315" s="51"/>
      <c r="R315" s="51"/>
      <c r="S315" s="51"/>
      <c r="T315" s="51"/>
      <c r="U315" s="51"/>
      <c r="V315" s="51"/>
      <c r="W315" s="51"/>
      <c r="X315" s="51"/>
      <c r="Y315" s="51"/>
      <c r="Z315" s="51"/>
      <c r="AA315" s="51"/>
      <c r="AB315" s="51"/>
    </row>
    <row r="316" customFormat="false" ht="15.75" hidden="false" customHeight="false" outlineLevel="0" collapsed="false">
      <c r="A316" s="51"/>
      <c r="B316" s="51"/>
      <c r="C316" s="6"/>
      <c r="D316" s="49"/>
      <c r="E316" s="51"/>
      <c r="F316" s="6"/>
      <c r="G316" s="6"/>
      <c r="H316" s="6"/>
      <c r="I316" s="6"/>
      <c r="J316" s="6"/>
      <c r="K316" s="51"/>
      <c r="L316" s="51"/>
      <c r="M316" s="51"/>
      <c r="N316" s="51"/>
      <c r="O316" s="51"/>
      <c r="P316" s="51"/>
      <c r="Q316" s="51"/>
      <c r="R316" s="51"/>
      <c r="S316" s="51"/>
      <c r="T316" s="51"/>
      <c r="U316" s="51"/>
      <c r="V316" s="51"/>
      <c r="W316" s="51"/>
      <c r="X316" s="51"/>
      <c r="Y316" s="51"/>
      <c r="Z316" s="51"/>
      <c r="AA316" s="51"/>
      <c r="AB316" s="51"/>
    </row>
    <row r="317" customFormat="false" ht="15.75" hidden="false" customHeight="false" outlineLevel="0" collapsed="false">
      <c r="A317" s="51"/>
      <c r="B317" s="51"/>
      <c r="C317" s="6"/>
      <c r="D317" s="49"/>
      <c r="E317" s="51"/>
      <c r="F317" s="6"/>
      <c r="G317" s="6"/>
      <c r="H317" s="6"/>
      <c r="I317" s="6"/>
      <c r="J317" s="6"/>
      <c r="K317" s="51"/>
      <c r="L317" s="51"/>
      <c r="M317" s="51"/>
      <c r="N317" s="51"/>
      <c r="O317" s="51"/>
      <c r="P317" s="51"/>
      <c r="Q317" s="51"/>
      <c r="R317" s="51"/>
      <c r="S317" s="51"/>
      <c r="T317" s="51"/>
      <c r="U317" s="51"/>
      <c r="V317" s="51"/>
      <c r="W317" s="51"/>
      <c r="X317" s="51"/>
      <c r="Y317" s="51"/>
      <c r="Z317" s="51"/>
      <c r="AA317" s="51"/>
      <c r="AB317" s="51"/>
    </row>
    <row r="318" customFormat="false" ht="15.75" hidden="false" customHeight="false" outlineLevel="0" collapsed="false">
      <c r="A318" s="51"/>
      <c r="B318" s="51"/>
      <c r="C318" s="6"/>
      <c r="D318" s="49"/>
      <c r="E318" s="51"/>
      <c r="F318" s="6"/>
      <c r="G318" s="6"/>
      <c r="H318" s="6"/>
      <c r="I318" s="6"/>
      <c r="J318" s="6"/>
      <c r="K318" s="51"/>
      <c r="L318" s="51"/>
      <c r="M318" s="51"/>
      <c r="N318" s="51"/>
      <c r="O318" s="51"/>
      <c r="P318" s="51"/>
      <c r="Q318" s="51"/>
      <c r="R318" s="51"/>
      <c r="S318" s="51"/>
      <c r="T318" s="51"/>
      <c r="U318" s="51"/>
      <c r="V318" s="51"/>
      <c r="W318" s="51"/>
      <c r="X318" s="51"/>
      <c r="Y318" s="51"/>
      <c r="Z318" s="51"/>
      <c r="AA318" s="51"/>
      <c r="AB318" s="51"/>
    </row>
    <row r="319" customFormat="false" ht="15.75" hidden="false" customHeight="false" outlineLevel="0" collapsed="false">
      <c r="A319" s="51"/>
      <c r="B319" s="51"/>
      <c r="C319" s="6"/>
      <c r="D319" s="49"/>
      <c r="E319" s="51"/>
      <c r="F319" s="6"/>
      <c r="G319" s="6"/>
      <c r="H319" s="6"/>
      <c r="I319" s="6"/>
      <c r="J319" s="6"/>
      <c r="K319" s="51"/>
      <c r="L319" s="51"/>
      <c r="M319" s="51"/>
      <c r="N319" s="51"/>
      <c r="O319" s="51"/>
      <c r="P319" s="51"/>
      <c r="Q319" s="51"/>
      <c r="R319" s="51"/>
      <c r="S319" s="51"/>
      <c r="T319" s="51"/>
      <c r="U319" s="51"/>
      <c r="V319" s="51"/>
      <c r="W319" s="51"/>
      <c r="X319" s="51"/>
      <c r="Y319" s="51"/>
      <c r="Z319" s="51"/>
      <c r="AA319" s="51"/>
      <c r="AB319" s="51"/>
    </row>
    <row r="320" customFormat="false" ht="15.75" hidden="false" customHeight="false" outlineLevel="0" collapsed="false">
      <c r="A320" s="51"/>
      <c r="B320" s="51"/>
      <c r="C320" s="6"/>
      <c r="D320" s="49"/>
      <c r="E320" s="51"/>
      <c r="F320" s="6"/>
      <c r="G320" s="6"/>
      <c r="H320" s="6"/>
      <c r="I320" s="6"/>
      <c r="J320" s="6"/>
      <c r="K320" s="51"/>
      <c r="L320" s="51"/>
      <c r="M320" s="51"/>
      <c r="N320" s="51"/>
      <c r="O320" s="51"/>
      <c r="P320" s="51"/>
      <c r="Q320" s="51"/>
      <c r="R320" s="51"/>
      <c r="S320" s="51"/>
      <c r="T320" s="51"/>
      <c r="U320" s="51"/>
      <c r="V320" s="51"/>
      <c r="W320" s="51"/>
      <c r="X320" s="51"/>
      <c r="Y320" s="51"/>
      <c r="Z320" s="51"/>
      <c r="AA320" s="51"/>
      <c r="AB320" s="51"/>
    </row>
    <row r="321" customFormat="false" ht="15.75" hidden="false" customHeight="false" outlineLevel="0" collapsed="false">
      <c r="A321" s="51"/>
      <c r="B321" s="51"/>
      <c r="C321" s="6"/>
      <c r="D321" s="49"/>
      <c r="E321" s="51"/>
      <c r="F321" s="6"/>
      <c r="G321" s="6"/>
      <c r="H321" s="6"/>
      <c r="I321" s="6"/>
      <c r="J321" s="6"/>
      <c r="K321" s="51"/>
      <c r="L321" s="51"/>
      <c r="M321" s="51"/>
      <c r="N321" s="51"/>
      <c r="O321" s="51"/>
      <c r="P321" s="51"/>
      <c r="Q321" s="51"/>
      <c r="R321" s="51"/>
      <c r="S321" s="51"/>
      <c r="T321" s="51"/>
      <c r="U321" s="51"/>
      <c r="V321" s="51"/>
      <c r="W321" s="51"/>
      <c r="X321" s="51"/>
      <c r="Y321" s="51"/>
      <c r="Z321" s="51"/>
      <c r="AA321" s="51"/>
      <c r="AB321" s="51"/>
    </row>
    <row r="322" customFormat="false" ht="15.75" hidden="false" customHeight="false" outlineLevel="0" collapsed="false">
      <c r="A322" s="51"/>
      <c r="B322" s="51"/>
      <c r="C322" s="6"/>
      <c r="D322" s="49"/>
      <c r="E322" s="51"/>
      <c r="F322" s="6"/>
      <c r="G322" s="6"/>
      <c r="H322" s="6"/>
      <c r="I322" s="6"/>
      <c r="J322" s="6"/>
      <c r="K322" s="51"/>
      <c r="L322" s="51"/>
      <c r="M322" s="51"/>
      <c r="N322" s="51"/>
      <c r="O322" s="51"/>
      <c r="P322" s="51"/>
      <c r="Q322" s="51"/>
      <c r="R322" s="51"/>
      <c r="S322" s="51"/>
      <c r="T322" s="51"/>
      <c r="U322" s="51"/>
      <c r="V322" s="51"/>
      <c r="W322" s="51"/>
      <c r="X322" s="51"/>
      <c r="Y322" s="51"/>
      <c r="Z322" s="51"/>
      <c r="AA322" s="51"/>
      <c r="AB322" s="51"/>
    </row>
    <row r="323" customFormat="false" ht="15.75" hidden="false" customHeight="false" outlineLevel="0" collapsed="false">
      <c r="A323" s="51"/>
      <c r="B323" s="51"/>
      <c r="C323" s="6"/>
      <c r="D323" s="49"/>
      <c r="E323" s="51"/>
      <c r="F323" s="6"/>
      <c r="G323" s="6"/>
      <c r="H323" s="6"/>
      <c r="I323" s="6"/>
      <c r="J323" s="6"/>
      <c r="K323" s="51"/>
      <c r="L323" s="51"/>
      <c r="M323" s="51"/>
      <c r="N323" s="51"/>
      <c r="O323" s="51"/>
      <c r="P323" s="51"/>
      <c r="Q323" s="51"/>
      <c r="R323" s="51"/>
      <c r="S323" s="51"/>
      <c r="T323" s="51"/>
      <c r="U323" s="51"/>
      <c r="V323" s="51"/>
      <c r="W323" s="51"/>
      <c r="X323" s="51"/>
      <c r="Y323" s="51"/>
      <c r="Z323" s="51"/>
      <c r="AA323" s="51"/>
      <c r="AB323" s="51"/>
    </row>
    <row r="324" customFormat="false" ht="15.75" hidden="false" customHeight="false" outlineLevel="0" collapsed="false">
      <c r="A324" s="51"/>
      <c r="B324" s="51"/>
      <c r="C324" s="6"/>
      <c r="D324" s="49"/>
      <c r="E324" s="51"/>
      <c r="F324" s="6"/>
      <c r="G324" s="6"/>
      <c r="H324" s="6"/>
      <c r="I324" s="6"/>
      <c r="J324" s="6"/>
      <c r="K324" s="51"/>
      <c r="L324" s="51"/>
      <c r="M324" s="51"/>
      <c r="N324" s="51"/>
      <c r="O324" s="51"/>
      <c r="P324" s="51"/>
      <c r="Q324" s="51"/>
      <c r="R324" s="51"/>
      <c r="S324" s="51"/>
      <c r="T324" s="51"/>
      <c r="U324" s="51"/>
      <c r="V324" s="51"/>
      <c r="W324" s="51"/>
      <c r="X324" s="51"/>
      <c r="Y324" s="51"/>
      <c r="Z324" s="51"/>
      <c r="AA324" s="51"/>
      <c r="AB324" s="51"/>
    </row>
    <row r="325" customFormat="false" ht="15.75" hidden="false" customHeight="false" outlineLevel="0" collapsed="false">
      <c r="A325" s="51"/>
      <c r="B325" s="51"/>
      <c r="C325" s="6"/>
      <c r="D325" s="49"/>
      <c r="E325" s="51"/>
      <c r="F325" s="6"/>
      <c r="G325" s="6"/>
      <c r="H325" s="6"/>
      <c r="I325" s="6"/>
      <c r="J325" s="6"/>
      <c r="K325" s="51"/>
      <c r="L325" s="51"/>
      <c r="M325" s="51"/>
      <c r="N325" s="51"/>
      <c r="O325" s="51"/>
      <c r="P325" s="51"/>
      <c r="Q325" s="51"/>
      <c r="R325" s="51"/>
      <c r="S325" s="51"/>
      <c r="T325" s="51"/>
      <c r="U325" s="51"/>
      <c r="V325" s="51"/>
      <c r="W325" s="51"/>
      <c r="X325" s="51"/>
      <c r="Y325" s="51"/>
      <c r="Z325" s="51"/>
      <c r="AA325" s="51"/>
      <c r="AB325" s="51"/>
    </row>
    <row r="326" customFormat="false" ht="15.75" hidden="false" customHeight="false" outlineLevel="0" collapsed="false">
      <c r="A326" s="51"/>
      <c r="B326" s="51"/>
      <c r="C326" s="6"/>
      <c r="D326" s="49"/>
      <c r="E326" s="51"/>
      <c r="F326" s="6"/>
      <c r="G326" s="6"/>
      <c r="H326" s="6"/>
      <c r="I326" s="6"/>
      <c r="J326" s="6"/>
      <c r="K326" s="51"/>
      <c r="L326" s="51"/>
      <c r="M326" s="51"/>
      <c r="N326" s="51"/>
      <c r="O326" s="51"/>
      <c r="P326" s="51"/>
      <c r="Q326" s="51"/>
      <c r="R326" s="51"/>
      <c r="S326" s="51"/>
      <c r="T326" s="51"/>
      <c r="U326" s="51"/>
      <c r="V326" s="51"/>
      <c r="W326" s="51"/>
      <c r="X326" s="51"/>
      <c r="Y326" s="51"/>
      <c r="Z326" s="51"/>
      <c r="AA326" s="51"/>
      <c r="AB326" s="51"/>
    </row>
    <row r="327" customFormat="false" ht="15.75" hidden="false" customHeight="false" outlineLevel="0" collapsed="false">
      <c r="A327" s="51"/>
      <c r="B327" s="51"/>
      <c r="C327" s="6"/>
      <c r="D327" s="49"/>
      <c r="E327" s="51"/>
      <c r="F327" s="6"/>
      <c r="G327" s="6"/>
      <c r="H327" s="6"/>
      <c r="I327" s="6"/>
      <c r="J327" s="6"/>
      <c r="K327" s="51"/>
      <c r="L327" s="51"/>
      <c r="M327" s="51"/>
      <c r="N327" s="51"/>
      <c r="O327" s="51"/>
      <c r="P327" s="51"/>
      <c r="Q327" s="51"/>
      <c r="R327" s="51"/>
      <c r="S327" s="51"/>
      <c r="T327" s="51"/>
      <c r="U327" s="51"/>
      <c r="V327" s="51"/>
      <c r="W327" s="51"/>
      <c r="X327" s="51"/>
      <c r="Y327" s="51"/>
      <c r="Z327" s="51"/>
      <c r="AA327" s="51"/>
      <c r="AB327" s="51"/>
    </row>
    <row r="328" customFormat="false" ht="15.75" hidden="false" customHeight="false" outlineLevel="0" collapsed="false">
      <c r="A328" s="51"/>
      <c r="B328" s="51"/>
      <c r="C328" s="6"/>
      <c r="D328" s="49"/>
      <c r="E328" s="51"/>
      <c r="F328" s="6"/>
      <c r="G328" s="6"/>
      <c r="H328" s="6"/>
      <c r="I328" s="6"/>
      <c r="J328" s="6"/>
      <c r="K328" s="51"/>
      <c r="L328" s="51"/>
      <c r="M328" s="51"/>
      <c r="N328" s="51"/>
      <c r="O328" s="51"/>
      <c r="P328" s="51"/>
      <c r="Q328" s="51"/>
      <c r="R328" s="51"/>
      <c r="S328" s="51"/>
      <c r="T328" s="51"/>
      <c r="U328" s="51"/>
      <c r="V328" s="51"/>
      <c r="W328" s="51"/>
      <c r="X328" s="51"/>
      <c r="Y328" s="51"/>
      <c r="Z328" s="51"/>
      <c r="AA328" s="51"/>
      <c r="AB328" s="51"/>
    </row>
    <row r="329" customFormat="false" ht="15.75" hidden="false" customHeight="false" outlineLevel="0" collapsed="false">
      <c r="A329" s="51"/>
      <c r="B329" s="51"/>
      <c r="C329" s="6"/>
      <c r="D329" s="49"/>
      <c r="E329" s="51"/>
      <c r="F329" s="6"/>
      <c r="G329" s="6"/>
      <c r="H329" s="6"/>
      <c r="I329" s="6"/>
      <c r="J329" s="6"/>
      <c r="K329" s="51"/>
      <c r="L329" s="51"/>
      <c r="M329" s="51"/>
      <c r="N329" s="51"/>
      <c r="O329" s="51"/>
      <c r="P329" s="51"/>
      <c r="Q329" s="51"/>
      <c r="R329" s="51"/>
      <c r="S329" s="51"/>
      <c r="T329" s="51"/>
      <c r="U329" s="51"/>
      <c r="V329" s="51"/>
      <c r="W329" s="51"/>
      <c r="X329" s="51"/>
      <c r="Y329" s="51"/>
      <c r="Z329" s="51"/>
      <c r="AA329" s="51"/>
      <c r="AB329" s="51"/>
    </row>
    <row r="330" customFormat="false" ht="15.75" hidden="false" customHeight="false" outlineLevel="0" collapsed="false">
      <c r="A330" s="51"/>
      <c r="B330" s="51"/>
      <c r="C330" s="6"/>
      <c r="D330" s="49"/>
      <c r="E330" s="51"/>
      <c r="F330" s="6"/>
      <c r="G330" s="6"/>
      <c r="H330" s="6"/>
      <c r="I330" s="6"/>
      <c r="J330" s="6"/>
      <c r="K330" s="51"/>
      <c r="L330" s="51"/>
      <c r="M330" s="51"/>
      <c r="N330" s="51"/>
      <c r="O330" s="51"/>
      <c r="P330" s="51"/>
      <c r="Q330" s="51"/>
      <c r="R330" s="51"/>
      <c r="S330" s="51"/>
      <c r="T330" s="51"/>
      <c r="U330" s="51"/>
      <c r="V330" s="51"/>
      <c r="W330" s="51"/>
      <c r="X330" s="51"/>
      <c r="Y330" s="51"/>
      <c r="Z330" s="51"/>
      <c r="AA330" s="51"/>
      <c r="AB330" s="51"/>
    </row>
    <row r="331" customFormat="false" ht="15.75" hidden="false" customHeight="false" outlineLevel="0" collapsed="false">
      <c r="A331" s="51"/>
      <c r="B331" s="51"/>
      <c r="C331" s="6"/>
      <c r="D331" s="49"/>
      <c r="E331" s="51"/>
      <c r="F331" s="6"/>
      <c r="G331" s="6"/>
      <c r="H331" s="6"/>
      <c r="I331" s="6"/>
      <c r="J331" s="6"/>
      <c r="K331" s="51"/>
      <c r="L331" s="51"/>
      <c r="M331" s="51"/>
      <c r="N331" s="51"/>
      <c r="O331" s="51"/>
      <c r="P331" s="51"/>
      <c r="Q331" s="51"/>
      <c r="R331" s="51"/>
      <c r="S331" s="51"/>
      <c r="T331" s="51"/>
      <c r="U331" s="51"/>
      <c r="V331" s="51"/>
      <c r="W331" s="51"/>
      <c r="X331" s="51"/>
      <c r="Y331" s="51"/>
      <c r="Z331" s="51"/>
      <c r="AA331" s="51"/>
      <c r="AB331" s="51"/>
    </row>
    <row r="332" customFormat="false" ht="15.75" hidden="false" customHeight="false" outlineLevel="0" collapsed="false">
      <c r="A332" s="51"/>
      <c r="B332" s="51"/>
      <c r="C332" s="6"/>
      <c r="D332" s="49"/>
      <c r="E332" s="51"/>
      <c r="F332" s="6"/>
      <c r="G332" s="6"/>
      <c r="H332" s="6"/>
      <c r="I332" s="6"/>
      <c r="J332" s="6"/>
      <c r="K332" s="51"/>
      <c r="L332" s="51"/>
      <c r="M332" s="51"/>
      <c r="N332" s="51"/>
      <c r="O332" s="51"/>
      <c r="P332" s="51"/>
      <c r="Q332" s="51"/>
      <c r="R332" s="51"/>
      <c r="S332" s="51"/>
      <c r="T332" s="51"/>
      <c r="U332" s="51"/>
      <c r="V332" s="51"/>
      <c r="W332" s="51"/>
      <c r="X332" s="51"/>
      <c r="Y332" s="51"/>
      <c r="Z332" s="51"/>
      <c r="AA332" s="51"/>
      <c r="AB332" s="51"/>
    </row>
    <row r="333" customFormat="false" ht="15.75" hidden="false" customHeight="false" outlineLevel="0" collapsed="false">
      <c r="A333" s="51"/>
      <c r="B333" s="51"/>
      <c r="C333" s="6"/>
      <c r="D333" s="49"/>
      <c r="E333" s="51"/>
      <c r="F333" s="6"/>
      <c r="G333" s="6"/>
      <c r="H333" s="6"/>
      <c r="I333" s="6"/>
      <c r="J333" s="6"/>
      <c r="K333" s="51"/>
      <c r="L333" s="51"/>
      <c r="M333" s="51"/>
      <c r="N333" s="51"/>
      <c r="O333" s="51"/>
      <c r="P333" s="51"/>
      <c r="Q333" s="51"/>
      <c r="R333" s="51"/>
      <c r="S333" s="51"/>
      <c r="T333" s="51"/>
      <c r="U333" s="51"/>
      <c r="V333" s="51"/>
      <c r="W333" s="51"/>
      <c r="X333" s="51"/>
      <c r="Y333" s="51"/>
      <c r="Z333" s="51"/>
      <c r="AA333" s="51"/>
      <c r="AB333" s="51"/>
    </row>
    <row r="334" customFormat="false" ht="15.75" hidden="false" customHeight="false" outlineLevel="0" collapsed="false">
      <c r="A334" s="51"/>
      <c r="B334" s="51"/>
      <c r="C334" s="6"/>
      <c r="D334" s="49"/>
      <c r="E334" s="51"/>
      <c r="F334" s="6"/>
      <c r="G334" s="6"/>
      <c r="H334" s="6"/>
      <c r="I334" s="6"/>
      <c r="J334" s="6"/>
      <c r="K334" s="51"/>
      <c r="L334" s="51"/>
      <c r="M334" s="51"/>
      <c r="N334" s="51"/>
      <c r="O334" s="51"/>
      <c r="P334" s="51"/>
      <c r="Q334" s="51"/>
      <c r="R334" s="51"/>
      <c r="S334" s="51"/>
      <c r="T334" s="51"/>
      <c r="U334" s="51"/>
      <c r="V334" s="51"/>
      <c r="W334" s="51"/>
      <c r="X334" s="51"/>
      <c r="Y334" s="51"/>
      <c r="Z334" s="51"/>
      <c r="AA334" s="51"/>
      <c r="AB334" s="51"/>
    </row>
    <row r="335" customFormat="false" ht="15.75" hidden="false" customHeight="false" outlineLevel="0" collapsed="false">
      <c r="A335" s="51"/>
      <c r="B335" s="51"/>
      <c r="C335" s="6"/>
      <c r="D335" s="49"/>
      <c r="E335" s="51"/>
      <c r="F335" s="6"/>
      <c r="G335" s="6"/>
      <c r="H335" s="6"/>
      <c r="I335" s="6"/>
      <c r="J335" s="6"/>
      <c r="K335" s="51"/>
      <c r="L335" s="51"/>
      <c r="M335" s="51"/>
      <c r="N335" s="51"/>
      <c r="O335" s="51"/>
      <c r="P335" s="51"/>
      <c r="Q335" s="51"/>
      <c r="R335" s="51"/>
      <c r="S335" s="51"/>
      <c r="T335" s="51"/>
      <c r="U335" s="51"/>
      <c r="V335" s="51"/>
      <c r="W335" s="51"/>
      <c r="X335" s="51"/>
      <c r="Y335" s="51"/>
      <c r="Z335" s="51"/>
      <c r="AA335" s="51"/>
      <c r="AB335" s="51"/>
    </row>
    <row r="336" customFormat="false" ht="15.75" hidden="false" customHeight="false" outlineLevel="0" collapsed="false">
      <c r="A336" s="51"/>
      <c r="B336" s="51"/>
      <c r="C336" s="6"/>
      <c r="D336" s="49"/>
      <c r="E336" s="51"/>
      <c r="F336" s="6"/>
      <c r="G336" s="6"/>
      <c r="H336" s="6"/>
      <c r="I336" s="6"/>
      <c r="J336" s="6"/>
      <c r="K336" s="51"/>
      <c r="L336" s="51"/>
      <c r="M336" s="51"/>
      <c r="N336" s="51"/>
      <c r="O336" s="51"/>
      <c r="P336" s="51"/>
      <c r="Q336" s="51"/>
      <c r="R336" s="51"/>
      <c r="S336" s="51"/>
      <c r="T336" s="51"/>
      <c r="U336" s="51"/>
      <c r="V336" s="51"/>
      <c r="W336" s="51"/>
      <c r="X336" s="51"/>
      <c r="Y336" s="51"/>
      <c r="Z336" s="51"/>
      <c r="AA336" s="51"/>
      <c r="AB336" s="51"/>
    </row>
    <row r="337" customFormat="false" ht="15.75" hidden="false" customHeight="false" outlineLevel="0" collapsed="false">
      <c r="A337" s="51"/>
      <c r="B337" s="51"/>
      <c r="C337" s="6"/>
      <c r="D337" s="49"/>
      <c r="E337" s="51"/>
      <c r="F337" s="6"/>
      <c r="G337" s="6"/>
      <c r="H337" s="6"/>
      <c r="I337" s="6"/>
      <c r="J337" s="6"/>
      <c r="K337" s="51"/>
      <c r="L337" s="51"/>
      <c r="M337" s="51"/>
      <c r="N337" s="51"/>
      <c r="O337" s="51"/>
      <c r="P337" s="51"/>
      <c r="Q337" s="51"/>
      <c r="R337" s="51"/>
      <c r="S337" s="51"/>
      <c r="T337" s="51"/>
      <c r="U337" s="51"/>
      <c r="V337" s="51"/>
      <c r="W337" s="51"/>
      <c r="X337" s="51"/>
      <c r="Y337" s="51"/>
      <c r="Z337" s="51"/>
      <c r="AA337" s="51"/>
      <c r="AB337" s="51"/>
    </row>
    <row r="338" customFormat="false" ht="15.75" hidden="false" customHeight="false" outlineLevel="0" collapsed="false">
      <c r="A338" s="51"/>
      <c r="B338" s="51"/>
      <c r="C338" s="6"/>
      <c r="D338" s="49"/>
      <c r="E338" s="51"/>
      <c r="F338" s="6"/>
      <c r="G338" s="6"/>
      <c r="H338" s="6"/>
      <c r="I338" s="6"/>
      <c r="J338" s="6"/>
      <c r="K338" s="51"/>
      <c r="L338" s="51"/>
      <c r="M338" s="51"/>
      <c r="N338" s="51"/>
      <c r="O338" s="51"/>
      <c r="P338" s="51"/>
      <c r="Q338" s="51"/>
      <c r="R338" s="51"/>
      <c r="S338" s="51"/>
      <c r="T338" s="51"/>
      <c r="U338" s="51"/>
      <c r="V338" s="51"/>
      <c r="W338" s="51"/>
      <c r="X338" s="51"/>
      <c r="Y338" s="51"/>
      <c r="Z338" s="51"/>
      <c r="AA338" s="51"/>
      <c r="AB338" s="51"/>
    </row>
    <row r="339" customFormat="false" ht="15.75" hidden="false" customHeight="false" outlineLevel="0" collapsed="false">
      <c r="A339" s="51"/>
      <c r="B339" s="51"/>
      <c r="C339" s="6"/>
      <c r="D339" s="49"/>
      <c r="E339" s="51"/>
      <c r="F339" s="6"/>
      <c r="G339" s="6"/>
      <c r="H339" s="6"/>
      <c r="I339" s="6"/>
      <c r="J339" s="6"/>
      <c r="K339" s="51"/>
      <c r="L339" s="51"/>
      <c r="M339" s="51"/>
      <c r="N339" s="51"/>
      <c r="O339" s="51"/>
      <c r="P339" s="51"/>
      <c r="Q339" s="51"/>
      <c r="R339" s="51"/>
      <c r="S339" s="51"/>
      <c r="T339" s="51"/>
      <c r="U339" s="51"/>
      <c r="V339" s="51"/>
      <c r="W339" s="51"/>
      <c r="X339" s="51"/>
      <c r="Y339" s="51"/>
      <c r="Z339" s="51"/>
      <c r="AA339" s="51"/>
      <c r="AB339" s="51"/>
    </row>
    <row r="340" customFormat="false" ht="15.75" hidden="false" customHeight="false" outlineLevel="0" collapsed="false">
      <c r="A340" s="51"/>
      <c r="B340" s="51"/>
      <c r="C340" s="6"/>
      <c r="D340" s="49"/>
      <c r="E340" s="51"/>
      <c r="F340" s="6"/>
      <c r="G340" s="6"/>
      <c r="H340" s="6"/>
      <c r="I340" s="6"/>
      <c r="J340" s="6"/>
      <c r="K340" s="51"/>
      <c r="L340" s="51"/>
      <c r="M340" s="51"/>
      <c r="N340" s="51"/>
      <c r="O340" s="51"/>
      <c r="P340" s="51"/>
      <c r="Q340" s="51"/>
      <c r="R340" s="51"/>
      <c r="S340" s="51"/>
      <c r="T340" s="51"/>
      <c r="U340" s="51"/>
      <c r="V340" s="51"/>
      <c r="W340" s="51"/>
      <c r="X340" s="51"/>
      <c r="Y340" s="51"/>
      <c r="Z340" s="51"/>
      <c r="AA340" s="51"/>
      <c r="AB340" s="51"/>
    </row>
    <row r="341" customFormat="false" ht="15.75" hidden="false" customHeight="false" outlineLevel="0" collapsed="false">
      <c r="A341" s="51"/>
      <c r="B341" s="51"/>
      <c r="C341" s="6"/>
      <c r="D341" s="49"/>
      <c r="E341" s="51"/>
      <c r="F341" s="6"/>
      <c r="G341" s="6"/>
      <c r="H341" s="6"/>
      <c r="I341" s="6"/>
      <c r="J341" s="6"/>
      <c r="K341" s="51"/>
      <c r="L341" s="51"/>
      <c r="M341" s="51"/>
      <c r="N341" s="51"/>
      <c r="O341" s="51"/>
      <c r="P341" s="51"/>
      <c r="Q341" s="51"/>
      <c r="R341" s="51"/>
      <c r="S341" s="51"/>
      <c r="T341" s="51"/>
      <c r="U341" s="51"/>
      <c r="V341" s="51"/>
      <c r="W341" s="51"/>
      <c r="X341" s="51"/>
      <c r="Y341" s="51"/>
      <c r="Z341" s="51"/>
      <c r="AA341" s="51"/>
      <c r="AB341" s="51"/>
    </row>
    <row r="342" customFormat="false" ht="15.75" hidden="false" customHeight="false" outlineLevel="0" collapsed="false">
      <c r="A342" s="51"/>
      <c r="B342" s="51"/>
      <c r="C342" s="6"/>
      <c r="D342" s="49"/>
      <c r="E342" s="51"/>
      <c r="F342" s="6"/>
      <c r="G342" s="6"/>
      <c r="H342" s="6"/>
      <c r="I342" s="6"/>
      <c r="J342" s="6"/>
      <c r="K342" s="51"/>
      <c r="L342" s="51"/>
      <c r="M342" s="51"/>
      <c r="N342" s="51"/>
      <c r="O342" s="51"/>
      <c r="P342" s="51"/>
      <c r="Q342" s="51"/>
      <c r="R342" s="51"/>
      <c r="S342" s="51"/>
      <c r="T342" s="51"/>
      <c r="U342" s="51"/>
      <c r="V342" s="51"/>
      <c r="W342" s="51"/>
      <c r="X342" s="51"/>
      <c r="Y342" s="51"/>
      <c r="Z342" s="51"/>
      <c r="AA342" s="51"/>
      <c r="AB342" s="51"/>
    </row>
    <row r="343" customFormat="false" ht="15.75" hidden="false" customHeight="false" outlineLevel="0" collapsed="false">
      <c r="A343" s="51"/>
      <c r="B343" s="51"/>
      <c r="C343" s="6"/>
      <c r="D343" s="49"/>
      <c r="E343" s="51"/>
      <c r="F343" s="6"/>
      <c r="G343" s="6"/>
      <c r="H343" s="6"/>
      <c r="I343" s="6"/>
      <c r="J343" s="6"/>
      <c r="K343" s="51"/>
      <c r="L343" s="51"/>
      <c r="M343" s="51"/>
      <c r="N343" s="51"/>
      <c r="O343" s="51"/>
      <c r="P343" s="51"/>
      <c r="Q343" s="51"/>
      <c r="R343" s="51"/>
      <c r="S343" s="51"/>
      <c r="T343" s="51"/>
      <c r="U343" s="51"/>
      <c r="V343" s="51"/>
      <c r="W343" s="51"/>
      <c r="X343" s="51"/>
      <c r="Y343" s="51"/>
      <c r="Z343" s="51"/>
      <c r="AA343" s="51"/>
      <c r="AB343" s="51"/>
    </row>
    <row r="344" customFormat="false" ht="15.75" hidden="false" customHeight="false" outlineLevel="0" collapsed="false">
      <c r="A344" s="51"/>
      <c r="B344" s="51"/>
      <c r="C344" s="6"/>
      <c r="D344" s="49"/>
      <c r="E344" s="51"/>
      <c r="F344" s="6"/>
      <c r="G344" s="6"/>
      <c r="H344" s="6"/>
      <c r="I344" s="6"/>
      <c r="J344" s="6"/>
      <c r="K344" s="51"/>
      <c r="L344" s="51"/>
      <c r="M344" s="51"/>
      <c r="N344" s="51"/>
      <c r="O344" s="51"/>
      <c r="P344" s="51"/>
      <c r="Q344" s="51"/>
      <c r="R344" s="51"/>
      <c r="S344" s="51"/>
      <c r="T344" s="51"/>
      <c r="U344" s="51"/>
      <c r="V344" s="51"/>
      <c r="W344" s="51"/>
      <c r="X344" s="51"/>
      <c r="Y344" s="51"/>
      <c r="Z344" s="51"/>
      <c r="AA344" s="51"/>
      <c r="AB344" s="51"/>
    </row>
    <row r="345" customFormat="false" ht="15.75" hidden="false" customHeight="false" outlineLevel="0" collapsed="false">
      <c r="A345" s="51"/>
      <c r="B345" s="51"/>
      <c r="C345" s="6"/>
      <c r="D345" s="49"/>
      <c r="E345" s="51"/>
      <c r="F345" s="6"/>
      <c r="G345" s="6"/>
      <c r="H345" s="6"/>
      <c r="I345" s="6"/>
      <c r="J345" s="6"/>
      <c r="K345" s="51"/>
      <c r="L345" s="51"/>
      <c r="M345" s="51"/>
      <c r="N345" s="51"/>
      <c r="O345" s="51"/>
      <c r="P345" s="51"/>
      <c r="Q345" s="51"/>
      <c r="R345" s="51"/>
      <c r="S345" s="51"/>
      <c r="T345" s="51"/>
      <c r="U345" s="51"/>
      <c r="V345" s="51"/>
      <c r="W345" s="51"/>
      <c r="X345" s="51"/>
      <c r="Y345" s="51"/>
      <c r="Z345" s="51"/>
      <c r="AA345" s="51"/>
      <c r="AB345" s="51"/>
    </row>
    <row r="346" customFormat="false" ht="15.75" hidden="false" customHeight="false" outlineLevel="0" collapsed="false">
      <c r="A346" s="51"/>
      <c r="B346" s="51"/>
      <c r="C346" s="6"/>
      <c r="D346" s="49"/>
      <c r="E346" s="51"/>
      <c r="F346" s="6"/>
      <c r="G346" s="6"/>
      <c r="H346" s="6"/>
      <c r="I346" s="6"/>
      <c r="J346" s="6"/>
      <c r="K346" s="51"/>
      <c r="L346" s="51"/>
      <c r="M346" s="51"/>
      <c r="N346" s="51"/>
      <c r="O346" s="51"/>
      <c r="P346" s="51"/>
      <c r="Q346" s="51"/>
      <c r="R346" s="51"/>
      <c r="S346" s="51"/>
      <c r="T346" s="51"/>
      <c r="U346" s="51"/>
      <c r="V346" s="51"/>
      <c r="W346" s="51"/>
      <c r="X346" s="51"/>
      <c r="Y346" s="51"/>
      <c r="Z346" s="51"/>
      <c r="AA346" s="51"/>
      <c r="AB346" s="51"/>
    </row>
    <row r="347" customFormat="false" ht="15.75" hidden="false" customHeight="false" outlineLevel="0" collapsed="false">
      <c r="A347" s="51"/>
      <c r="B347" s="51"/>
      <c r="C347" s="6"/>
      <c r="D347" s="49"/>
      <c r="E347" s="51"/>
      <c r="F347" s="6"/>
      <c r="G347" s="6"/>
      <c r="H347" s="6"/>
      <c r="I347" s="6"/>
      <c r="J347" s="6"/>
      <c r="K347" s="51"/>
      <c r="L347" s="51"/>
      <c r="M347" s="51"/>
      <c r="N347" s="51"/>
      <c r="O347" s="51"/>
      <c r="P347" s="51"/>
      <c r="Q347" s="51"/>
      <c r="R347" s="51"/>
      <c r="S347" s="51"/>
      <c r="T347" s="51"/>
      <c r="U347" s="51"/>
      <c r="V347" s="51"/>
      <c r="W347" s="51"/>
      <c r="X347" s="51"/>
      <c r="Y347" s="51"/>
      <c r="Z347" s="51"/>
      <c r="AA347" s="51"/>
      <c r="AB347" s="51"/>
    </row>
    <row r="348" customFormat="false" ht="15.75" hidden="false" customHeight="false" outlineLevel="0" collapsed="false">
      <c r="A348" s="51"/>
      <c r="B348" s="51"/>
      <c r="C348" s="6"/>
      <c r="D348" s="49"/>
      <c r="E348" s="51"/>
      <c r="F348" s="6"/>
      <c r="G348" s="6"/>
      <c r="H348" s="6"/>
      <c r="I348" s="6"/>
      <c r="J348" s="6"/>
      <c r="K348" s="51"/>
      <c r="L348" s="51"/>
      <c r="M348" s="51"/>
      <c r="N348" s="51"/>
      <c r="O348" s="51"/>
      <c r="P348" s="51"/>
      <c r="Q348" s="51"/>
      <c r="R348" s="51"/>
      <c r="S348" s="51"/>
      <c r="T348" s="51"/>
      <c r="U348" s="51"/>
      <c r="V348" s="51"/>
      <c r="W348" s="51"/>
      <c r="X348" s="51"/>
      <c r="Y348" s="51"/>
      <c r="Z348" s="51"/>
      <c r="AA348" s="51"/>
      <c r="AB348" s="51"/>
    </row>
    <row r="349" customFormat="false" ht="15.75" hidden="false" customHeight="false" outlineLevel="0" collapsed="false">
      <c r="A349" s="51"/>
      <c r="B349" s="51"/>
      <c r="C349" s="6"/>
      <c r="D349" s="49"/>
      <c r="E349" s="51"/>
      <c r="F349" s="6"/>
      <c r="G349" s="6"/>
      <c r="H349" s="6"/>
      <c r="I349" s="6"/>
      <c r="J349" s="6"/>
      <c r="K349" s="51"/>
      <c r="L349" s="51"/>
      <c r="M349" s="51"/>
      <c r="N349" s="51"/>
      <c r="O349" s="51"/>
      <c r="P349" s="51"/>
      <c r="Q349" s="51"/>
      <c r="R349" s="51"/>
      <c r="S349" s="51"/>
      <c r="T349" s="51"/>
      <c r="U349" s="51"/>
      <c r="V349" s="51"/>
      <c r="W349" s="51"/>
      <c r="X349" s="51"/>
      <c r="Y349" s="51"/>
      <c r="Z349" s="51"/>
      <c r="AA349" s="51"/>
      <c r="AB349" s="51"/>
    </row>
    <row r="350" customFormat="false" ht="15.75" hidden="false" customHeight="false" outlineLevel="0" collapsed="false">
      <c r="A350" s="51"/>
      <c r="B350" s="51"/>
      <c r="C350" s="6"/>
      <c r="D350" s="49"/>
      <c r="E350" s="51"/>
      <c r="F350" s="6"/>
      <c r="G350" s="6"/>
      <c r="H350" s="6"/>
      <c r="I350" s="6"/>
      <c r="J350" s="6"/>
      <c r="K350" s="51"/>
      <c r="L350" s="51"/>
      <c r="M350" s="51"/>
      <c r="N350" s="51"/>
      <c r="O350" s="51"/>
      <c r="P350" s="51"/>
      <c r="Q350" s="51"/>
      <c r="R350" s="51"/>
      <c r="S350" s="51"/>
      <c r="T350" s="51"/>
      <c r="U350" s="51"/>
      <c r="V350" s="51"/>
      <c r="W350" s="51"/>
      <c r="X350" s="51"/>
      <c r="Y350" s="51"/>
      <c r="Z350" s="51"/>
      <c r="AA350" s="51"/>
      <c r="AB350" s="51"/>
    </row>
    <row r="351" customFormat="false" ht="15.75" hidden="false" customHeight="false" outlineLevel="0" collapsed="false">
      <c r="A351" s="51"/>
      <c r="B351" s="51"/>
      <c r="C351" s="6"/>
      <c r="D351" s="49"/>
      <c r="E351" s="51"/>
      <c r="F351" s="6"/>
      <c r="G351" s="6"/>
      <c r="H351" s="6"/>
      <c r="I351" s="6"/>
      <c r="J351" s="6"/>
      <c r="K351" s="51"/>
      <c r="L351" s="51"/>
      <c r="M351" s="51"/>
      <c r="N351" s="51"/>
      <c r="O351" s="51"/>
      <c r="P351" s="51"/>
      <c r="Q351" s="51"/>
      <c r="R351" s="51"/>
      <c r="S351" s="51"/>
      <c r="T351" s="51"/>
      <c r="U351" s="51"/>
      <c r="V351" s="51"/>
      <c r="W351" s="51"/>
      <c r="X351" s="51"/>
      <c r="Y351" s="51"/>
      <c r="Z351" s="51"/>
      <c r="AA351" s="51"/>
      <c r="AB351" s="51"/>
    </row>
    <row r="352" customFormat="false" ht="15.75" hidden="false" customHeight="false" outlineLevel="0" collapsed="false">
      <c r="A352" s="51"/>
      <c r="B352" s="51"/>
      <c r="C352" s="6"/>
      <c r="D352" s="49"/>
      <c r="E352" s="51"/>
      <c r="F352" s="6"/>
      <c r="G352" s="6"/>
      <c r="H352" s="6"/>
      <c r="I352" s="6"/>
      <c r="J352" s="6"/>
      <c r="K352" s="51"/>
      <c r="L352" s="51"/>
      <c r="M352" s="51"/>
      <c r="N352" s="51"/>
      <c r="O352" s="51"/>
      <c r="P352" s="51"/>
      <c r="Q352" s="51"/>
      <c r="R352" s="51"/>
      <c r="S352" s="51"/>
      <c r="T352" s="51"/>
      <c r="U352" s="51"/>
      <c r="V352" s="51"/>
      <c r="W352" s="51"/>
      <c r="X352" s="51"/>
      <c r="Y352" s="51"/>
      <c r="Z352" s="51"/>
      <c r="AA352" s="51"/>
      <c r="AB352" s="51"/>
    </row>
    <row r="353" customFormat="false" ht="15.75" hidden="false" customHeight="false" outlineLevel="0" collapsed="false">
      <c r="A353" s="51"/>
      <c r="B353" s="51"/>
      <c r="C353" s="6"/>
      <c r="D353" s="49"/>
      <c r="E353" s="51"/>
      <c r="F353" s="6"/>
      <c r="G353" s="6"/>
      <c r="H353" s="6"/>
      <c r="I353" s="6"/>
      <c r="J353" s="6"/>
      <c r="K353" s="51"/>
      <c r="L353" s="51"/>
      <c r="M353" s="51"/>
      <c r="N353" s="51"/>
      <c r="O353" s="51"/>
      <c r="P353" s="51"/>
      <c r="Q353" s="51"/>
      <c r="R353" s="51"/>
      <c r="S353" s="51"/>
      <c r="T353" s="51"/>
      <c r="U353" s="51"/>
      <c r="V353" s="51"/>
      <c r="W353" s="51"/>
      <c r="X353" s="51"/>
      <c r="Y353" s="51"/>
      <c r="Z353" s="51"/>
      <c r="AA353" s="51"/>
      <c r="AB353" s="51"/>
    </row>
    <row r="354" customFormat="false" ht="15.75" hidden="false" customHeight="false" outlineLevel="0" collapsed="false">
      <c r="A354" s="51"/>
      <c r="B354" s="51"/>
      <c r="C354" s="6"/>
      <c r="D354" s="49"/>
      <c r="E354" s="51"/>
      <c r="F354" s="6"/>
      <c r="G354" s="6"/>
      <c r="H354" s="6"/>
      <c r="I354" s="6"/>
      <c r="J354" s="6"/>
      <c r="K354" s="51"/>
      <c r="L354" s="51"/>
      <c r="M354" s="51"/>
      <c r="N354" s="51"/>
      <c r="O354" s="51"/>
      <c r="P354" s="51"/>
      <c r="Q354" s="51"/>
      <c r="R354" s="51"/>
      <c r="S354" s="51"/>
      <c r="T354" s="51"/>
      <c r="U354" s="51"/>
      <c r="V354" s="51"/>
      <c r="W354" s="51"/>
      <c r="X354" s="51"/>
      <c r="Y354" s="51"/>
      <c r="Z354" s="51"/>
      <c r="AA354" s="51"/>
      <c r="AB354" s="51"/>
    </row>
    <row r="355" customFormat="false" ht="15.75" hidden="false" customHeight="false" outlineLevel="0" collapsed="false">
      <c r="A355" s="51"/>
      <c r="B355" s="51"/>
      <c r="C355" s="6"/>
      <c r="D355" s="49"/>
      <c r="E355" s="51"/>
      <c r="F355" s="6"/>
      <c r="G355" s="6"/>
      <c r="H355" s="6"/>
      <c r="I355" s="6"/>
      <c r="J355" s="6"/>
      <c r="K355" s="51"/>
      <c r="L355" s="51"/>
      <c r="M355" s="51"/>
      <c r="N355" s="51"/>
      <c r="O355" s="51"/>
      <c r="P355" s="51"/>
      <c r="Q355" s="51"/>
      <c r="R355" s="51"/>
      <c r="S355" s="51"/>
      <c r="T355" s="51"/>
      <c r="U355" s="51"/>
      <c r="V355" s="51"/>
      <c r="W355" s="51"/>
      <c r="X355" s="51"/>
      <c r="Y355" s="51"/>
      <c r="Z355" s="51"/>
      <c r="AA355" s="51"/>
      <c r="AB355" s="51"/>
    </row>
    <row r="356" customFormat="false" ht="15.75" hidden="false" customHeight="false" outlineLevel="0" collapsed="false">
      <c r="A356" s="51"/>
      <c r="B356" s="51"/>
      <c r="C356" s="6"/>
      <c r="D356" s="49"/>
      <c r="E356" s="51"/>
      <c r="F356" s="6"/>
      <c r="G356" s="6"/>
      <c r="H356" s="6"/>
      <c r="I356" s="6"/>
      <c r="J356" s="6"/>
      <c r="K356" s="51"/>
      <c r="L356" s="51"/>
      <c r="M356" s="51"/>
      <c r="N356" s="51"/>
      <c r="O356" s="51"/>
      <c r="P356" s="51"/>
      <c r="Q356" s="51"/>
      <c r="R356" s="51"/>
      <c r="S356" s="51"/>
      <c r="T356" s="51"/>
      <c r="U356" s="51"/>
      <c r="V356" s="51"/>
      <c r="W356" s="51"/>
      <c r="X356" s="51"/>
      <c r="Y356" s="51"/>
      <c r="Z356" s="51"/>
      <c r="AA356" s="51"/>
      <c r="AB356" s="51"/>
    </row>
    <row r="357" customFormat="false" ht="15.75" hidden="false" customHeight="false" outlineLevel="0" collapsed="false">
      <c r="A357" s="51"/>
      <c r="B357" s="51"/>
      <c r="C357" s="6"/>
      <c r="D357" s="49"/>
      <c r="E357" s="51"/>
      <c r="F357" s="6"/>
      <c r="G357" s="6"/>
      <c r="H357" s="6"/>
      <c r="I357" s="6"/>
      <c r="J357" s="6"/>
      <c r="K357" s="51"/>
      <c r="L357" s="51"/>
      <c r="M357" s="51"/>
      <c r="N357" s="51"/>
      <c r="O357" s="51"/>
      <c r="P357" s="51"/>
      <c r="Q357" s="51"/>
      <c r="R357" s="51"/>
      <c r="S357" s="51"/>
      <c r="T357" s="51"/>
      <c r="U357" s="51"/>
      <c r="V357" s="51"/>
      <c r="W357" s="51"/>
      <c r="X357" s="51"/>
      <c r="Y357" s="51"/>
      <c r="Z357" s="51"/>
      <c r="AA357" s="51"/>
      <c r="AB357" s="51"/>
    </row>
    <row r="358" customFormat="false" ht="15.75" hidden="false" customHeight="false" outlineLevel="0" collapsed="false">
      <c r="A358" s="51"/>
      <c r="B358" s="51"/>
      <c r="C358" s="6"/>
      <c r="D358" s="49"/>
      <c r="E358" s="51"/>
      <c r="F358" s="6"/>
      <c r="G358" s="6"/>
      <c r="H358" s="6"/>
      <c r="I358" s="6"/>
      <c r="J358" s="6"/>
      <c r="K358" s="51"/>
      <c r="L358" s="51"/>
      <c r="M358" s="51"/>
      <c r="N358" s="51"/>
      <c r="O358" s="51"/>
      <c r="P358" s="51"/>
      <c r="Q358" s="51"/>
      <c r="R358" s="51"/>
      <c r="S358" s="51"/>
      <c r="T358" s="51"/>
      <c r="U358" s="51"/>
      <c r="V358" s="51"/>
      <c r="W358" s="51"/>
      <c r="X358" s="51"/>
      <c r="Y358" s="51"/>
      <c r="Z358" s="51"/>
      <c r="AA358" s="51"/>
      <c r="AB358" s="51"/>
    </row>
    <row r="359" customFormat="false" ht="15.75" hidden="false" customHeight="false" outlineLevel="0" collapsed="false">
      <c r="A359" s="51"/>
      <c r="B359" s="51"/>
      <c r="C359" s="6"/>
      <c r="D359" s="49"/>
      <c r="E359" s="51"/>
      <c r="F359" s="6"/>
      <c r="G359" s="6"/>
      <c r="H359" s="6"/>
      <c r="I359" s="6"/>
      <c r="J359" s="6"/>
      <c r="K359" s="51"/>
      <c r="L359" s="51"/>
      <c r="M359" s="51"/>
      <c r="N359" s="51"/>
      <c r="O359" s="51"/>
      <c r="P359" s="51"/>
      <c r="Q359" s="51"/>
      <c r="R359" s="51"/>
      <c r="S359" s="51"/>
      <c r="T359" s="51"/>
      <c r="U359" s="51"/>
      <c r="V359" s="51"/>
      <c r="W359" s="51"/>
      <c r="X359" s="51"/>
      <c r="Y359" s="51"/>
      <c r="Z359" s="51"/>
      <c r="AA359" s="51"/>
      <c r="AB359" s="51"/>
    </row>
    <row r="360" customFormat="false" ht="15.75" hidden="false" customHeight="false" outlineLevel="0" collapsed="false">
      <c r="A360" s="51"/>
      <c r="B360" s="51"/>
      <c r="C360" s="6"/>
      <c r="D360" s="49"/>
      <c r="E360" s="51"/>
      <c r="F360" s="6"/>
      <c r="G360" s="6"/>
      <c r="H360" s="6"/>
      <c r="I360" s="6"/>
      <c r="J360" s="6"/>
      <c r="K360" s="51"/>
      <c r="L360" s="51"/>
      <c r="M360" s="51"/>
      <c r="N360" s="51"/>
      <c r="O360" s="51"/>
      <c r="P360" s="51"/>
      <c r="Q360" s="51"/>
      <c r="R360" s="51"/>
      <c r="S360" s="51"/>
      <c r="T360" s="51"/>
      <c r="U360" s="51"/>
      <c r="V360" s="51"/>
      <c r="W360" s="51"/>
      <c r="X360" s="51"/>
      <c r="Y360" s="51"/>
      <c r="Z360" s="51"/>
      <c r="AA360" s="51"/>
      <c r="AB360" s="51"/>
    </row>
    <row r="361" customFormat="false" ht="15.75" hidden="false" customHeight="false" outlineLevel="0" collapsed="false">
      <c r="A361" s="51"/>
      <c r="B361" s="51"/>
      <c r="C361" s="6"/>
      <c r="D361" s="49"/>
      <c r="E361" s="51"/>
      <c r="F361" s="6"/>
      <c r="G361" s="6"/>
      <c r="H361" s="6"/>
      <c r="I361" s="6"/>
      <c r="J361" s="6"/>
      <c r="K361" s="51"/>
      <c r="L361" s="51"/>
      <c r="M361" s="51"/>
      <c r="N361" s="51"/>
      <c r="O361" s="51"/>
      <c r="P361" s="51"/>
      <c r="Q361" s="51"/>
      <c r="R361" s="51"/>
      <c r="S361" s="51"/>
      <c r="T361" s="51"/>
      <c r="U361" s="51"/>
      <c r="V361" s="51"/>
      <c r="W361" s="51"/>
      <c r="X361" s="51"/>
      <c r="Y361" s="51"/>
      <c r="Z361" s="51"/>
      <c r="AA361" s="51"/>
      <c r="AB361" s="51"/>
    </row>
    <row r="362" customFormat="false" ht="15.75" hidden="false" customHeight="false" outlineLevel="0" collapsed="false">
      <c r="A362" s="51"/>
      <c r="B362" s="51"/>
      <c r="C362" s="6"/>
      <c r="D362" s="49"/>
      <c r="E362" s="51"/>
      <c r="F362" s="6"/>
      <c r="G362" s="6"/>
      <c r="H362" s="6"/>
      <c r="I362" s="6"/>
      <c r="J362" s="6"/>
      <c r="K362" s="51"/>
      <c r="L362" s="51"/>
      <c r="M362" s="51"/>
      <c r="N362" s="51"/>
      <c r="O362" s="51"/>
      <c r="P362" s="51"/>
      <c r="Q362" s="51"/>
      <c r="R362" s="51"/>
      <c r="S362" s="51"/>
      <c r="T362" s="51"/>
      <c r="U362" s="51"/>
      <c r="V362" s="51"/>
      <c r="W362" s="51"/>
      <c r="X362" s="51"/>
      <c r="Y362" s="51"/>
      <c r="Z362" s="51"/>
      <c r="AA362" s="51"/>
      <c r="AB362" s="51"/>
    </row>
    <row r="363" customFormat="false" ht="15.75" hidden="false" customHeight="false" outlineLevel="0" collapsed="false">
      <c r="A363" s="51"/>
      <c r="B363" s="51"/>
      <c r="C363" s="6"/>
      <c r="D363" s="49"/>
      <c r="E363" s="51"/>
      <c r="F363" s="6"/>
      <c r="G363" s="6"/>
      <c r="H363" s="6"/>
      <c r="I363" s="6"/>
      <c r="J363" s="6"/>
      <c r="K363" s="51"/>
      <c r="L363" s="51"/>
      <c r="M363" s="51"/>
      <c r="N363" s="51"/>
      <c r="O363" s="51"/>
      <c r="P363" s="51"/>
      <c r="Q363" s="51"/>
      <c r="R363" s="51"/>
      <c r="S363" s="51"/>
      <c r="T363" s="51"/>
      <c r="U363" s="51"/>
      <c r="V363" s="51"/>
      <c r="W363" s="51"/>
      <c r="X363" s="51"/>
      <c r="Y363" s="51"/>
      <c r="Z363" s="51"/>
      <c r="AA363" s="51"/>
      <c r="AB363" s="51"/>
    </row>
    <row r="364" customFormat="false" ht="15.75" hidden="false" customHeight="false" outlineLevel="0" collapsed="false">
      <c r="A364" s="51"/>
      <c r="B364" s="51"/>
      <c r="C364" s="6"/>
      <c r="D364" s="49"/>
      <c r="E364" s="51"/>
      <c r="F364" s="6"/>
      <c r="G364" s="6"/>
      <c r="H364" s="6"/>
      <c r="I364" s="6"/>
      <c r="J364" s="6"/>
      <c r="K364" s="51"/>
      <c r="L364" s="51"/>
      <c r="M364" s="51"/>
      <c r="N364" s="51"/>
      <c r="O364" s="51"/>
      <c r="P364" s="51"/>
      <c r="Q364" s="51"/>
      <c r="R364" s="51"/>
      <c r="S364" s="51"/>
      <c r="T364" s="51"/>
      <c r="U364" s="51"/>
      <c r="V364" s="51"/>
      <c r="W364" s="51"/>
      <c r="X364" s="51"/>
      <c r="Y364" s="51"/>
      <c r="Z364" s="51"/>
      <c r="AA364" s="51"/>
      <c r="AB364" s="51"/>
    </row>
    <row r="365" customFormat="false" ht="15.75" hidden="false" customHeight="false" outlineLevel="0" collapsed="false">
      <c r="A365" s="51"/>
      <c r="B365" s="51"/>
      <c r="C365" s="6"/>
      <c r="D365" s="49"/>
      <c r="E365" s="51"/>
      <c r="F365" s="6"/>
      <c r="G365" s="6"/>
      <c r="H365" s="6"/>
      <c r="I365" s="6"/>
      <c r="J365" s="6"/>
      <c r="K365" s="51"/>
      <c r="L365" s="51"/>
      <c r="M365" s="51"/>
      <c r="N365" s="51"/>
      <c r="O365" s="51"/>
      <c r="P365" s="51"/>
      <c r="Q365" s="51"/>
      <c r="R365" s="51"/>
      <c r="S365" s="51"/>
      <c r="T365" s="51"/>
      <c r="U365" s="51"/>
      <c r="V365" s="51"/>
      <c r="W365" s="51"/>
      <c r="X365" s="51"/>
      <c r="Y365" s="51"/>
      <c r="Z365" s="51"/>
      <c r="AA365" s="51"/>
      <c r="AB365" s="51"/>
    </row>
    <row r="366" customFormat="false" ht="15.75" hidden="false" customHeight="false" outlineLevel="0" collapsed="false">
      <c r="A366" s="51"/>
      <c r="B366" s="51"/>
      <c r="C366" s="6"/>
      <c r="D366" s="49"/>
      <c r="E366" s="51"/>
      <c r="F366" s="6"/>
      <c r="G366" s="6"/>
      <c r="H366" s="6"/>
      <c r="I366" s="6"/>
      <c r="J366" s="6"/>
      <c r="K366" s="51"/>
      <c r="L366" s="51"/>
      <c r="M366" s="51"/>
      <c r="N366" s="51"/>
      <c r="O366" s="51"/>
      <c r="P366" s="51"/>
      <c r="Q366" s="51"/>
      <c r="R366" s="51"/>
      <c r="S366" s="51"/>
      <c r="T366" s="51"/>
      <c r="U366" s="51"/>
      <c r="V366" s="51"/>
      <c r="W366" s="51"/>
      <c r="X366" s="51"/>
      <c r="Y366" s="51"/>
      <c r="Z366" s="51"/>
      <c r="AA366" s="51"/>
      <c r="AB366" s="51"/>
    </row>
    <row r="367" customFormat="false" ht="15.75" hidden="false" customHeight="false" outlineLevel="0" collapsed="false">
      <c r="A367" s="51"/>
      <c r="B367" s="51"/>
      <c r="C367" s="6"/>
      <c r="D367" s="49"/>
      <c r="E367" s="51"/>
      <c r="F367" s="6"/>
      <c r="G367" s="6"/>
      <c r="H367" s="6"/>
      <c r="I367" s="6"/>
      <c r="J367" s="6"/>
      <c r="K367" s="51"/>
      <c r="L367" s="51"/>
      <c r="M367" s="51"/>
      <c r="N367" s="51"/>
      <c r="O367" s="51"/>
      <c r="P367" s="51"/>
      <c r="Q367" s="51"/>
      <c r="R367" s="51"/>
      <c r="S367" s="51"/>
      <c r="T367" s="51"/>
      <c r="U367" s="51"/>
      <c r="V367" s="51"/>
      <c r="W367" s="51"/>
      <c r="X367" s="51"/>
      <c r="Y367" s="51"/>
      <c r="Z367" s="51"/>
      <c r="AA367" s="51"/>
      <c r="AB367" s="51"/>
    </row>
    <row r="368" customFormat="false" ht="15.75" hidden="false" customHeight="false" outlineLevel="0" collapsed="false">
      <c r="A368" s="51"/>
      <c r="B368" s="51"/>
      <c r="C368" s="6"/>
      <c r="D368" s="49"/>
      <c r="E368" s="51"/>
      <c r="F368" s="6"/>
      <c r="G368" s="6"/>
      <c r="H368" s="6"/>
      <c r="I368" s="6"/>
      <c r="J368" s="6"/>
      <c r="K368" s="51"/>
      <c r="L368" s="51"/>
      <c r="M368" s="51"/>
      <c r="N368" s="51"/>
      <c r="O368" s="51"/>
      <c r="P368" s="51"/>
      <c r="Q368" s="51"/>
      <c r="R368" s="51"/>
      <c r="S368" s="51"/>
      <c r="T368" s="51"/>
      <c r="U368" s="51"/>
      <c r="V368" s="51"/>
      <c r="W368" s="51"/>
      <c r="X368" s="51"/>
      <c r="Y368" s="51"/>
      <c r="Z368" s="51"/>
      <c r="AA368" s="51"/>
      <c r="AB368" s="51"/>
    </row>
    <row r="369" customFormat="false" ht="15.75" hidden="false" customHeight="false" outlineLevel="0" collapsed="false">
      <c r="A369" s="51"/>
      <c r="B369" s="51"/>
      <c r="C369" s="6"/>
      <c r="D369" s="49"/>
      <c r="E369" s="51"/>
      <c r="F369" s="6"/>
      <c r="G369" s="6"/>
      <c r="H369" s="6"/>
      <c r="I369" s="6"/>
      <c r="J369" s="6"/>
      <c r="K369" s="51"/>
      <c r="L369" s="51"/>
      <c r="M369" s="51"/>
      <c r="N369" s="51"/>
      <c r="O369" s="51"/>
      <c r="P369" s="51"/>
      <c r="Q369" s="51"/>
      <c r="R369" s="51"/>
      <c r="S369" s="51"/>
      <c r="T369" s="51"/>
      <c r="U369" s="51"/>
      <c r="V369" s="51"/>
      <c r="W369" s="51"/>
      <c r="X369" s="51"/>
      <c r="Y369" s="51"/>
      <c r="Z369" s="51"/>
      <c r="AA369" s="51"/>
      <c r="AB369" s="51"/>
    </row>
    <row r="370" customFormat="false" ht="15.75" hidden="false" customHeight="false" outlineLevel="0" collapsed="false">
      <c r="A370" s="51"/>
      <c r="B370" s="51"/>
      <c r="C370" s="6"/>
      <c r="D370" s="49"/>
      <c r="E370" s="51"/>
      <c r="F370" s="6"/>
      <c r="G370" s="6"/>
      <c r="H370" s="6"/>
      <c r="I370" s="6"/>
      <c r="J370" s="6"/>
      <c r="K370" s="51"/>
      <c r="L370" s="51"/>
      <c r="M370" s="51"/>
      <c r="N370" s="51"/>
      <c r="O370" s="51"/>
      <c r="P370" s="51"/>
      <c r="Q370" s="51"/>
      <c r="R370" s="51"/>
      <c r="S370" s="51"/>
      <c r="T370" s="51"/>
      <c r="U370" s="51"/>
      <c r="V370" s="51"/>
      <c r="W370" s="51"/>
      <c r="X370" s="51"/>
      <c r="Y370" s="51"/>
      <c r="Z370" s="51"/>
      <c r="AA370" s="51"/>
      <c r="AB370" s="51"/>
    </row>
    <row r="371" customFormat="false" ht="15.75" hidden="false" customHeight="false" outlineLevel="0" collapsed="false">
      <c r="A371" s="51"/>
      <c r="B371" s="51"/>
      <c r="C371" s="6"/>
      <c r="D371" s="49"/>
      <c r="E371" s="51"/>
      <c r="F371" s="6"/>
      <c r="G371" s="6"/>
      <c r="H371" s="6"/>
      <c r="I371" s="6"/>
      <c r="J371" s="6"/>
      <c r="K371" s="51"/>
      <c r="L371" s="51"/>
      <c r="M371" s="51"/>
      <c r="N371" s="51"/>
      <c r="O371" s="51"/>
      <c r="P371" s="51"/>
      <c r="Q371" s="51"/>
      <c r="R371" s="51"/>
      <c r="S371" s="51"/>
      <c r="T371" s="51"/>
      <c r="U371" s="51"/>
      <c r="V371" s="51"/>
      <c r="W371" s="51"/>
      <c r="X371" s="51"/>
      <c r="Y371" s="51"/>
      <c r="Z371" s="51"/>
      <c r="AA371" s="51"/>
      <c r="AB371" s="51"/>
    </row>
    <row r="372" customFormat="false" ht="15.75" hidden="false" customHeight="false" outlineLevel="0" collapsed="false">
      <c r="A372" s="51"/>
      <c r="B372" s="51"/>
      <c r="C372" s="6"/>
      <c r="D372" s="49"/>
      <c r="E372" s="51"/>
      <c r="F372" s="6"/>
      <c r="G372" s="6"/>
      <c r="H372" s="6"/>
      <c r="I372" s="6"/>
      <c r="J372" s="6"/>
      <c r="K372" s="51"/>
      <c r="L372" s="51"/>
      <c r="M372" s="51"/>
      <c r="N372" s="51"/>
      <c r="O372" s="51"/>
      <c r="P372" s="51"/>
      <c r="Q372" s="51"/>
      <c r="R372" s="51"/>
      <c r="S372" s="51"/>
      <c r="T372" s="51"/>
      <c r="U372" s="51"/>
      <c r="V372" s="51"/>
      <c r="W372" s="51"/>
      <c r="X372" s="51"/>
      <c r="Y372" s="51"/>
      <c r="Z372" s="51"/>
      <c r="AA372" s="51"/>
      <c r="AB372" s="51"/>
    </row>
    <row r="373" customFormat="false" ht="15.75" hidden="false" customHeight="false" outlineLevel="0" collapsed="false">
      <c r="A373" s="51"/>
      <c r="B373" s="51"/>
      <c r="C373" s="6"/>
      <c r="D373" s="49"/>
      <c r="E373" s="51"/>
      <c r="F373" s="6"/>
      <c r="G373" s="6"/>
      <c r="H373" s="6"/>
      <c r="I373" s="6"/>
      <c r="J373" s="6"/>
      <c r="K373" s="51"/>
      <c r="L373" s="51"/>
      <c r="M373" s="51"/>
      <c r="N373" s="51"/>
      <c r="O373" s="51"/>
      <c r="P373" s="51"/>
      <c r="Q373" s="51"/>
      <c r="R373" s="51"/>
      <c r="S373" s="51"/>
      <c r="T373" s="51"/>
      <c r="U373" s="51"/>
      <c r="V373" s="51"/>
      <c r="W373" s="51"/>
      <c r="X373" s="51"/>
      <c r="Y373" s="51"/>
      <c r="Z373" s="51"/>
      <c r="AA373" s="51"/>
      <c r="AB373" s="51"/>
    </row>
    <row r="374" customFormat="false" ht="15.75" hidden="false" customHeight="false" outlineLevel="0" collapsed="false">
      <c r="A374" s="51"/>
      <c r="B374" s="51"/>
      <c r="C374" s="6"/>
      <c r="D374" s="49"/>
      <c r="E374" s="51"/>
      <c r="F374" s="6"/>
      <c r="G374" s="6"/>
      <c r="H374" s="6"/>
      <c r="I374" s="6"/>
      <c r="J374" s="6"/>
      <c r="K374" s="51"/>
      <c r="L374" s="51"/>
      <c r="M374" s="51"/>
      <c r="N374" s="51"/>
      <c r="O374" s="51"/>
      <c r="P374" s="51"/>
      <c r="Q374" s="51"/>
      <c r="R374" s="51"/>
      <c r="S374" s="51"/>
      <c r="T374" s="51"/>
      <c r="U374" s="51"/>
      <c r="V374" s="51"/>
      <c r="W374" s="51"/>
      <c r="X374" s="51"/>
      <c r="Y374" s="51"/>
      <c r="Z374" s="51"/>
      <c r="AA374" s="51"/>
      <c r="AB374" s="51"/>
    </row>
    <row r="375" customFormat="false" ht="15.75" hidden="false" customHeight="false" outlineLevel="0" collapsed="false">
      <c r="A375" s="51"/>
      <c r="B375" s="51"/>
      <c r="C375" s="6"/>
      <c r="D375" s="49"/>
      <c r="E375" s="51"/>
      <c r="F375" s="6"/>
      <c r="G375" s="6"/>
      <c r="H375" s="6"/>
      <c r="I375" s="6"/>
      <c r="J375" s="6"/>
      <c r="K375" s="51"/>
      <c r="L375" s="51"/>
      <c r="M375" s="51"/>
      <c r="N375" s="51"/>
      <c r="O375" s="51"/>
      <c r="P375" s="51"/>
      <c r="Q375" s="51"/>
      <c r="R375" s="51"/>
      <c r="S375" s="51"/>
      <c r="T375" s="51"/>
      <c r="U375" s="51"/>
      <c r="V375" s="51"/>
      <c r="W375" s="51"/>
      <c r="X375" s="51"/>
      <c r="Y375" s="51"/>
      <c r="Z375" s="51"/>
      <c r="AA375" s="51"/>
      <c r="AB375" s="51"/>
    </row>
    <row r="376" customFormat="false" ht="15.75" hidden="false" customHeight="false" outlineLevel="0" collapsed="false">
      <c r="A376" s="51"/>
      <c r="B376" s="51"/>
      <c r="C376" s="6"/>
      <c r="D376" s="49"/>
      <c r="E376" s="51"/>
      <c r="F376" s="6"/>
      <c r="G376" s="6"/>
      <c r="H376" s="6"/>
      <c r="I376" s="6"/>
      <c r="J376" s="6"/>
      <c r="K376" s="51"/>
      <c r="L376" s="51"/>
      <c r="M376" s="51"/>
      <c r="N376" s="51"/>
      <c r="O376" s="51"/>
      <c r="P376" s="51"/>
      <c r="Q376" s="51"/>
      <c r="R376" s="51"/>
      <c r="S376" s="51"/>
      <c r="T376" s="51"/>
      <c r="U376" s="51"/>
      <c r="V376" s="51"/>
      <c r="W376" s="51"/>
      <c r="X376" s="51"/>
      <c r="Y376" s="51"/>
      <c r="Z376" s="51"/>
      <c r="AA376" s="51"/>
      <c r="AB376" s="51"/>
    </row>
    <row r="377" customFormat="false" ht="15.75" hidden="false" customHeight="false" outlineLevel="0" collapsed="false">
      <c r="A377" s="51"/>
      <c r="B377" s="51"/>
      <c r="C377" s="6"/>
      <c r="D377" s="49"/>
      <c r="E377" s="51"/>
      <c r="F377" s="6"/>
      <c r="G377" s="6"/>
      <c r="H377" s="6"/>
      <c r="I377" s="6"/>
      <c r="J377" s="6"/>
      <c r="K377" s="51"/>
      <c r="L377" s="51"/>
      <c r="M377" s="51"/>
      <c r="N377" s="51"/>
      <c r="O377" s="51"/>
      <c r="P377" s="51"/>
      <c r="Q377" s="51"/>
      <c r="R377" s="51"/>
      <c r="S377" s="51"/>
      <c r="T377" s="51"/>
      <c r="U377" s="51"/>
      <c r="V377" s="51"/>
      <c r="W377" s="51"/>
      <c r="X377" s="51"/>
      <c r="Y377" s="51"/>
      <c r="Z377" s="51"/>
      <c r="AA377" s="51"/>
      <c r="AB377" s="51"/>
    </row>
    <row r="378" customFormat="false" ht="15.75" hidden="false" customHeight="false" outlineLevel="0" collapsed="false">
      <c r="A378" s="51"/>
      <c r="B378" s="51"/>
      <c r="C378" s="6"/>
      <c r="D378" s="49"/>
      <c r="E378" s="51"/>
      <c r="F378" s="6"/>
      <c r="G378" s="6"/>
      <c r="H378" s="6"/>
      <c r="I378" s="6"/>
      <c r="J378" s="6"/>
      <c r="K378" s="51"/>
      <c r="L378" s="51"/>
      <c r="M378" s="51"/>
      <c r="N378" s="51"/>
      <c r="O378" s="51"/>
      <c r="P378" s="51"/>
      <c r="Q378" s="51"/>
      <c r="R378" s="51"/>
      <c r="S378" s="51"/>
      <c r="T378" s="51"/>
      <c r="U378" s="51"/>
      <c r="V378" s="51"/>
      <c r="W378" s="51"/>
      <c r="X378" s="51"/>
      <c r="Y378" s="51"/>
      <c r="Z378" s="51"/>
      <c r="AA378" s="51"/>
      <c r="AB378" s="51"/>
    </row>
    <row r="379" customFormat="false" ht="15.75" hidden="false" customHeight="false" outlineLevel="0" collapsed="false">
      <c r="A379" s="51"/>
      <c r="B379" s="51"/>
      <c r="C379" s="6"/>
      <c r="D379" s="49"/>
      <c r="E379" s="51"/>
      <c r="F379" s="6"/>
      <c r="G379" s="6"/>
      <c r="H379" s="6"/>
      <c r="I379" s="6"/>
      <c r="J379" s="6"/>
      <c r="K379" s="51"/>
      <c r="L379" s="51"/>
      <c r="M379" s="51"/>
      <c r="N379" s="51"/>
      <c r="O379" s="51"/>
      <c r="P379" s="51"/>
      <c r="Q379" s="51"/>
      <c r="R379" s="51"/>
      <c r="S379" s="51"/>
      <c r="T379" s="51"/>
      <c r="U379" s="51"/>
      <c r="V379" s="51"/>
      <c r="W379" s="51"/>
      <c r="X379" s="51"/>
      <c r="Y379" s="51"/>
      <c r="Z379" s="51"/>
      <c r="AA379" s="51"/>
      <c r="AB379" s="51"/>
    </row>
    <row r="380" customFormat="false" ht="15.75" hidden="false" customHeight="false" outlineLevel="0" collapsed="false">
      <c r="A380" s="51"/>
      <c r="B380" s="51"/>
      <c r="C380" s="6"/>
      <c r="D380" s="49"/>
      <c r="E380" s="51"/>
      <c r="F380" s="6"/>
      <c r="G380" s="6"/>
      <c r="H380" s="6"/>
      <c r="I380" s="6"/>
      <c r="J380" s="6"/>
      <c r="K380" s="51"/>
      <c r="L380" s="51"/>
      <c r="M380" s="51"/>
      <c r="N380" s="51"/>
      <c r="O380" s="51"/>
      <c r="P380" s="51"/>
      <c r="Q380" s="51"/>
      <c r="R380" s="51"/>
      <c r="S380" s="51"/>
      <c r="T380" s="51"/>
      <c r="U380" s="51"/>
      <c r="V380" s="51"/>
      <c r="W380" s="51"/>
      <c r="X380" s="51"/>
      <c r="Y380" s="51"/>
      <c r="Z380" s="51"/>
      <c r="AA380" s="51"/>
      <c r="AB380" s="51"/>
    </row>
    <row r="381" customFormat="false" ht="15.75" hidden="false" customHeight="false" outlineLevel="0" collapsed="false">
      <c r="A381" s="51"/>
      <c r="B381" s="51"/>
      <c r="C381" s="6"/>
      <c r="D381" s="49"/>
      <c r="E381" s="51"/>
      <c r="F381" s="6"/>
      <c r="G381" s="6"/>
      <c r="H381" s="6"/>
      <c r="I381" s="6"/>
      <c r="J381" s="6"/>
      <c r="K381" s="51"/>
      <c r="L381" s="51"/>
      <c r="M381" s="51"/>
      <c r="N381" s="51"/>
      <c r="O381" s="51"/>
      <c r="P381" s="51"/>
      <c r="Q381" s="51"/>
      <c r="R381" s="51"/>
      <c r="S381" s="51"/>
      <c r="T381" s="51"/>
      <c r="U381" s="51"/>
      <c r="V381" s="51"/>
      <c r="W381" s="51"/>
      <c r="X381" s="51"/>
      <c r="Y381" s="51"/>
      <c r="Z381" s="51"/>
      <c r="AA381" s="51"/>
      <c r="AB381" s="51"/>
    </row>
    <row r="382" customFormat="false" ht="15.75" hidden="false" customHeight="false" outlineLevel="0" collapsed="false">
      <c r="A382" s="51"/>
      <c r="B382" s="51"/>
      <c r="C382" s="6"/>
      <c r="D382" s="49"/>
      <c r="E382" s="51"/>
      <c r="F382" s="6"/>
      <c r="G382" s="6"/>
      <c r="H382" s="6"/>
      <c r="I382" s="6"/>
      <c r="J382" s="6"/>
      <c r="K382" s="51"/>
      <c r="L382" s="51"/>
      <c r="M382" s="51"/>
      <c r="N382" s="51"/>
      <c r="O382" s="51"/>
      <c r="P382" s="51"/>
      <c r="Q382" s="51"/>
      <c r="R382" s="51"/>
      <c r="S382" s="51"/>
      <c r="T382" s="51"/>
      <c r="U382" s="51"/>
      <c r="V382" s="51"/>
      <c r="W382" s="51"/>
      <c r="X382" s="51"/>
      <c r="Y382" s="51"/>
      <c r="Z382" s="51"/>
      <c r="AA382" s="51"/>
      <c r="AB382" s="51"/>
    </row>
    <row r="383" customFormat="false" ht="15.75" hidden="false" customHeight="false" outlineLevel="0" collapsed="false">
      <c r="A383" s="51"/>
      <c r="B383" s="51"/>
      <c r="C383" s="6"/>
      <c r="D383" s="49"/>
      <c r="E383" s="51"/>
      <c r="F383" s="6"/>
      <c r="G383" s="6"/>
      <c r="H383" s="6"/>
      <c r="I383" s="6"/>
      <c r="J383" s="6"/>
      <c r="K383" s="51"/>
      <c r="L383" s="51"/>
      <c r="M383" s="51"/>
      <c r="N383" s="51"/>
      <c r="O383" s="51"/>
      <c r="P383" s="51"/>
      <c r="Q383" s="51"/>
      <c r="R383" s="51"/>
      <c r="S383" s="51"/>
      <c r="T383" s="51"/>
      <c r="U383" s="51"/>
      <c r="V383" s="51"/>
      <c r="W383" s="51"/>
      <c r="X383" s="51"/>
      <c r="Y383" s="51"/>
      <c r="Z383" s="51"/>
      <c r="AA383" s="51"/>
      <c r="AB383" s="51"/>
    </row>
    <row r="384" customFormat="false" ht="15.75" hidden="false" customHeight="false" outlineLevel="0" collapsed="false">
      <c r="A384" s="51"/>
      <c r="B384" s="51"/>
      <c r="C384" s="6"/>
      <c r="D384" s="49"/>
      <c r="E384" s="51"/>
      <c r="F384" s="6"/>
      <c r="G384" s="6"/>
      <c r="H384" s="6"/>
      <c r="I384" s="6"/>
      <c r="J384" s="6"/>
      <c r="K384" s="51"/>
      <c r="L384" s="51"/>
      <c r="M384" s="51"/>
      <c r="N384" s="51"/>
      <c r="O384" s="51"/>
      <c r="P384" s="51"/>
      <c r="Q384" s="51"/>
      <c r="R384" s="51"/>
      <c r="S384" s="51"/>
      <c r="T384" s="51"/>
      <c r="U384" s="51"/>
      <c r="V384" s="51"/>
      <c r="W384" s="51"/>
      <c r="X384" s="51"/>
      <c r="Y384" s="51"/>
      <c r="Z384" s="51"/>
      <c r="AA384" s="51"/>
      <c r="AB384" s="51"/>
    </row>
    <row r="385" customFormat="false" ht="15.75" hidden="false" customHeight="false" outlineLevel="0" collapsed="false">
      <c r="A385" s="51"/>
      <c r="B385" s="51"/>
      <c r="C385" s="6"/>
      <c r="D385" s="49"/>
      <c r="E385" s="51"/>
      <c r="F385" s="6"/>
      <c r="G385" s="6"/>
      <c r="H385" s="6"/>
      <c r="I385" s="6"/>
      <c r="J385" s="6"/>
      <c r="K385" s="51"/>
      <c r="L385" s="51"/>
      <c r="M385" s="51"/>
      <c r="N385" s="51"/>
      <c r="O385" s="51"/>
      <c r="P385" s="51"/>
      <c r="Q385" s="51"/>
      <c r="R385" s="51"/>
      <c r="S385" s="51"/>
      <c r="T385" s="51"/>
      <c r="U385" s="51"/>
      <c r="V385" s="51"/>
      <c r="W385" s="51"/>
      <c r="X385" s="51"/>
      <c r="Y385" s="51"/>
      <c r="Z385" s="51"/>
      <c r="AA385" s="51"/>
      <c r="AB385" s="51"/>
    </row>
    <row r="386" customFormat="false" ht="15.75" hidden="false" customHeight="false" outlineLevel="0" collapsed="false">
      <c r="A386" s="51"/>
      <c r="B386" s="51"/>
      <c r="C386" s="6"/>
      <c r="D386" s="49"/>
      <c r="E386" s="51"/>
      <c r="F386" s="6"/>
      <c r="G386" s="6"/>
      <c r="H386" s="6"/>
      <c r="I386" s="6"/>
      <c r="J386" s="6"/>
      <c r="K386" s="51"/>
      <c r="L386" s="51"/>
      <c r="M386" s="51"/>
      <c r="N386" s="51"/>
      <c r="O386" s="51"/>
      <c r="P386" s="51"/>
      <c r="Q386" s="51"/>
      <c r="R386" s="51"/>
      <c r="S386" s="51"/>
      <c r="T386" s="51"/>
      <c r="U386" s="51"/>
      <c r="V386" s="51"/>
      <c r="W386" s="51"/>
      <c r="X386" s="51"/>
      <c r="Y386" s="51"/>
      <c r="Z386" s="51"/>
      <c r="AA386" s="51"/>
      <c r="AB386" s="51"/>
    </row>
    <row r="387" customFormat="false" ht="15.75" hidden="false" customHeight="false" outlineLevel="0" collapsed="false">
      <c r="A387" s="51"/>
      <c r="B387" s="51"/>
      <c r="C387" s="6"/>
      <c r="D387" s="49"/>
      <c r="E387" s="51"/>
      <c r="F387" s="6"/>
      <c r="G387" s="6"/>
      <c r="H387" s="6"/>
      <c r="I387" s="6"/>
      <c r="J387" s="6"/>
      <c r="K387" s="51"/>
      <c r="L387" s="51"/>
      <c r="M387" s="51"/>
      <c r="N387" s="51"/>
      <c r="O387" s="51"/>
      <c r="P387" s="51"/>
      <c r="Q387" s="51"/>
      <c r="R387" s="51"/>
      <c r="S387" s="51"/>
      <c r="T387" s="51"/>
      <c r="U387" s="51"/>
      <c r="V387" s="51"/>
      <c r="W387" s="51"/>
      <c r="X387" s="51"/>
      <c r="Y387" s="51"/>
      <c r="Z387" s="51"/>
      <c r="AA387" s="51"/>
      <c r="AB387" s="51"/>
    </row>
    <row r="388" customFormat="false" ht="15.75" hidden="false" customHeight="false" outlineLevel="0" collapsed="false">
      <c r="A388" s="51"/>
      <c r="B388" s="51"/>
      <c r="C388" s="6"/>
      <c r="D388" s="49"/>
      <c r="E388" s="51"/>
      <c r="F388" s="6"/>
      <c r="G388" s="6"/>
      <c r="H388" s="6"/>
      <c r="I388" s="6"/>
      <c r="J388" s="6"/>
      <c r="K388" s="51"/>
      <c r="L388" s="51"/>
      <c r="M388" s="51"/>
      <c r="N388" s="51"/>
      <c r="O388" s="51"/>
      <c r="P388" s="51"/>
      <c r="Q388" s="51"/>
      <c r="R388" s="51"/>
      <c r="S388" s="51"/>
      <c r="T388" s="51"/>
      <c r="U388" s="51"/>
      <c r="V388" s="51"/>
      <c r="W388" s="51"/>
      <c r="X388" s="51"/>
      <c r="Y388" s="51"/>
      <c r="Z388" s="51"/>
      <c r="AA388" s="51"/>
      <c r="AB388" s="51"/>
    </row>
    <row r="389" customFormat="false" ht="15.75" hidden="false" customHeight="false" outlineLevel="0" collapsed="false">
      <c r="A389" s="51"/>
      <c r="B389" s="51"/>
      <c r="C389" s="6"/>
      <c r="D389" s="49"/>
      <c r="E389" s="51"/>
      <c r="F389" s="6"/>
      <c r="G389" s="6"/>
      <c r="H389" s="6"/>
      <c r="I389" s="6"/>
      <c r="J389" s="6"/>
      <c r="K389" s="51"/>
      <c r="L389" s="51"/>
      <c r="M389" s="51"/>
      <c r="N389" s="51"/>
      <c r="O389" s="51"/>
      <c r="P389" s="51"/>
      <c r="Q389" s="51"/>
      <c r="R389" s="51"/>
      <c r="S389" s="51"/>
      <c r="T389" s="51"/>
      <c r="U389" s="51"/>
      <c r="V389" s="51"/>
      <c r="W389" s="51"/>
      <c r="X389" s="51"/>
      <c r="Y389" s="51"/>
      <c r="Z389" s="51"/>
      <c r="AA389" s="51"/>
      <c r="AB389" s="51"/>
    </row>
    <row r="390" customFormat="false" ht="15.75" hidden="false" customHeight="false" outlineLevel="0" collapsed="false">
      <c r="A390" s="51"/>
      <c r="B390" s="51"/>
      <c r="C390" s="6"/>
      <c r="D390" s="49"/>
      <c r="E390" s="51"/>
      <c r="F390" s="6"/>
      <c r="G390" s="6"/>
      <c r="H390" s="6"/>
      <c r="I390" s="6"/>
      <c r="J390" s="6"/>
      <c r="K390" s="51"/>
      <c r="L390" s="51"/>
      <c r="M390" s="51"/>
      <c r="N390" s="51"/>
      <c r="O390" s="51"/>
      <c r="P390" s="51"/>
      <c r="Q390" s="51"/>
      <c r="R390" s="51"/>
      <c r="S390" s="51"/>
      <c r="T390" s="51"/>
      <c r="U390" s="51"/>
      <c r="V390" s="51"/>
      <c r="W390" s="51"/>
      <c r="X390" s="51"/>
      <c r="Y390" s="51"/>
      <c r="Z390" s="51"/>
      <c r="AA390" s="51"/>
      <c r="AB390" s="51"/>
    </row>
    <row r="391" customFormat="false" ht="15.75" hidden="false" customHeight="false" outlineLevel="0" collapsed="false">
      <c r="A391" s="51"/>
      <c r="B391" s="51"/>
      <c r="C391" s="6"/>
      <c r="D391" s="49"/>
      <c r="E391" s="51"/>
      <c r="F391" s="6"/>
      <c r="G391" s="6"/>
      <c r="H391" s="6"/>
      <c r="I391" s="6"/>
      <c r="J391" s="6"/>
      <c r="K391" s="51"/>
      <c r="L391" s="51"/>
      <c r="M391" s="51"/>
      <c r="N391" s="51"/>
      <c r="O391" s="51"/>
      <c r="P391" s="51"/>
      <c r="Q391" s="51"/>
      <c r="R391" s="51"/>
      <c r="S391" s="51"/>
      <c r="T391" s="51"/>
      <c r="U391" s="51"/>
      <c r="V391" s="51"/>
      <c r="W391" s="51"/>
      <c r="X391" s="51"/>
      <c r="Y391" s="51"/>
      <c r="Z391" s="51"/>
      <c r="AA391" s="51"/>
      <c r="AB391" s="51"/>
    </row>
    <row r="392" customFormat="false" ht="15.75" hidden="false" customHeight="false" outlineLevel="0" collapsed="false">
      <c r="A392" s="51"/>
      <c r="B392" s="51"/>
      <c r="C392" s="6"/>
      <c r="D392" s="49"/>
      <c r="E392" s="51"/>
      <c r="F392" s="6"/>
      <c r="G392" s="6"/>
      <c r="H392" s="6"/>
      <c r="I392" s="6"/>
      <c r="J392" s="6"/>
      <c r="K392" s="51"/>
      <c r="L392" s="51"/>
      <c r="M392" s="51"/>
      <c r="N392" s="51"/>
      <c r="O392" s="51"/>
      <c r="P392" s="51"/>
      <c r="Q392" s="51"/>
      <c r="R392" s="51"/>
      <c r="S392" s="51"/>
      <c r="T392" s="51"/>
      <c r="U392" s="51"/>
      <c r="V392" s="51"/>
      <c r="W392" s="51"/>
      <c r="X392" s="51"/>
      <c r="Y392" s="51"/>
      <c r="Z392" s="51"/>
      <c r="AA392" s="51"/>
      <c r="AB392" s="51"/>
    </row>
    <row r="393" customFormat="false" ht="15.75" hidden="false" customHeight="false" outlineLevel="0" collapsed="false">
      <c r="A393" s="51"/>
      <c r="B393" s="51"/>
      <c r="C393" s="6"/>
      <c r="D393" s="49"/>
      <c r="E393" s="51"/>
      <c r="F393" s="6"/>
      <c r="G393" s="6"/>
      <c r="H393" s="6"/>
      <c r="I393" s="6"/>
      <c r="J393" s="6"/>
      <c r="K393" s="51"/>
      <c r="L393" s="51"/>
      <c r="M393" s="51"/>
      <c r="N393" s="51"/>
      <c r="O393" s="51"/>
      <c r="P393" s="51"/>
      <c r="Q393" s="51"/>
      <c r="R393" s="51"/>
      <c r="S393" s="51"/>
      <c r="T393" s="51"/>
      <c r="U393" s="51"/>
      <c r="V393" s="51"/>
      <c r="W393" s="51"/>
      <c r="X393" s="51"/>
      <c r="Y393" s="51"/>
      <c r="Z393" s="51"/>
      <c r="AA393" s="51"/>
      <c r="AB393" s="51"/>
    </row>
    <row r="394" customFormat="false" ht="15.75" hidden="false" customHeight="false" outlineLevel="0" collapsed="false">
      <c r="A394" s="51"/>
      <c r="B394" s="51"/>
      <c r="C394" s="6"/>
      <c r="D394" s="49"/>
      <c r="E394" s="51"/>
      <c r="F394" s="6"/>
      <c r="G394" s="6"/>
      <c r="H394" s="6"/>
      <c r="I394" s="6"/>
      <c r="J394" s="6"/>
      <c r="K394" s="51"/>
      <c r="L394" s="51"/>
      <c r="M394" s="51"/>
      <c r="N394" s="51"/>
      <c r="O394" s="51"/>
      <c r="P394" s="51"/>
      <c r="Q394" s="51"/>
      <c r="R394" s="51"/>
      <c r="S394" s="51"/>
      <c r="T394" s="51"/>
      <c r="U394" s="51"/>
      <c r="V394" s="51"/>
      <c r="W394" s="51"/>
      <c r="X394" s="51"/>
      <c r="Y394" s="51"/>
      <c r="Z394" s="51"/>
      <c r="AA394" s="51"/>
      <c r="AB394" s="51"/>
    </row>
    <row r="395" customFormat="false" ht="15.75" hidden="false" customHeight="false" outlineLevel="0" collapsed="false">
      <c r="A395" s="51"/>
      <c r="B395" s="51"/>
      <c r="C395" s="6"/>
      <c r="D395" s="49"/>
      <c r="E395" s="51"/>
      <c r="F395" s="6"/>
      <c r="G395" s="6"/>
      <c r="H395" s="6"/>
      <c r="I395" s="6"/>
      <c r="J395" s="6"/>
      <c r="K395" s="51"/>
      <c r="L395" s="51"/>
      <c r="M395" s="51"/>
      <c r="N395" s="51"/>
      <c r="O395" s="51"/>
      <c r="P395" s="51"/>
      <c r="Q395" s="51"/>
      <c r="R395" s="51"/>
      <c r="S395" s="51"/>
      <c r="T395" s="51"/>
      <c r="U395" s="51"/>
      <c r="V395" s="51"/>
      <c r="W395" s="51"/>
      <c r="X395" s="51"/>
      <c r="Y395" s="51"/>
      <c r="Z395" s="51"/>
      <c r="AA395" s="51"/>
      <c r="AB395" s="51"/>
    </row>
    <row r="396" customFormat="false" ht="15.75" hidden="false" customHeight="false" outlineLevel="0" collapsed="false">
      <c r="A396" s="51"/>
      <c r="B396" s="51"/>
      <c r="C396" s="6"/>
      <c r="D396" s="49"/>
      <c r="E396" s="51"/>
      <c r="F396" s="6"/>
      <c r="G396" s="6"/>
      <c r="H396" s="6"/>
      <c r="I396" s="6"/>
      <c r="J396" s="6"/>
      <c r="K396" s="51"/>
      <c r="L396" s="51"/>
      <c r="M396" s="51"/>
      <c r="N396" s="51"/>
      <c r="O396" s="51"/>
      <c r="P396" s="51"/>
      <c r="Q396" s="51"/>
      <c r="R396" s="51"/>
      <c r="S396" s="51"/>
      <c r="T396" s="51"/>
      <c r="U396" s="51"/>
      <c r="V396" s="51"/>
      <c r="W396" s="51"/>
      <c r="X396" s="51"/>
      <c r="Y396" s="51"/>
      <c r="Z396" s="51"/>
      <c r="AA396" s="51"/>
      <c r="AB396" s="51"/>
    </row>
    <row r="397" customFormat="false" ht="15.75" hidden="false" customHeight="false" outlineLevel="0" collapsed="false">
      <c r="A397" s="51"/>
      <c r="B397" s="51"/>
      <c r="C397" s="6"/>
      <c r="D397" s="49"/>
      <c r="E397" s="51"/>
      <c r="F397" s="6"/>
      <c r="G397" s="6"/>
      <c r="H397" s="6"/>
      <c r="I397" s="6"/>
      <c r="J397" s="6"/>
      <c r="K397" s="51"/>
      <c r="L397" s="51"/>
      <c r="M397" s="51"/>
      <c r="N397" s="51"/>
      <c r="O397" s="51"/>
      <c r="P397" s="51"/>
      <c r="Q397" s="51"/>
      <c r="R397" s="51"/>
      <c r="S397" s="51"/>
      <c r="T397" s="51"/>
      <c r="U397" s="51"/>
      <c r="V397" s="51"/>
      <c r="W397" s="51"/>
      <c r="X397" s="51"/>
      <c r="Y397" s="51"/>
      <c r="Z397" s="51"/>
      <c r="AA397" s="51"/>
      <c r="AB397" s="51"/>
    </row>
    <row r="398" customFormat="false" ht="15.75" hidden="false" customHeight="false" outlineLevel="0" collapsed="false">
      <c r="A398" s="51"/>
      <c r="B398" s="51"/>
      <c r="C398" s="6"/>
      <c r="D398" s="49"/>
      <c r="E398" s="51"/>
      <c r="F398" s="6"/>
      <c r="G398" s="6"/>
      <c r="H398" s="6"/>
      <c r="I398" s="6"/>
      <c r="J398" s="6"/>
      <c r="K398" s="51"/>
      <c r="L398" s="51"/>
      <c r="M398" s="51"/>
      <c r="N398" s="51"/>
      <c r="O398" s="51"/>
      <c r="P398" s="51"/>
      <c r="Q398" s="51"/>
      <c r="R398" s="51"/>
      <c r="S398" s="51"/>
      <c r="T398" s="51"/>
      <c r="U398" s="51"/>
      <c r="V398" s="51"/>
      <c r="W398" s="51"/>
      <c r="X398" s="51"/>
      <c r="Y398" s="51"/>
      <c r="Z398" s="51"/>
      <c r="AA398" s="51"/>
      <c r="AB398" s="51"/>
    </row>
    <row r="399" customFormat="false" ht="15.75" hidden="false" customHeight="false" outlineLevel="0" collapsed="false">
      <c r="A399" s="51"/>
      <c r="B399" s="51"/>
      <c r="C399" s="6"/>
      <c r="D399" s="49"/>
      <c r="E399" s="51"/>
      <c r="F399" s="6"/>
      <c r="G399" s="6"/>
      <c r="H399" s="6"/>
      <c r="I399" s="6"/>
      <c r="J399" s="6"/>
      <c r="K399" s="51"/>
      <c r="L399" s="51"/>
      <c r="M399" s="51"/>
      <c r="N399" s="51"/>
      <c r="O399" s="51"/>
      <c r="P399" s="51"/>
      <c r="Q399" s="51"/>
      <c r="R399" s="51"/>
      <c r="S399" s="51"/>
      <c r="T399" s="51"/>
      <c r="U399" s="51"/>
      <c r="V399" s="51"/>
      <c r="W399" s="51"/>
      <c r="X399" s="51"/>
      <c r="Y399" s="51"/>
      <c r="Z399" s="51"/>
      <c r="AA399" s="51"/>
      <c r="AB399" s="51"/>
    </row>
    <row r="400" customFormat="false" ht="15.75" hidden="false" customHeight="false" outlineLevel="0" collapsed="false">
      <c r="A400" s="51"/>
      <c r="B400" s="51"/>
      <c r="C400" s="6"/>
      <c r="D400" s="49"/>
      <c r="E400" s="51"/>
      <c r="F400" s="6"/>
      <c r="G400" s="6"/>
      <c r="H400" s="6"/>
      <c r="I400" s="6"/>
      <c r="J400" s="6"/>
      <c r="K400" s="51"/>
      <c r="L400" s="51"/>
      <c r="M400" s="51"/>
      <c r="N400" s="51"/>
      <c r="O400" s="51"/>
      <c r="P400" s="51"/>
      <c r="Q400" s="51"/>
      <c r="R400" s="51"/>
      <c r="S400" s="51"/>
      <c r="T400" s="51"/>
      <c r="U400" s="51"/>
      <c r="V400" s="51"/>
      <c r="W400" s="51"/>
      <c r="X400" s="51"/>
      <c r="Y400" s="51"/>
      <c r="Z400" s="51"/>
      <c r="AA400" s="51"/>
      <c r="AB400" s="51"/>
    </row>
    <row r="401" customFormat="false" ht="15.75" hidden="false" customHeight="false" outlineLevel="0" collapsed="false">
      <c r="A401" s="51"/>
      <c r="B401" s="51"/>
      <c r="C401" s="6"/>
      <c r="D401" s="49"/>
      <c r="E401" s="51"/>
      <c r="F401" s="6"/>
      <c r="G401" s="6"/>
      <c r="H401" s="6"/>
      <c r="I401" s="6"/>
      <c r="J401" s="6"/>
      <c r="K401" s="51"/>
      <c r="L401" s="51"/>
      <c r="M401" s="51"/>
      <c r="N401" s="51"/>
      <c r="O401" s="51"/>
      <c r="P401" s="51"/>
      <c r="Q401" s="51"/>
      <c r="R401" s="51"/>
      <c r="S401" s="51"/>
      <c r="T401" s="51"/>
      <c r="U401" s="51"/>
      <c r="V401" s="51"/>
      <c r="W401" s="51"/>
      <c r="X401" s="51"/>
      <c r="Y401" s="51"/>
      <c r="Z401" s="51"/>
      <c r="AA401" s="51"/>
      <c r="AB401" s="51"/>
    </row>
    <row r="402" customFormat="false" ht="15.75" hidden="false" customHeight="false" outlineLevel="0" collapsed="false">
      <c r="A402" s="51"/>
      <c r="B402" s="51"/>
      <c r="C402" s="6"/>
      <c r="D402" s="49"/>
      <c r="E402" s="51"/>
      <c r="F402" s="6"/>
      <c r="G402" s="6"/>
      <c r="H402" s="6"/>
      <c r="I402" s="6"/>
      <c r="J402" s="6"/>
      <c r="K402" s="51"/>
      <c r="L402" s="51"/>
      <c r="M402" s="51"/>
      <c r="N402" s="51"/>
      <c r="O402" s="51"/>
      <c r="P402" s="51"/>
      <c r="Q402" s="51"/>
      <c r="R402" s="51"/>
      <c r="S402" s="51"/>
      <c r="T402" s="51"/>
      <c r="U402" s="51"/>
      <c r="V402" s="51"/>
      <c r="W402" s="51"/>
      <c r="X402" s="51"/>
      <c r="Y402" s="51"/>
      <c r="Z402" s="51"/>
      <c r="AA402" s="51"/>
      <c r="AB402" s="51"/>
    </row>
    <row r="403" customFormat="false" ht="15.75" hidden="false" customHeight="false" outlineLevel="0" collapsed="false">
      <c r="A403" s="51"/>
      <c r="B403" s="51"/>
      <c r="C403" s="6"/>
      <c r="D403" s="49"/>
      <c r="E403" s="51"/>
      <c r="F403" s="6"/>
      <c r="G403" s="6"/>
      <c r="H403" s="6"/>
      <c r="I403" s="6"/>
      <c r="J403" s="6"/>
      <c r="K403" s="51"/>
      <c r="L403" s="51"/>
      <c r="M403" s="51"/>
      <c r="N403" s="51"/>
      <c r="O403" s="51"/>
      <c r="P403" s="51"/>
      <c r="Q403" s="51"/>
      <c r="R403" s="51"/>
      <c r="S403" s="51"/>
      <c r="T403" s="51"/>
      <c r="U403" s="51"/>
      <c r="V403" s="51"/>
      <c r="W403" s="51"/>
      <c r="X403" s="51"/>
      <c r="Y403" s="51"/>
      <c r="Z403" s="51"/>
      <c r="AA403" s="51"/>
      <c r="AB403" s="51"/>
    </row>
    <row r="404" customFormat="false" ht="15.75" hidden="false" customHeight="false" outlineLevel="0" collapsed="false">
      <c r="A404" s="51"/>
      <c r="B404" s="51"/>
      <c r="C404" s="6"/>
      <c r="D404" s="49"/>
      <c r="E404" s="51"/>
      <c r="F404" s="6"/>
      <c r="G404" s="6"/>
      <c r="H404" s="6"/>
      <c r="I404" s="6"/>
      <c r="J404" s="6"/>
      <c r="K404" s="51"/>
      <c r="L404" s="51"/>
      <c r="M404" s="51"/>
      <c r="N404" s="51"/>
      <c r="O404" s="51"/>
      <c r="P404" s="51"/>
      <c r="Q404" s="51"/>
      <c r="R404" s="51"/>
      <c r="S404" s="51"/>
      <c r="T404" s="51"/>
      <c r="U404" s="51"/>
      <c r="V404" s="51"/>
      <c r="W404" s="51"/>
      <c r="X404" s="51"/>
      <c r="Y404" s="51"/>
      <c r="Z404" s="51"/>
      <c r="AA404" s="51"/>
      <c r="AB404" s="51"/>
    </row>
    <row r="405" customFormat="false" ht="15.75" hidden="false" customHeight="false" outlineLevel="0" collapsed="false">
      <c r="A405" s="51"/>
      <c r="B405" s="51"/>
      <c r="C405" s="6"/>
      <c r="D405" s="49"/>
      <c r="E405" s="51"/>
      <c r="F405" s="6"/>
      <c r="G405" s="6"/>
      <c r="H405" s="6"/>
      <c r="I405" s="6"/>
      <c r="J405" s="6"/>
      <c r="K405" s="51"/>
      <c r="L405" s="51"/>
      <c r="M405" s="51"/>
      <c r="N405" s="51"/>
      <c r="O405" s="51"/>
      <c r="P405" s="51"/>
      <c r="Q405" s="51"/>
      <c r="R405" s="51"/>
      <c r="S405" s="51"/>
      <c r="T405" s="51"/>
      <c r="U405" s="51"/>
      <c r="V405" s="51"/>
      <c r="W405" s="51"/>
      <c r="X405" s="51"/>
      <c r="Y405" s="51"/>
      <c r="Z405" s="51"/>
      <c r="AA405" s="51"/>
      <c r="AB405" s="51"/>
    </row>
    <row r="406" customFormat="false" ht="15.75" hidden="false" customHeight="false" outlineLevel="0" collapsed="false">
      <c r="A406" s="51"/>
      <c r="B406" s="51"/>
      <c r="C406" s="6"/>
      <c r="D406" s="49"/>
      <c r="E406" s="51"/>
      <c r="F406" s="6"/>
      <c r="G406" s="6"/>
      <c r="H406" s="6"/>
      <c r="I406" s="6"/>
      <c r="J406" s="6"/>
      <c r="K406" s="51"/>
      <c r="L406" s="51"/>
      <c r="M406" s="51"/>
      <c r="N406" s="51"/>
      <c r="O406" s="51"/>
      <c r="P406" s="51"/>
      <c r="Q406" s="51"/>
      <c r="R406" s="51"/>
      <c r="S406" s="51"/>
      <c r="T406" s="51"/>
      <c r="U406" s="51"/>
      <c r="V406" s="51"/>
      <c r="W406" s="51"/>
      <c r="X406" s="51"/>
      <c r="Y406" s="51"/>
      <c r="Z406" s="51"/>
      <c r="AA406" s="51"/>
      <c r="AB406" s="51"/>
    </row>
    <row r="407" customFormat="false" ht="15.75" hidden="false" customHeight="false" outlineLevel="0" collapsed="false">
      <c r="A407" s="51"/>
      <c r="B407" s="51"/>
      <c r="C407" s="6"/>
      <c r="D407" s="49"/>
      <c r="E407" s="51"/>
      <c r="F407" s="6"/>
      <c r="G407" s="6"/>
      <c r="H407" s="6"/>
      <c r="I407" s="6"/>
      <c r="J407" s="6"/>
      <c r="K407" s="51"/>
      <c r="L407" s="51"/>
      <c r="M407" s="51"/>
      <c r="N407" s="51"/>
      <c r="O407" s="51"/>
      <c r="P407" s="51"/>
      <c r="Q407" s="51"/>
      <c r="R407" s="51"/>
      <c r="S407" s="51"/>
      <c r="T407" s="51"/>
      <c r="U407" s="51"/>
      <c r="V407" s="51"/>
      <c r="W407" s="51"/>
      <c r="X407" s="51"/>
      <c r="Y407" s="51"/>
      <c r="Z407" s="51"/>
      <c r="AA407" s="51"/>
      <c r="AB407" s="51"/>
    </row>
    <row r="408" customFormat="false" ht="15.75" hidden="false" customHeight="false" outlineLevel="0" collapsed="false">
      <c r="A408" s="51"/>
      <c r="B408" s="51"/>
      <c r="C408" s="6"/>
      <c r="D408" s="49"/>
      <c r="E408" s="51"/>
      <c r="F408" s="6"/>
      <c r="G408" s="6"/>
      <c r="H408" s="6"/>
      <c r="I408" s="6"/>
      <c r="J408" s="6"/>
      <c r="K408" s="51"/>
      <c r="L408" s="51"/>
      <c r="M408" s="51"/>
      <c r="N408" s="51"/>
      <c r="O408" s="51"/>
      <c r="P408" s="51"/>
      <c r="Q408" s="51"/>
      <c r="R408" s="51"/>
      <c r="S408" s="51"/>
      <c r="T408" s="51"/>
      <c r="U408" s="51"/>
      <c r="V408" s="51"/>
      <c r="W408" s="51"/>
      <c r="X408" s="51"/>
      <c r="Y408" s="51"/>
      <c r="Z408" s="51"/>
      <c r="AA408" s="51"/>
      <c r="AB408" s="51"/>
    </row>
    <row r="409" customFormat="false" ht="15.75" hidden="false" customHeight="false" outlineLevel="0" collapsed="false">
      <c r="A409" s="51"/>
      <c r="B409" s="51"/>
      <c r="C409" s="6"/>
      <c r="D409" s="49"/>
      <c r="E409" s="51"/>
      <c r="F409" s="6"/>
      <c r="G409" s="6"/>
      <c r="H409" s="6"/>
      <c r="I409" s="6"/>
      <c r="J409" s="6"/>
      <c r="K409" s="51"/>
      <c r="L409" s="51"/>
      <c r="M409" s="51"/>
      <c r="N409" s="51"/>
      <c r="O409" s="51"/>
      <c r="P409" s="51"/>
      <c r="Q409" s="51"/>
      <c r="R409" s="51"/>
      <c r="S409" s="51"/>
      <c r="T409" s="51"/>
      <c r="U409" s="51"/>
      <c r="V409" s="51"/>
      <c r="W409" s="51"/>
      <c r="X409" s="51"/>
      <c r="Y409" s="51"/>
      <c r="Z409" s="51"/>
      <c r="AA409" s="51"/>
      <c r="AB409" s="51"/>
    </row>
    <row r="410" customFormat="false" ht="15.75" hidden="false" customHeight="false" outlineLevel="0" collapsed="false">
      <c r="A410" s="51"/>
      <c r="B410" s="51"/>
      <c r="C410" s="6"/>
      <c r="D410" s="49"/>
      <c r="E410" s="51"/>
      <c r="F410" s="6"/>
      <c r="G410" s="6"/>
      <c r="H410" s="6"/>
      <c r="I410" s="6"/>
      <c r="J410" s="6"/>
      <c r="K410" s="51"/>
      <c r="L410" s="51"/>
      <c r="M410" s="51"/>
      <c r="N410" s="51"/>
      <c r="O410" s="51"/>
      <c r="P410" s="51"/>
      <c r="Q410" s="51"/>
      <c r="R410" s="51"/>
      <c r="S410" s="51"/>
      <c r="T410" s="51"/>
      <c r="U410" s="51"/>
      <c r="V410" s="51"/>
      <c r="W410" s="51"/>
      <c r="X410" s="51"/>
      <c r="Y410" s="51"/>
      <c r="Z410" s="51"/>
      <c r="AA410" s="51"/>
      <c r="AB410" s="51"/>
    </row>
    <row r="411" customFormat="false" ht="15.75" hidden="false" customHeight="false" outlineLevel="0" collapsed="false">
      <c r="A411" s="51"/>
      <c r="B411" s="51"/>
      <c r="C411" s="6"/>
      <c r="D411" s="49"/>
      <c r="E411" s="51"/>
      <c r="F411" s="6"/>
      <c r="G411" s="6"/>
      <c r="H411" s="6"/>
      <c r="I411" s="6"/>
      <c r="J411" s="6"/>
      <c r="K411" s="51"/>
      <c r="L411" s="51"/>
      <c r="M411" s="51"/>
      <c r="N411" s="51"/>
      <c r="O411" s="51"/>
      <c r="P411" s="51"/>
      <c r="Q411" s="51"/>
      <c r="R411" s="51"/>
      <c r="S411" s="51"/>
      <c r="T411" s="51"/>
      <c r="U411" s="51"/>
      <c r="V411" s="51"/>
      <c r="W411" s="51"/>
      <c r="X411" s="51"/>
      <c r="Y411" s="51"/>
      <c r="Z411" s="51"/>
      <c r="AA411" s="51"/>
      <c r="AB411" s="51"/>
    </row>
    <row r="412" customFormat="false" ht="15.75" hidden="false" customHeight="false" outlineLevel="0" collapsed="false">
      <c r="A412" s="51"/>
      <c r="B412" s="51"/>
      <c r="C412" s="6"/>
      <c r="D412" s="49"/>
      <c r="E412" s="51"/>
      <c r="F412" s="6"/>
      <c r="G412" s="6"/>
      <c r="H412" s="6"/>
      <c r="I412" s="6"/>
      <c r="J412" s="6"/>
      <c r="K412" s="51"/>
      <c r="L412" s="51"/>
      <c r="M412" s="51"/>
      <c r="N412" s="51"/>
      <c r="O412" s="51"/>
      <c r="P412" s="51"/>
      <c r="Q412" s="51"/>
      <c r="R412" s="51"/>
      <c r="S412" s="51"/>
      <c r="T412" s="51"/>
      <c r="U412" s="51"/>
      <c r="V412" s="51"/>
      <c r="W412" s="51"/>
      <c r="X412" s="51"/>
      <c r="Y412" s="51"/>
      <c r="Z412" s="51"/>
      <c r="AA412" s="51"/>
      <c r="AB412" s="51"/>
    </row>
    <row r="413" customFormat="false" ht="15.75" hidden="false" customHeight="false" outlineLevel="0" collapsed="false">
      <c r="A413" s="51"/>
      <c r="B413" s="51"/>
      <c r="C413" s="6"/>
      <c r="D413" s="49"/>
      <c r="E413" s="51"/>
      <c r="F413" s="6"/>
      <c r="G413" s="6"/>
      <c r="H413" s="6"/>
      <c r="I413" s="6"/>
      <c r="J413" s="6"/>
      <c r="K413" s="51"/>
      <c r="L413" s="51"/>
      <c r="M413" s="51"/>
      <c r="N413" s="51"/>
      <c r="O413" s="51"/>
      <c r="P413" s="51"/>
      <c r="Q413" s="51"/>
      <c r="R413" s="51"/>
      <c r="S413" s="51"/>
      <c r="T413" s="51"/>
      <c r="U413" s="51"/>
      <c r="V413" s="51"/>
      <c r="W413" s="51"/>
      <c r="X413" s="51"/>
      <c r="Y413" s="51"/>
      <c r="Z413" s="51"/>
      <c r="AA413" s="51"/>
      <c r="AB413" s="51"/>
    </row>
    <row r="414" customFormat="false" ht="15.75" hidden="false" customHeight="false" outlineLevel="0" collapsed="false">
      <c r="A414" s="51"/>
      <c r="B414" s="51"/>
      <c r="C414" s="6"/>
      <c r="D414" s="49"/>
      <c r="E414" s="51"/>
      <c r="F414" s="6"/>
      <c r="G414" s="6"/>
      <c r="H414" s="6"/>
      <c r="I414" s="6"/>
      <c r="J414" s="6"/>
      <c r="K414" s="51"/>
      <c r="L414" s="51"/>
      <c r="M414" s="51"/>
      <c r="N414" s="51"/>
      <c r="O414" s="51"/>
      <c r="P414" s="51"/>
      <c r="Q414" s="51"/>
      <c r="R414" s="51"/>
      <c r="S414" s="51"/>
      <c r="T414" s="51"/>
      <c r="U414" s="51"/>
      <c r="V414" s="51"/>
      <c r="W414" s="51"/>
      <c r="X414" s="51"/>
      <c r="Y414" s="51"/>
      <c r="Z414" s="51"/>
      <c r="AA414" s="51"/>
      <c r="AB414" s="51"/>
    </row>
    <row r="415" customFormat="false" ht="15.75" hidden="false" customHeight="false" outlineLevel="0" collapsed="false">
      <c r="A415" s="51"/>
      <c r="B415" s="51"/>
      <c r="C415" s="6"/>
      <c r="D415" s="49"/>
      <c r="E415" s="51"/>
      <c r="F415" s="6"/>
      <c r="G415" s="6"/>
      <c r="H415" s="6"/>
      <c r="I415" s="6"/>
      <c r="J415" s="6"/>
      <c r="K415" s="51"/>
      <c r="L415" s="51"/>
      <c r="M415" s="51"/>
      <c r="N415" s="51"/>
      <c r="O415" s="51"/>
      <c r="P415" s="51"/>
      <c r="Q415" s="51"/>
      <c r="R415" s="51"/>
      <c r="S415" s="51"/>
      <c r="T415" s="51"/>
      <c r="U415" s="51"/>
      <c r="V415" s="51"/>
      <c r="W415" s="51"/>
      <c r="X415" s="51"/>
      <c r="Y415" s="51"/>
      <c r="Z415" s="51"/>
      <c r="AA415" s="51"/>
      <c r="AB415" s="51"/>
    </row>
    <row r="416" customFormat="false" ht="15.75" hidden="false" customHeight="false" outlineLevel="0" collapsed="false">
      <c r="A416" s="51"/>
      <c r="B416" s="51"/>
      <c r="C416" s="6"/>
      <c r="D416" s="49"/>
      <c r="E416" s="51"/>
      <c r="F416" s="6"/>
      <c r="G416" s="6"/>
      <c r="H416" s="6"/>
      <c r="I416" s="6"/>
      <c r="J416" s="6"/>
      <c r="K416" s="51"/>
      <c r="L416" s="51"/>
      <c r="M416" s="51"/>
      <c r="N416" s="51"/>
      <c r="O416" s="51"/>
      <c r="P416" s="51"/>
      <c r="Q416" s="51"/>
      <c r="R416" s="51"/>
      <c r="S416" s="51"/>
      <c r="T416" s="51"/>
      <c r="U416" s="51"/>
      <c r="V416" s="51"/>
      <c r="W416" s="51"/>
      <c r="X416" s="51"/>
      <c r="Y416" s="51"/>
      <c r="Z416" s="51"/>
      <c r="AA416" s="51"/>
      <c r="AB416" s="51"/>
    </row>
    <row r="417" customFormat="false" ht="15.75" hidden="false" customHeight="false" outlineLevel="0" collapsed="false">
      <c r="A417" s="51"/>
      <c r="B417" s="51"/>
      <c r="C417" s="6"/>
      <c r="D417" s="49"/>
      <c r="E417" s="51"/>
      <c r="F417" s="6"/>
      <c r="G417" s="6"/>
      <c r="H417" s="6"/>
      <c r="I417" s="6"/>
      <c r="J417" s="6"/>
      <c r="K417" s="51"/>
      <c r="L417" s="51"/>
      <c r="M417" s="51"/>
      <c r="N417" s="51"/>
      <c r="O417" s="51"/>
      <c r="P417" s="51"/>
      <c r="Q417" s="51"/>
      <c r="R417" s="51"/>
      <c r="S417" s="51"/>
      <c r="T417" s="51"/>
      <c r="U417" s="51"/>
      <c r="V417" s="51"/>
      <c r="W417" s="51"/>
      <c r="X417" s="51"/>
      <c r="Y417" s="51"/>
      <c r="Z417" s="51"/>
      <c r="AA417" s="51"/>
      <c r="AB417" s="51"/>
    </row>
    <row r="418" customFormat="false" ht="15.75" hidden="false" customHeight="false" outlineLevel="0" collapsed="false">
      <c r="A418" s="51"/>
      <c r="B418" s="51"/>
      <c r="C418" s="6"/>
      <c r="D418" s="49"/>
      <c r="E418" s="51"/>
      <c r="F418" s="6"/>
      <c r="G418" s="6"/>
      <c r="H418" s="6"/>
      <c r="I418" s="6"/>
      <c r="J418" s="6"/>
      <c r="K418" s="51"/>
      <c r="L418" s="51"/>
      <c r="M418" s="51"/>
      <c r="N418" s="51"/>
      <c r="O418" s="51"/>
      <c r="P418" s="51"/>
      <c r="Q418" s="51"/>
      <c r="R418" s="51"/>
      <c r="S418" s="51"/>
      <c r="T418" s="51"/>
      <c r="U418" s="51"/>
      <c r="V418" s="51"/>
      <c r="W418" s="51"/>
      <c r="X418" s="51"/>
      <c r="Y418" s="51"/>
      <c r="Z418" s="51"/>
      <c r="AA418" s="51"/>
      <c r="AB418" s="51"/>
    </row>
    <row r="419" customFormat="false" ht="15.75" hidden="false" customHeight="false" outlineLevel="0" collapsed="false">
      <c r="A419" s="51"/>
      <c r="B419" s="51"/>
      <c r="C419" s="6"/>
      <c r="D419" s="49"/>
      <c r="E419" s="51"/>
      <c r="F419" s="6"/>
      <c r="G419" s="6"/>
      <c r="H419" s="6"/>
      <c r="I419" s="6"/>
      <c r="J419" s="6"/>
      <c r="K419" s="51"/>
      <c r="L419" s="51"/>
      <c r="M419" s="51"/>
      <c r="N419" s="51"/>
      <c r="O419" s="51"/>
      <c r="P419" s="51"/>
      <c r="Q419" s="51"/>
      <c r="R419" s="51"/>
      <c r="S419" s="51"/>
      <c r="T419" s="51"/>
      <c r="U419" s="51"/>
      <c r="V419" s="51"/>
      <c r="W419" s="51"/>
      <c r="X419" s="51"/>
      <c r="Y419" s="51"/>
      <c r="Z419" s="51"/>
      <c r="AA419" s="51"/>
      <c r="AB419" s="51"/>
    </row>
    <row r="420" customFormat="false" ht="15.75" hidden="false" customHeight="false" outlineLevel="0" collapsed="false">
      <c r="A420" s="51"/>
      <c r="B420" s="51"/>
      <c r="C420" s="6"/>
      <c r="D420" s="49"/>
      <c r="E420" s="51"/>
      <c r="F420" s="6"/>
      <c r="G420" s="6"/>
      <c r="H420" s="6"/>
      <c r="I420" s="6"/>
      <c r="J420" s="6"/>
      <c r="K420" s="51"/>
      <c r="L420" s="51"/>
      <c r="M420" s="51"/>
      <c r="N420" s="51"/>
      <c r="O420" s="51"/>
      <c r="P420" s="51"/>
      <c r="Q420" s="51"/>
      <c r="R420" s="51"/>
      <c r="S420" s="51"/>
      <c r="T420" s="51"/>
      <c r="U420" s="51"/>
      <c r="V420" s="51"/>
      <c r="W420" s="51"/>
      <c r="X420" s="51"/>
      <c r="Y420" s="51"/>
      <c r="Z420" s="51"/>
      <c r="AA420" s="51"/>
      <c r="AB420" s="51"/>
    </row>
    <row r="421" customFormat="false" ht="15.75" hidden="false" customHeight="false" outlineLevel="0" collapsed="false">
      <c r="A421" s="51"/>
      <c r="B421" s="51"/>
      <c r="C421" s="6"/>
      <c r="D421" s="49"/>
      <c r="E421" s="51"/>
      <c r="F421" s="6"/>
      <c r="G421" s="6"/>
      <c r="H421" s="6"/>
      <c r="I421" s="6"/>
      <c r="J421" s="6"/>
      <c r="K421" s="51"/>
      <c r="L421" s="51"/>
      <c r="M421" s="51"/>
      <c r="N421" s="51"/>
      <c r="O421" s="51"/>
      <c r="P421" s="51"/>
      <c r="Q421" s="51"/>
      <c r="R421" s="51"/>
      <c r="S421" s="51"/>
      <c r="T421" s="51"/>
      <c r="U421" s="51"/>
      <c r="V421" s="51"/>
      <c r="W421" s="51"/>
      <c r="X421" s="51"/>
      <c r="Y421" s="51"/>
      <c r="Z421" s="51"/>
      <c r="AA421" s="51"/>
      <c r="AB421" s="51"/>
    </row>
    <row r="422" customFormat="false" ht="15.75" hidden="false" customHeight="false" outlineLevel="0" collapsed="false">
      <c r="A422" s="51"/>
      <c r="B422" s="51"/>
      <c r="C422" s="6"/>
      <c r="D422" s="49"/>
      <c r="E422" s="51"/>
      <c r="F422" s="6"/>
      <c r="G422" s="6"/>
      <c r="H422" s="6"/>
      <c r="I422" s="6"/>
      <c r="J422" s="6"/>
      <c r="K422" s="51"/>
      <c r="L422" s="51"/>
      <c r="M422" s="51"/>
      <c r="N422" s="51"/>
      <c r="O422" s="51"/>
      <c r="P422" s="51"/>
      <c r="Q422" s="51"/>
      <c r="R422" s="51"/>
      <c r="S422" s="51"/>
      <c r="T422" s="51"/>
      <c r="U422" s="51"/>
      <c r="V422" s="51"/>
      <c r="W422" s="51"/>
      <c r="X422" s="51"/>
      <c r="Y422" s="51"/>
      <c r="Z422" s="51"/>
      <c r="AA422" s="51"/>
      <c r="AB422" s="51"/>
    </row>
    <row r="423" customFormat="false" ht="15.75" hidden="false" customHeight="false" outlineLevel="0" collapsed="false">
      <c r="A423" s="51"/>
      <c r="B423" s="51"/>
      <c r="C423" s="6"/>
      <c r="D423" s="49"/>
      <c r="E423" s="51"/>
      <c r="F423" s="6"/>
      <c r="G423" s="6"/>
      <c r="H423" s="6"/>
      <c r="I423" s="6"/>
      <c r="J423" s="6"/>
      <c r="K423" s="51"/>
      <c r="L423" s="51"/>
      <c r="M423" s="51"/>
      <c r="N423" s="51"/>
      <c r="O423" s="51"/>
      <c r="P423" s="51"/>
      <c r="Q423" s="51"/>
      <c r="R423" s="51"/>
      <c r="S423" s="51"/>
      <c r="T423" s="51"/>
      <c r="U423" s="51"/>
      <c r="V423" s="51"/>
      <c r="W423" s="51"/>
      <c r="X423" s="51"/>
      <c r="Y423" s="51"/>
      <c r="Z423" s="51"/>
      <c r="AA423" s="51"/>
      <c r="AB423" s="51"/>
    </row>
    <row r="424" customFormat="false" ht="15.75" hidden="false" customHeight="false" outlineLevel="0" collapsed="false">
      <c r="A424" s="51"/>
      <c r="B424" s="51"/>
      <c r="C424" s="6"/>
      <c r="D424" s="49"/>
      <c r="E424" s="51"/>
      <c r="F424" s="6"/>
      <c r="G424" s="6"/>
      <c r="H424" s="6"/>
      <c r="I424" s="6"/>
      <c r="J424" s="6"/>
      <c r="K424" s="51"/>
      <c r="L424" s="51"/>
      <c r="M424" s="51"/>
      <c r="N424" s="51"/>
      <c r="O424" s="51"/>
      <c r="P424" s="51"/>
      <c r="Q424" s="51"/>
      <c r="R424" s="51"/>
      <c r="S424" s="51"/>
      <c r="T424" s="51"/>
      <c r="U424" s="51"/>
      <c r="V424" s="51"/>
      <c r="W424" s="51"/>
      <c r="X424" s="51"/>
      <c r="Y424" s="51"/>
      <c r="Z424" s="51"/>
      <c r="AA424" s="51"/>
      <c r="AB424" s="51"/>
    </row>
    <row r="425" customFormat="false" ht="15.75" hidden="false" customHeight="false" outlineLevel="0" collapsed="false">
      <c r="A425" s="51"/>
      <c r="B425" s="51"/>
      <c r="C425" s="6"/>
      <c r="D425" s="49"/>
      <c r="E425" s="51"/>
      <c r="F425" s="6"/>
      <c r="G425" s="6"/>
      <c r="H425" s="6"/>
      <c r="I425" s="6"/>
      <c r="J425" s="6"/>
      <c r="K425" s="51"/>
      <c r="L425" s="51"/>
      <c r="M425" s="51"/>
      <c r="N425" s="51"/>
      <c r="O425" s="51"/>
      <c r="P425" s="51"/>
      <c r="Q425" s="51"/>
      <c r="R425" s="51"/>
      <c r="S425" s="51"/>
      <c r="T425" s="51"/>
      <c r="U425" s="51"/>
      <c r="V425" s="51"/>
      <c r="W425" s="51"/>
      <c r="X425" s="51"/>
      <c r="Y425" s="51"/>
      <c r="Z425" s="51"/>
      <c r="AA425" s="51"/>
      <c r="AB425" s="51"/>
    </row>
    <row r="426" customFormat="false" ht="15.75" hidden="false" customHeight="false" outlineLevel="0" collapsed="false">
      <c r="A426" s="51"/>
      <c r="B426" s="51"/>
      <c r="C426" s="6"/>
      <c r="D426" s="49"/>
      <c r="E426" s="51"/>
      <c r="F426" s="6"/>
      <c r="G426" s="6"/>
      <c r="H426" s="6"/>
      <c r="I426" s="6"/>
      <c r="J426" s="6"/>
      <c r="K426" s="51"/>
      <c r="L426" s="51"/>
      <c r="M426" s="51"/>
      <c r="N426" s="51"/>
      <c r="O426" s="51"/>
      <c r="P426" s="51"/>
      <c r="Q426" s="51"/>
      <c r="R426" s="51"/>
      <c r="S426" s="51"/>
      <c r="T426" s="51"/>
      <c r="U426" s="51"/>
      <c r="V426" s="51"/>
      <c r="W426" s="51"/>
      <c r="X426" s="51"/>
      <c r="Y426" s="51"/>
      <c r="Z426" s="51"/>
      <c r="AA426" s="51"/>
      <c r="AB426" s="51"/>
    </row>
    <row r="427" customFormat="false" ht="15.75" hidden="false" customHeight="false" outlineLevel="0" collapsed="false">
      <c r="A427" s="51"/>
      <c r="B427" s="51"/>
      <c r="C427" s="6"/>
      <c r="D427" s="49"/>
      <c r="E427" s="51"/>
      <c r="F427" s="6"/>
      <c r="G427" s="6"/>
      <c r="H427" s="6"/>
      <c r="I427" s="6"/>
      <c r="J427" s="6"/>
      <c r="K427" s="51"/>
      <c r="L427" s="51"/>
      <c r="M427" s="51"/>
      <c r="N427" s="51"/>
      <c r="O427" s="51"/>
      <c r="P427" s="51"/>
      <c r="Q427" s="51"/>
      <c r="R427" s="51"/>
      <c r="S427" s="51"/>
      <c r="T427" s="51"/>
      <c r="U427" s="51"/>
      <c r="V427" s="51"/>
      <c r="W427" s="51"/>
      <c r="X427" s="51"/>
      <c r="Y427" s="51"/>
      <c r="Z427" s="51"/>
      <c r="AA427" s="51"/>
      <c r="AB427" s="51"/>
    </row>
    <row r="428" customFormat="false" ht="15.75" hidden="false" customHeight="false" outlineLevel="0" collapsed="false">
      <c r="A428" s="51"/>
      <c r="B428" s="51"/>
      <c r="C428" s="6"/>
      <c r="D428" s="49"/>
      <c r="E428" s="51"/>
      <c r="F428" s="6"/>
      <c r="G428" s="6"/>
      <c r="H428" s="6"/>
      <c r="I428" s="6"/>
      <c r="J428" s="6"/>
      <c r="K428" s="51"/>
      <c r="L428" s="51"/>
      <c r="M428" s="51"/>
      <c r="N428" s="51"/>
      <c r="O428" s="51"/>
      <c r="P428" s="51"/>
      <c r="Q428" s="51"/>
      <c r="R428" s="51"/>
      <c r="S428" s="51"/>
      <c r="T428" s="51"/>
      <c r="U428" s="51"/>
      <c r="V428" s="51"/>
      <c r="W428" s="51"/>
      <c r="X428" s="51"/>
      <c r="Y428" s="51"/>
      <c r="Z428" s="51"/>
      <c r="AA428" s="51"/>
      <c r="AB428" s="51"/>
    </row>
    <row r="429" customFormat="false" ht="15.75" hidden="false" customHeight="false" outlineLevel="0" collapsed="false">
      <c r="A429" s="51"/>
      <c r="B429" s="51"/>
      <c r="C429" s="6"/>
      <c r="D429" s="49"/>
      <c r="E429" s="51"/>
      <c r="F429" s="6"/>
      <c r="G429" s="6"/>
      <c r="H429" s="6"/>
      <c r="I429" s="6"/>
      <c r="J429" s="6"/>
      <c r="K429" s="51"/>
      <c r="L429" s="51"/>
      <c r="M429" s="51"/>
      <c r="N429" s="51"/>
      <c r="O429" s="51"/>
      <c r="P429" s="51"/>
      <c r="Q429" s="51"/>
      <c r="R429" s="51"/>
      <c r="S429" s="51"/>
      <c r="T429" s="51"/>
      <c r="U429" s="51"/>
      <c r="V429" s="51"/>
      <c r="W429" s="51"/>
      <c r="X429" s="51"/>
      <c r="Y429" s="51"/>
      <c r="Z429" s="51"/>
      <c r="AA429" s="51"/>
      <c r="AB429" s="51"/>
    </row>
    <row r="430" customFormat="false" ht="15.75" hidden="false" customHeight="false" outlineLevel="0" collapsed="false">
      <c r="A430" s="51"/>
      <c r="B430" s="51"/>
      <c r="C430" s="6"/>
      <c r="D430" s="49"/>
      <c r="E430" s="51"/>
      <c r="F430" s="6"/>
      <c r="G430" s="6"/>
      <c r="H430" s="6"/>
      <c r="I430" s="6"/>
      <c r="J430" s="6"/>
      <c r="K430" s="51"/>
      <c r="L430" s="51"/>
      <c r="M430" s="51"/>
      <c r="N430" s="51"/>
      <c r="O430" s="51"/>
      <c r="P430" s="51"/>
      <c r="Q430" s="51"/>
      <c r="R430" s="51"/>
      <c r="S430" s="51"/>
      <c r="T430" s="51"/>
      <c r="U430" s="51"/>
      <c r="V430" s="51"/>
      <c r="W430" s="51"/>
      <c r="X430" s="51"/>
      <c r="Y430" s="51"/>
      <c r="Z430" s="51"/>
      <c r="AA430" s="51"/>
      <c r="AB430" s="51"/>
    </row>
    <row r="431" customFormat="false" ht="15.75" hidden="false" customHeight="false" outlineLevel="0" collapsed="false">
      <c r="A431" s="51"/>
      <c r="B431" s="51"/>
      <c r="C431" s="6"/>
      <c r="D431" s="49"/>
      <c r="E431" s="51"/>
      <c r="F431" s="6"/>
      <c r="G431" s="6"/>
      <c r="H431" s="6"/>
      <c r="I431" s="6"/>
      <c r="J431" s="6"/>
      <c r="K431" s="51"/>
      <c r="L431" s="51"/>
      <c r="M431" s="51"/>
      <c r="N431" s="51"/>
      <c r="O431" s="51"/>
      <c r="P431" s="51"/>
      <c r="Q431" s="51"/>
      <c r="R431" s="51"/>
      <c r="S431" s="51"/>
      <c r="T431" s="51"/>
      <c r="U431" s="51"/>
      <c r="V431" s="51"/>
      <c r="W431" s="51"/>
      <c r="X431" s="51"/>
      <c r="Y431" s="51"/>
      <c r="Z431" s="51"/>
      <c r="AA431" s="51"/>
      <c r="AB431" s="51"/>
    </row>
    <row r="432" customFormat="false" ht="15.75" hidden="false" customHeight="false" outlineLevel="0" collapsed="false">
      <c r="A432" s="51"/>
      <c r="B432" s="51"/>
      <c r="C432" s="6"/>
      <c r="D432" s="49"/>
      <c r="E432" s="51"/>
      <c r="F432" s="6"/>
      <c r="G432" s="6"/>
      <c r="H432" s="6"/>
      <c r="I432" s="6"/>
      <c r="J432" s="6"/>
      <c r="K432" s="51"/>
      <c r="L432" s="51"/>
      <c r="M432" s="51"/>
      <c r="N432" s="51"/>
      <c r="O432" s="51"/>
      <c r="P432" s="51"/>
      <c r="Q432" s="51"/>
      <c r="R432" s="51"/>
      <c r="S432" s="51"/>
      <c r="T432" s="51"/>
      <c r="U432" s="51"/>
      <c r="V432" s="51"/>
      <c r="W432" s="51"/>
      <c r="X432" s="51"/>
      <c r="Y432" s="51"/>
      <c r="Z432" s="51"/>
      <c r="AA432" s="51"/>
      <c r="AB432" s="51"/>
    </row>
    <row r="433" customFormat="false" ht="15.75" hidden="false" customHeight="false" outlineLevel="0" collapsed="false">
      <c r="A433" s="51"/>
      <c r="B433" s="51"/>
      <c r="C433" s="6"/>
      <c r="D433" s="49"/>
      <c r="E433" s="51"/>
      <c r="F433" s="6"/>
      <c r="G433" s="6"/>
      <c r="H433" s="6"/>
      <c r="I433" s="6"/>
      <c r="J433" s="6"/>
      <c r="K433" s="51"/>
      <c r="L433" s="51"/>
      <c r="M433" s="51"/>
      <c r="N433" s="51"/>
      <c r="O433" s="51"/>
      <c r="P433" s="51"/>
      <c r="Q433" s="51"/>
      <c r="R433" s="51"/>
      <c r="S433" s="51"/>
      <c r="T433" s="51"/>
      <c r="U433" s="51"/>
      <c r="V433" s="51"/>
      <c r="W433" s="51"/>
      <c r="X433" s="51"/>
      <c r="Y433" s="51"/>
      <c r="Z433" s="51"/>
      <c r="AA433" s="51"/>
      <c r="AB433" s="51"/>
    </row>
    <row r="434" customFormat="false" ht="15.75" hidden="false" customHeight="false" outlineLevel="0" collapsed="false">
      <c r="A434" s="51"/>
      <c r="B434" s="51"/>
      <c r="C434" s="6"/>
      <c r="D434" s="49"/>
      <c r="E434" s="51"/>
      <c r="F434" s="6"/>
      <c r="G434" s="6"/>
      <c r="H434" s="6"/>
      <c r="I434" s="6"/>
      <c r="J434" s="6"/>
      <c r="K434" s="51"/>
      <c r="L434" s="51"/>
      <c r="M434" s="51"/>
      <c r="N434" s="51"/>
      <c r="O434" s="51"/>
      <c r="P434" s="51"/>
      <c r="Q434" s="51"/>
      <c r="R434" s="51"/>
      <c r="S434" s="51"/>
      <c r="T434" s="51"/>
      <c r="U434" s="51"/>
      <c r="V434" s="51"/>
      <c r="W434" s="51"/>
      <c r="X434" s="51"/>
      <c r="Y434" s="51"/>
      <c r="Z434" s="51"/>
      <c r="AA434" s="51"/>
      <c r="AB434" s="51"/>
    </row>
    <row r="435" customFormat="false" ht="15.75" hidden="false" customHeight="false" outlineLevel="0" collapsed="false">
      <c r="A435" s="51"/>
      <c r="B435" s="51"/>
      <c r="C435" s="6"/>
      <c r="D435" s="49"/>
      <c r="E435" s="51"/>
      <c r="F435" s="6"/>
      <c r="G435" s="6"/>
      <c r="H435" s="6"/>
      <c r="I435" s="6"/>
      <c r="J435" s="6"/>
      <c r="K435" s="51"/>
      <c r="L435" s="51"/>
      <c r="M435" s="51"/>
      <c r="N435" s="51"/>
      <c r="O435" s="51"/>
      <c r="P435" s="51"/>
      <c r="Q435" s="51"/>
      <c r="R435" s="51"/>
      <c r="S435" s="51"/>
      <c r="T435" s="51"/>
      <c r="U435" s="51"/>
      <c r="V435" s="51"/>
      <c r="W435" s="51"/>
      <c r="X435" s="51"/>
      <c r="Y435" s="51"/>
      <c r="Z435" s="51"/>
      <c r="AA435" s="51"/>
      <c r="AB435" s="51"/>
    </row>
    <row r="436" customFormat="false" ht="15.75" hidden="false" customHeight="false" outlineLevel="0" collapsed="false">
      <c r="A436" s="51"/>
      <c r="B436" s="51"/>
      <c r="C436" s="6"/>
      <c r="D436" s="49"/>
      <c r="E436" s="51"/>
      <c r="F436" s="6"/>
      <c r="G436" s="6"/>
      <c r="H436" s="6"/>
      <c r="I436" s="6"/>
      <c r="J436" s="6"/>
      <c r="K436" s="51"/>
      <c r="L436" s="51"/>
      <c r="M436" s="51"/>
      <c r="N436" s="51"/>
      <c r="O436" s="51"/>
      <c r="P436" s="51"/>
      <c r="Q436" s="51"/>
      <c r="R436" s="51"/>
      <c r="S436" s="51"/>
      <c r="T436" s="51"/>
      <c r="U436" s="51"/>
      <c r="V436" s="51"/>
      <c r="W436" s="51"/>
      <c r="X436" s="51"/>
      <c r="Y436" s="51"/>
      <c r="Z436" s="51"/>
      <c r="AA436" s="51"/>
      <c r="AB436" s="51"/>
    </row>
    <row r="437" customFormat="false" ht="15.75" hidden="false" customHeight="false" outlineLevel="0" collapsed="false">
      <c r="A437" s="51"/>
      <c r="B437" s="51"/>
      <c r="C437" s="6"/>
      <c r="D437" s="49"/>
      <c r="E437" s="51"/>
      <c r="F437" s="6"/>
      <c r="G437" s="6"/>
      <c r="H437" s="6"/>
      <c r="I437" s="6"/>
      <c r="J437" s="6"/>
      <c r="K437" s="51"/>
      <c r="L437" s="51"/>
      <c r="M437" s="51"/>
      <c r="N437" s="51"/>
      <c r="O437" s="51"/>
      <c r="P437" s="51"/>
      <c r="Q437" s="51"/>
      <c r="R437" s="51"/>
      <c r="S437" s="51"/>
      <c r="T437" s="51"/>
      <c r="U437" s="51"/>
      <c r="V437" s="51"/>
      <c r="W437" s="51"/>
      <c r="X437" s="51"/>
      <c r="Y437" s="51"/>
      <c r="Z437" s="51"/>
      <c r="AA437" s="51"/>
      <c r="AB437" s="51"/>
    </row>
    <row r="438" customFormat="false" ht="15.75" hidden="false" customHeight="false" outlineLevel="0" collapsed="false">
      <c r="A438" s="51"/>
      <c r="B438" s="51"/>
      <c r="C438" s="6"/>
      <c r="D438" s="49"/>
      <c r="E438" s="51"/>
      <c r="F438" s="6"/>
      <c r="G438" s="6"/>
      <c r="H438" s="6"/>
      <c r="I438" s="6"/>
      <c r="J438" s="6"/>
      <c r="K438" s="51"/>
      <c r="L438" s="51"/>
      <c r="M438" s="51"/>
      <c r="N438" s="51"/>
      <c r="O438" s="51"/>
      <c r="P438" s="51"/>
      <c r="Q438" s="51"/>
      <c r="R438" s="51"/>
      <c r="S438" s="51"/>
      <c r="T438" s="51"/>
      <c r="U438" s="51"/>
      <c r="V438" s="51"/>
      <c r="W438" s="51"/>
      <c r="X438" s="51"/>
      <c r="Y438" s="51"/>
      <c r="Z438" s="51"/>
      <c r="AA438" s="51"/>
      <c r="AB438" s="51"/>
    </row>
    <row r="439" customFormat="false" ht="15.75" hidden="false" customHeight="false" outlineLevel="0" collapsed="false">
      <c r="A439" s="51"/>
      <c r="B439" s="51"/>
      <c r="C439" s="6"/>
      <c r="D439" s="49"/>
      <c r="E439" s="51"/>
      <c r="F439" s="6"/>
      <c r="G439" s="6"/>
      <c r="H439" s="6"/>
      <c r="I439" s="6"/>
      <c r="J439" s="6"/>
      <c r="K439" s="51"/>
      <c r="L439" s="51"/>
      <c r="M439" s="51"/>
      <c r="N439" s="51"/>
      <c r="O439" s="51"/>
      <c r="P439" s="51"/>
      <c r="Q439" s="51"/>
      <c r="R439" s="51"/>
      <c r="S439" s="51"/>
      <c r="T439" s="51"/>
      <c r="U439" s="51"/>
      <c r="V439" s="51"/>
      <c r="W439" s="51"/>
      <c r="X439" s="51"/>
      <c r="Y439" s="51"/>
      <c r="Z439" s="51"/>
      <c r="AA439" s="51"/>
      <c r="AB439" s="51"/>
    </row>
    <row r="440" customFormat="false" ht="15.75" hidden="false" customHeight="false" outlineLevel="0" collapsed="false">
      <c r="A440" s="51"/>
      <c r="B440" s="51"/>
      <c r="C440" s="6"/>
      <c r="D440" s="49"/>
      <c r="E440" s="51"/>
      <c r="F440" s="6"/>
      <c r="G440" s="6"/>
      <c r="H440" s="6"/>
      <c r="I440" s="6"/>
      <c r="J440" s="6"/>
      <c r="K440" s="51"/>
      <c r="L440" s="51"/>
      <c r="M440" s="51"/>
      <c r="N440" s="51"/>
      <c r="O440" s="51"/>
      <c r="P440" s="51"/>
      <c r="Q440" s="51"/>
      <c r="R440" s="51"/>
      <c r="S440" s="51"/>
      <c r="T440" s="51"/>
      <c r="U440" s="51"/>
      <c r="V440" s="51"/>
      <c r="W440" s="51"/>
      <c r="X440" s="51"/>
      <c r="Y440" s="51"/>
      <c r="Z440" s="51"/>
      <c r="AA440" s="51"/>
      <c r="AB440" s="51"/>
    </row>
    <row r="441" customFormat="false" ht="15.75" hidden="false" customHeight="false" outlineLevel="0" collapsed="false">
      <c r="A441" s="51"/>
      <c r="B441" s="51"/>
      <c r="C441" s="6"/>
      <c r="D441" s="49"/>
      <c r="E441" s="51"/>
      <c r="F441" s="6"/>
      <c r="G441" s="6"/>
      <c r="H441" s="6"/>
      <c r="I441" s="6"/>
      <c r="J441" s="6"/>
      <c r="K441" s="51"/>
      <c r="L441" s="51"/>
      <c r="M441" s="51"/>
      <c r="N441" s="51"/>
      <c r="O441" s="51"/>
      <c r="P441" s="51"/>
      <c r="Q441" s="51"/>
      <c r="R441" s="51"/>
      <c r="S441" s="51"/>
      <c r="T441" s="51"/>
      <c r="U441" s="51"/>
      <c r="V441" s="51"/>
      <c r="W441" s="51"/>
      <c r="X441" s="51"/>
      <c r="Y441" s="51"/>
      <c r="Z441" s="51"/>
      <c r="AA441" s="51"/>
      <c r="AB441" s="51"/>
    </row>
    <row r="442" customFormat="false" ht="15.75" hidden="false" customHeight="false" outlineLevel="0" collapsed="false">
      <c r="A442" s="51"/>
      <c r="B442" s="51"/>
      <c r="C442" s="6"/>
      <c r="D442" s="49"/>
      <c r="E442" s="51"/>
      <c r="F442" s="6"/>
      <c r="G442" s="6"/>
      <c r="H442" s="6"/>
      <c r="I442" s="6"/>
      <c r="J442" s="6"/>
      <c r="K442" s="51"/>
      <c r="L442" s="51"/>
      <c r="M442" s="51"/>
      <c r="N442" s="51"/>
      <c r="O442" s="51"/>
      <c r="P442" s="51"/>
      <c r="Q442" s="51"/>
      <c r="R442" s="51"/>
      <c r="S442" s="51"/>
      <c r="T442" s="51"/>
      <c r="U442" s="51"/>
      <c r="V442" s="51"/>
      <c r="W442" s="51"/>
      <c r="X442" s="51"/>
      <c r="Y442" s="51"/>
      <c r="Z442" s="51"/>
      <c r="AA442" s="51"/>
      <c r="AB442" s="51"/>
    </row>
    <row r="443" customFormat="false" ht="15.75" hidden="false" customHeight="false" outlineLevel="0" collapsed="false">
      <c r="A443" s="51"/>
      <c r="B443" s="51"/>
      <c r="C443" s="6"/>
      <c r="D443" s="49"/>
      <c r="E443" s="51"/>
      <c r="F443" s="6"/>
      <c r="G443" s="6"/>
      <c r="H443" s="6"/>
      <c r="I443" s="6"/>
      <c r="J443" s="6"/>
      <c r="K443" s="51"/>
      <c r="L443" s="51"/>
      <c r="M443" s="51"/>
      <c r="N443" s="51"/>
      <c r="O443" s="51"/>
      <c r="P443" s="51"/>
      <c r="Q443" s="51"/>
      <c r="R443" s="51"/>
      <c r="S443" s="51"/>
      <c r="T443" s="51"/>
      <c r="U443" s="51"/>
      <c r="V443" s="51"/>
      <c r="W443" s="51"/>
      <c r="X443" s="51"/>
      <c r="Y443" s="51"/>
      <c r="Z443" s="51"/>
      <c r="AA443" s="51"/>
      <c r="AB443" s="51"/>
    </row>
    <row r="444" customFormat="false" ht="15.75" hidden="false" customHeight="false" outlineLevel="0" collapsed="false">
      <c r="A444" s="51"/>
      <c r="B444" s="51"/>
      <c r="C444" s="6"/>
      <c r="D444" s="49"/>
      <c r="E444" s="51"/>
      <c r="F444" s="6"/>
      <c r="G444" s="6"/>
      <c r="H444" s="6"/>
      <c r="I444" s="6"/>
      <c r="J444" s="6"/>
      <c r="K444" s="51"/>
      <c r="L444" s="51"/>
      <c r="M444" s="51"/>
      <c r="N444" s="51"/>
      <c r="O444" s="51"/>
      <c r="P444" s="51"/>
      <c r="Q444" s="51"/>
      <c r="R444" s="51"/>
      <c r="S444" s="51"/>
      <c r="T444" s="51"/>
      <c r="U444" s="51"/>
      <c r="V444" s="51"/>
      <c r="W444" s="51"/>
      <c r="X444" s="51"/>
      <c r="Y444" s="51"/>
      <c r="Z444" s="51"/>
      <c r="AA444" s="51"/>
      <c r="AB444" s="51"/>
    </row>
    <row r="445" customFormat="false" ht="15.75" hidden="false" customHeight="false" outlineLevel="0" collapsed="false">
      <c r="A445" s="51"/>
      <c r="B445" s="51"/>
      <c r="C445" s="6"/>
      <c r="D445" s="49"/>
      <c r="E445" s="51"/>
      <c r="F445" s="6"/>
      <c r="G445" s="6"/>
      <c r="H445" s="6"/>
      <c r="I445" s="6"/>
      <c r="J445" s="6"/>
      <c r="K445" s="51"/>
      <c r="L445" s="51"/>
      <c r="M445" s="51"/>
      <c r="N445" s="51"/>
      <c r="O445" s="51"/>
      <c r="P445" s="51"/>
      <c r="Q445" s="51"/>
      <c r="R445" s="51"/>
      <c r="S445" s="51"/>
      <c r="T445" s="51"/>
      <c r="U445" s="51"/>
      <c r="V445" s="51"/>
      <c r="W445" s="51"/>
      <c r="X445" s="51"/>
      <c r="Y445" s="51"/>
      <c r="Z445" s="51"/>
      <c r="AA445" s="51"/>
      <c r="AB445" s="51"/>
    </row>
    <row r="446" customFormat="false" ht="15.75" hidden="false" customHeight="false" outlineLevel="0" collapsed="false">
      <c r="A446" s="51"/>
      <c r="B446" s="51"/>
      <c r="C446" s="6"/>
      <c r="D446" s="49"/>
      <c r="E446" s="51"/>
      <c r="F446" s="6"/>
      <c r="G446" s="6"/>
      <c r="H446" s="6"/>
      <c r="I446" s="6"/>
      <c r="J446" s="6"/>
      <c r="K446" s="51"/>
      <c r="L446" s="51"/>
      <c r="M446" s="51"/>
      <c r="N446" s="51"/>
      <c r="O446" s="51"/>
      <c r="P446" s="51"/>
      <c r="Q446" s="51"/>
      <c r="R446" s="51"/>
      <c r="S446" s="51"/>
      <c r="T446" s="51"/>
      <c r="U446" s="51"/>
      <c r="V446" s="51"/>
      <c r="W446" s="51"/>
      <c r="X446" s="51"/>
      <c r="Y446" s="51"/>
      <c r="Z446" s="51"/>
      <c r="AA446" s="51"/>
      <c r="AB446" s="51"/>
    </row>
    <row r="447" customFormat="false" ht="15.75" hidden="false" customHeight="false" outlineLevel="0" collapsed="false">
      <c r="A447" s="51"/>
      <c r="B447" s="51"/>
      <c r="C447" s="6"/>
      <c r="D447" s="49"/>
      <c r="E447" s="51"/>
      <c r="F447" s="6"/>
      <c r="G447" s="6"/>
      <c r="H447" s="6"/>
      <c r="I447" s="6"/>
      <c r="J447" s="6"/>
      <c r="K447" s="51"/>
      <c r="L447" s="51"/>
      <c r="M447" s="51"/>
      <c r="N447" s="51"/>
      <c r="O447" s="51"/>
      <c r="P447" s="51"/>
      <c r="Q447" s="51"/>
      <c r="R447" s="51"/>
      <c r="S447" s="51"/>
      <c r="T447" s="51"/>
      <c r="U447" s="51"/>
      <c r="V447" s="51"/>
      <c r="W447" s="51"/>
      <c r="X447" s="51"/>
      <c r="Y447" s="51"/>
      <c r="Z447" s="51"/>
      <c r="AA447" s="51"/>
      <c r="AB447" s="51"/>
    </row>
    <row r="448" customFormat="false" ht="15.75" hidden="false" customHeight="false" outlineLevel="0" collapsed="false">
      <c r="A448" s="51"/>
      <c r="B448" s="51"/>
      <c r="C448" s="6"/>
      <c r="D448" s="49"/>
      <c r="E448" s="51"/>
      <c r="F448" s="6"/>
      <c r="G448" s="6"/>
      <c r="H448" s="6"/>
      <c r="I448" s="6"/>
      <c r="J448" s="6"/>
      <c r="K448" s="51"/>
      <c r="L448" s="51"/>
      <c r="M448" s="51"/>
      <c r="N448" s="51"/>
      <c r="O448" s="51"/>
      <c r="P448" s="51"/>
      <c r="Q448" s="51"/>
      <c r="R448" s="51"/>
      <c r="S448" s="51"/>
      <c r="T448" s="51"/>
      <c r="U448" s="51"/>
      <c r="V448" s="51"/>
      <c r="W448" s="51"/>
      <c r="X448" s="51"/>
      <c r="Y448" s="51"/>
      <c r="Z448" s="51"/>
      <c r="AA448" s="51"/>
      <c r="AB448" s="51"/>
    </row>
    <row r="449" customFormat="false" ht="15.75" hidden="false" customHeight="false" outlineLevel="0" collapsed="false">
      <c r="A449" s="51"/>
      <c r="B449" s="51"/>
      <c r="C449" s="6"/>
      <c r="D449" s="49"/>
      <c r="E449" s="51"/>
      <c r="F449" s="6"/>
      <c r="G449" s="6"/>
      <c r="H449" s="6"/>
      <c r="I449" s="6"/>
      <c r="J449" s="6"/>
      <c r="K449" s="51"/>
      <c r="L449" s="51"/>
      <c r="M449" s="51"/>
      <c r="N449" s="51"/>
      <c r="O449" s="51"/>
      <c r="P449" s="51"/>
      <c r="Q449" s="51"/>
      <c r="R449" s="51"/>
      <c r="S449" s="51"/>
      <c r="T449" s="51"/>
      <c r="U449" s="51"/>
      <c r="V449" s="51"/>
      <c r="W449" s="51"/>
      <c r="X449" s="51"/>
      <c r="Y449" s="51"/>
      <c r="Z449" s="51"/>
      <c r="AA449" s="51"/>
      <c r="AB449" s="51"/>
    </row>
    <row r="450" customFormat="false" ht="15.75" hidden="false" customHeight="false" outlineLevel="0" collapsed="false">
      <c r="A450" s="51"/>
      <c r="B450" s="51"/>
      <c r="C450" s="6"/>
      <c r="D450" s="49"/>
      <c r="E450" s="51"/>
      <c r="F450" s="6"/>
      <c r="G450" s="6"/>
      <c r="H450" s="6"/>
      <c r="I450" s="6"/>
      <c r="J450" s="6"/>
      <c r="K450" s="51"/>
      <c r="L450" s="51"/>
      <c r="M450" s="51"/>
      <c r="N450" s="51"/>
      <c r="O450" s="51"/>
      <c r="P450" s="51"/>
      <c r="Q450" s="51"/>
      <c r="R450" s="51"/>
      <c r="S450" s="51"/>
      <c r="T450" s="51"/>
      <c r="U450" s="51"/>
      <c r="V450" s="51"/>
      <c r="W450" s="51"/>
      <c r="X450" s="51"/>
      <c r="Y450" s="51"/>
      <c r="Z450" s="51"/>
      <c r="AA450" s="51"/>
      <c r="AB450" s="51"/>
    </row>
    <row r="451" customFormat="false" ht="15.75" hidden="false" customHeight="false" outlineLevel="0" collapsed="false">
      <c r="A451" s="51"/>
      <c r="B451" s="51"/>
      <c r="C451" s="6"/>
      <c r="D451" s="49"/>
      <c r="E451" s="51"/>
      <c r="F451" s="6"/>
      <c r="G451" s="6"/>
      <c r="H451" s="6"/>
      <c r="I451" s="6"/>
      <c r="J451" s="6"/>
      <c r="K451" s="51"/>
      <c r="L451" s="51"/>
      <c r="M451" s="51"/>
      <c r="N451" s="51"/>
      <c r="O451" s="51"/>
      <c r="P451" s="51"/>
      <c r="Q451" s="51"/>
      <c r="R451" s="51"/>
      <c r="S451" s="51"/>
      <c r="T451" s="51"/>
      <c r="U451" s="51"/>
      <c r="V451" s="51"/>
      <c r="W451" s="51"/>
      <c r="X451" s="51"/>
      <c r="Y451" s="51"/>
      <c r="Z451" s="51"/>
      <c r="AA451" s="51"/>
      <c r="AB451" s="51"/>
    </row>
    <row r="452" customFormat="false" ht="15.75" hidden="false" customHeight="false" outlineLevel="0" collapsed="false">
      <c r="A452" s="51"/>
      <c r="B452" s="51"/>
      <c r="C452" s="6"/>
      <c r="D452" s="49"/>
      <c r="E452" s="51"/>
      <c r="F452" s="6"/>
      <c r="G452" s="6"/>
      <c r="H452" s="6"/>
      <c r="I452" s="6"/>
      <c r="J452" s="6"/>
      <c r="K452" s="51"/>
      <c r="L452" s="51"/>
      <c r="M452" s="51"/>
      <c r="N452" s="51"/>
      <c r="O452" s="51"/>
      <c r="P452" s="51"/>
      <c r="Q452" s="51"/>
      <c r="R452" s="51"/>
      <c r="S452" s="51"/>
      <c r="T452" s="51"/>
      <c r="U452" s="51"/>
      <c r="V452" s="51"/>
      <c r="W452" s="51"/>
      <c r="X452" s="51"/>
      <c r="Y452" s="51"/>
      <c r="Z452" s="51"/>
      <c r="AA452" s="51"/>
      <c r="AB452" s="51"/>
    </row>
    <row r="453" customFormat="false" ht="15.75" hidden="false" customHeight="false" outlineLevel="0" collapsed="false">
      <c r="A453" s="51"/>
      <c r="B453" s="51"/>
      <c r="C453" s="6"/>
      <c r="D453" s="49"/>
      <c r="E453" s="51"/>
      <c r="F453" s="6"/>
      <c r="G453" s="6"/>
      <c r="H453" s="6"/>
      <c r="I453" s="6"/>
      <c r="J453" s="6"/>
      <c r="K453" s="51"/>
      <c r="L453" s="51"/>
      <c r="M453" s="51"/>
      <c r="N453" s="51"/>
      <c r="O453" s="51"/>
      <c r="P453" s="51"/>
      <c r="Q453" s="51"/>
      <c r="R453" s="51"/>
      <c r="S453" s="51"/>
      <c r="T453" s="51"/>
      <c r="U453" s="51"/>
      <c r="V453" s="51"/>
      <c r="W453" s="51"/>
      <c r="X453" s="51"/>
      <c r="Y453" s="51"/>
      <c r="Z453" s="51"/>
      <c r="AA453" s="51"/>
      <c r="AB453" s="51"/>
    </row>
    <row r="454" customFormat="false" ht="15.75" hidden="false" customHeight="false" outlineLevel="0" collapsed="false">
      <c r="A454" s="51"/>
      <c r="B454" s="51"/>
      <c r="C454" s="6"/>
      <c r="D454" s="49"/>
      <c r="E454" s="51"/>
      <c r="F454" s="6"/>
      <c r="G454" s="6"/>
      <c r="H454" s="6"/>
      <c r="I454" s="6"/>
      <c r="J454" s="6"/>
      <c r="K454" s="51"/>
      <c r="L454" s="51"/>
      <c r="M454" s="51"/>
      <c r="N454" s="51"/>
      <c r="O454" s="51"/>
      <c r="P454" s="51"/>
      <c r="Q454" s="51"/>
      <c r="R454" s="51"/>
      <c r="S454" s="51"/>
      <c r="T454" s="51"/>
      <c r="U454" s="51"/>
      <c r="V454" s="51"/>
      <c r="W454" s="51"/>
      <c r="X454" s="51"/>
      <c r="Y454" s="51"/>
      <c r="Z454" s="51"/>
      <c r="AA454" s="51"/>
      <c r="AB454" s="51"/>
    </row>
    <row r="455" customFormat="false" ht="15.75" hidden="false" customHeight="false" outlineLevel="0" collapsed="false">
      <c r="A455" s="51"/>
      <c r="B455" s="51"/>
      <c r="C455" s="6"/>
      <c r="D455" s="49"/>
      <c r="E455" s="51"/>
      <c r="F455" s="6"/>
      <c r="G455" s="6"/>
      <c r="H455" s="6"/>
      <c r="I455" s="6"/>
      <c r="J455" s="6"/>
      <c r="K455" s="51"/>
      <c r="L455" s="51"/>
      <c r="M455" s="51"/>
      <c r="N455" s="51"/>
      <c r="O455" s="51"/>
      <c r="P455" s="51"/>
      <c r="Q455" s="51"/>
      <c r="R455" s="51"/>
      <c r="S455" s="51"/>
      <c r="T455" s="51"/>
      <c r="U455" s="51"/>
      <c r="V455" s="51"/>
      <c r="W455" s="51"/>
      <c r="X455" s="51"/>
      <c r="Y455" s="51"/>
      <c r="Z455" s="51"/>
      <c r="AA455" s="51"/>
      <c r="AB455" s="51"/>
    </row>
    <row r="456" customFormat="false" ht="15.75" hidden="false" customHeight="false" outlineLevel="0" collapsed="false">
      <c r="A456" s="51"/>
      <c r="B456" s="51"/>
      <c r="C456" s="6"/>
      <c r="D456" s="49"/>
      <c r="E456" s="51"/>
      <c r="F456" s="6"/>
      <c r="G456" s="6"/>
      <c r="H456" s="6"/>
      <c r="I456" s="6"/>
      <c r="J456" s="6"/>
      <c r="K456" s="51"/>
      <c r="L456" s="51"/>
      <c r="M456" s="51"/>
      <c r="N456" s="51"/>
      <c r="O456" s="51"/>
      <c r="P456" s="51"/>
      <c r="Q456" s="51"/>
      <c r="R456" s="51"/>
      <c r="S456" s="51"/>
      <c r="T456" s="51"/>
      <c r="U456" s="51"/>
      <c r="V456" s="51"/>
      <c r="W456" s="51"/>
      <c r="X456" s="51"/>
      <c r="Y456" s="51"/>
      <c r="Z456" s="51"/>
      <c r="AA456" s="51"/>
      <c r="AB456" s="51"/>
    </row>
    <row r="457" customFormat="false" ht="15.75" hidden="false" customHeight="false" outlineLevel="0" collapsed="false">
      <c r="A457" s="51"/>
      <c r="B457" s="51"/>
      <c r="C457" s="6"/>
      <c r="D457" s="49"/>
      <c r="E457" s="51"/>
      <c r="F457" s="6"/>
      <c r="G457" s="6"/>
      <c r="H457" s="6"/>
      <c r="I457" s="6"/>
      <c r="J457" s="6"/>
      <c r="K457" s="51"/>
      <c r="L457" s="51"/>
      <c r="M457" s="51"/>
      <c r="N457" s="51"/>
      <c r="O457" s="51"/>
      <c r="P457" s="51"/>
      <c r="Q457" s="51"/>
      <c r="R457" s="51"/>
      <c r="S457" s="51"/>
      <c r="T457" s="51"/>
      <c r="U457" s="51"/>
      <c r="V457" s="51"/>
      <c r="W457" s="51"/>
      <c r="X457" s="51"/>
      <c r="Y457" s="51"/>
      <c r="Z457" s="51"/>
      <c r="AA457" s="51"/>
      <c r="AB457" s="51"/>
    </row>
    <row r="458" customFormat="false" ht="15.75" hidden="false" customHeight="false" outlineLevel="0" collapsed="false">
      <c r="A458" s="51"/>
      <c r="B458" s="51"/>
      <c r="C458" s="6"/>
      <c r="D458" s="49"/>
      <c r="E458" s="51"/>
      <c r="F458" s="6"/>
      <c r="G458" s="6"/>
      <c r="H458" s="6"/>
      <c r="I458" s="6"/>
      <c r="J458" s="6"/>
      <c r="K458" s="51"/>
      <c r="L458" s="51"/>
      <c r="M458" s="51"/>
      <c r="N458" s="51"/>
      <c r="O458" s="51"/>
      <c r="P458" s="51"/>
      <c r="Q458" s="51"/>
      <c r="R458" s="51"/>
      <c r="S458" s="51"/>
      <c r="T458" s="51"/>
      <c r="U458" s="51"/>
      <c r="V458" s="51"/>
      <c r="W458" s="51"/>
      <c r="X458" s="51"/>
      <c r="Y458" s="51"/>
      <c r="Z458" s="51"/>
      <c r="AA458" s="51"/>
      <c r="AB458" s="51"/>
    </row>
    <row r="459" customFormat="false" ht="15.75" hidden="false" customHeight="false" outlineLevel="0" collapsed="false">
      <c r="A459" s="51"/>
      <c r="B459" s="51"/>
      <c r="C459" s="6"/>
      <c r="D459" s="49"/>
      <c r="E459" s="51"/>
      <c r="F459" s="6"/>
      <c r="G459" s="6"/>
      <c r="H459" s="6"/>
      <c r="I459" s="6"/>
      <c r="J459" s="6"/>
      <c r="K459" s="51"/>
      <c r="L459" s="51"/>
      <c r="M459" s="51"/>
      <c r="N459" s="51"/>
      <c r="O459" s="51"/>
      <c r="P459" s="51"/>
      <c r="Q459" s="51"/>
      <c r="R459" s="51"/>
      <c r="S459" s="51"/>
      <c r="T459" s="51"/>
      <c r="U459" s="51"/>
      <c r="V459" s="51"/>
      <c r="W459" s="51"/>
      <c r="X459" s="51"/>
      <c r="Y459" s="51"/>
      <c r="Z459" s="51"/>
      <c r="AA459" s="51"/>
      <c r="AB459" s="51"/>
    </row>
    <row r="460" customFormat="false" ht="15.75" hidden="false" customHeight="false" outlineLevel="0" collapsed="false">
      <c r="A460" s="51"/>
      <c r="B460" s="51"/>
      <c r="C460" s="6"/>
      <c r="D460" s="49"/>
      <c r="E460" s="51"/>
      <c r="F460" s="6"/>
      <c r="G460" s="6"/>
      <c r="H460" s="6"/>
      <c r="I460" s="6"/>
      <c r="J460" s="6"/>
      <c r="K460" s="51"/>
      <c r="L460" s="51"/>
      <c r="M460" s="51"/>
      <c r="N460" s="51"/>
      <c r="O460" s="51"/>
      <c r="P460" s="51"/>
      <c r="Q460" s="51"/>
      <c r="R460" s="51"/>
      <c r="S460" s="51"/>
      <c r="T460" s="51"/>
      <c r="U460" s="51"/>
      <c r="V460" s="51"/>
      <c r="W460" s="51"/>
      <c r="X460" s="51"/>
      <c r="Y460" s="51"/>
      <c r="Z460" s="51"/>
      <c r="AA460" s="51"/>
      <c r="AB460" s="51"/>
    </row>
    <row r="461" customFormat="false" ht="15.75" hidden="false" customHeight="false" outlineLevel="0" collapsed="false">
      <c r="A461" s="51"/>
      <c r="B461" s="51"/>
      <c r="C461" s="6"/>
      <c r="D461" s="49"/>
      <c r="E461" s="51"/>
      <c r="F461" s="6"/>
      <c r="G461" s="6"/>
      <c r="H461" s="6"/>
      <c r="I461" s="6"/>
      <c r="J461" s="6"/>
      <c r="K461" s="51"/>
      <c r="L461" s="51"/>
      <c r="M461" s="51"/>
      <c r="N461" s="51"/>
      <c r="O461" s="51"/>
      <c r="P461" s="51"/>
      <c r="Q461" s="51"/>
      <c r="R461" s="51"/>
      <c r="S461" s="51"/>
      <c r="T461" s="51"/>
      <c r="U461" s="51"/>
      <c r="V461" s="51"/>
      <c r="W461" s="51"/>
      <c r="X461" s="51"/>
      <c r="Y461" s="51"/>
      <c r="Z461" s="51"/>
      <c r="AA461" s="51"/>
      <c r="AB461" s="51"/>
    </row>
    <row r="462" customFormat="false" ht="15.75" hidden="false" customHeight="false" outlineLevel="0" collapsed="false">
      <c r="A462" s="51"/>
      <c r="B462" s="51"/>
      <c r="C462" s="6"/>
      <c r="D462" s="49"/>
      <c r="E462" s="51"/>
      <c r="F462" s="6"/>
      <c r="G462" s="6"/>
      <c r="H462" s="6"/>
      <c r="I462" s="6"/>
      <c r="J462" s="6"/>
      <c r="K462" s="51"/>
      <c r="L462" s="51"/>
      <c r="M462" s="51"/>
      <c r="N462" s="51"/>
      <c r="O462" s="51"/>
      <c r="P462" s="51"/>
      <c r="Q462" s="51"/>
      <c r="R462" s="51"/>
      <c r="S462" s="51"/>
      <c r="T462" s="51"/>
      <c r="U462" s="51"/>
      <c r="V462" s="51"/>
      <c r="W462" s="51"/>
      <c r="X462" s="51"/>
      <c r="Y462" s="51"/>
      <c r="Z462" s="51"/>
      <c r="AA462" s="51"/>
      <c r="AB462" s="51"/>
    </row>
    <row r="463" customFormat="false" ht="15.75" hidden="false" customHeight="false" outlineLevel="0" collapsed="false">
      <c r="A463" s="51"/>
      <c r="B463" s="51"/>
      <c r="C463" s="6"/>
      <c r="D463" s="49"/>
      <c r="E463" s="51"/>
      <c r="F463" s="6"/>
      <c r="G463" s="6"/>
      <c r="H463" s="6"/>
      <c r="I463" s="6"/>
      <c r="J463" s="6"/>
      <c r="K463" s="51"/>
      <c r="L463" s="51"/>
      <c r="M463" s="51"/>
      <c r="N463" s="51"/>
      <c r="O463" s="51"/>
      <c r="P463" s="51"/>
      <c r="Q463" s="51"/>
      <c r="R463" s="51"/>
      <c r="S463" s="51"/>
      <c r="T463" s="51"/>
      <c r="U463" s="51"/>
      <c r="V463" s="51"/>
      <c r="W463" s="51"/>
      <c r="X463" s="51"/>
      <c r="Y463" s="51"/>
      <c r="Z463" s="51"/>
      <c r="AA463" s="51"/>
      <c r="AB463" s="51"/>
    </row>
    <row r="464" customFormat="false" ht="15.75" hidden="false" customHeight="false" outlineLevel="0" collapsed="false">
      <c r="A464" s="51"/>
      <c r="B464" s="51"/>
      <c r="C464" s="6"/>
      <c r="D464" s="49"/>
      <c r="E464" s="51"/>
      <c r="F464" s="6"/>
      <c r="G464" s="6"/>
      <c r="H464" s="6"/>
      <c r="I464" s="6"/>
      <c r="J464" s="6"/>
      <c r="K464" s="51"/>
      <c r="L464" s="51"/>
      <c r="M464" s="51"/>
      <c r="N464" s="51"/>
      <c r="O464" s="51"/>
      <c r="P464" s="51"/>
      <c r="Q464" s="51"/>
      <c r="R464" s="51"/>
      <c r="S464" s="51"/>
      <c r="T464" s="51"/>
      <c r="U464" s="51"/>
      <c r="V464" s="51"/>
      <c r="W464" s="51"/>
      <c r="X464" s="51"/>
      <c r="Y464" s="51"/>
      <c r="Z464" s="51"/>
      <c r="AA464" s="51"/>
      <c r="AB464" s="51"/>
    </row>
    <row r="465" customFormat="false" ht="15.75" hidden="false" customHeight="false" outlineLevel="0" collapsed="false">
      <c r="A465" s="51"/>
      <c r="B465" s="51"/>
      <c r="C465" s="6"/>
      <c r="D465" s="49"/>
      <c r="E465" s="51"/>
      <c r="F465" s="6"/>
      <c r="G465" s="6"/>
      <c r="H465" s="6"/>
      <c r="I465" s="6"/>
      <c r="J465" s="6"/>
      <c r="K465" s="51"/>
      <c r="L465" s="51"/>
      <c r="M465" s="51"/>
      <c r="N465" s="51"/>
      <c r="O465" s="51"/>
      <c r="P465" s="51"/>
      <c r="Q465" s="51"/>
      <c r="R465" s="51"/>
      <c r="S465" s="51"/>
      <c r="T465" s="51"/>
      <c r="U465" s="51"/>
      <c r="V465" s="51"/>
      <c r="W465" s="51"/>
      <c r="X465" s="51"/>
      <c r="Y465" s="51"/>
      <c r="Z465" s="51"/>
      <c r="AA465" s="51"/>
      <c r="AB465" s="51"/>
    </row>
    <row r="466" customFormat="false" ht="15.75" hidden="false" customHeight="false" outlineLevel="0" collapsed="false">
      <c r="A466" s="51"/>
      <c r="B466" s="51"/>
      <c r="C466" s="6"/>
      <c r="D466" s="49"/>
      <c r="E466" s="51"/>
      <c r="F466" s="6"/>
      <c r="G466" s="6"/>
      <c r="H466" s="6"/>
      <c r="I466" s="6"/>
      <c r="J466" s="6"/>
      <c r="K466" s="51"/>
      <c r="L466" s="51"/>
      <c r="M466" s="51"/>
      <c r="N466" s="51"/>
      <c r="O466" s="51"/>
      <c r="P466" s="51"/>
      <c r="Q466" s="51"/>
      <c r="R466" s="51"/>
      <c r="S466" s="51"/>
      <c r="T466" s="51"/>
      <c r="U466" s="51"/>
      <c r="V466" s="51"/>
      <c r="W466" s="51"/>
      <c r="X466" s="51"/>
      <c r="Y466" s="51"/>
      <c r="Z466" s="51"/>
      <c r="AA466" s="51"/>
      <c r="AB466" s="51"/>
    </row>
    <row r="467" customFormat="false" ht="15.75" hidden="false" customHeight="false" outlineLevel="0" collapsed="false">
      <c r="A467" s="51"/>
      <c r="B467" s="51"/>
      <c r="C467" s="6"/>
      <c r="D467" s="49"/>
      <c r="E467" s="51"/>
      <c r="F467" s="6"/>
      <c r="G467" s="6"/>
      <c r="H467" s="6"/>
      <c r="I467" s="6"/>
      <c r="J467" s="6"/>
      <c r="K467" s="51"/>
      <c r="L467" s="51"/>
      <c r="M467" s="51"/>
      <c r="N467" s="51"/>
      <c r="O467" s="51"/>
      <c r="P467" s="51"/>
      <c r="Q467" s="51"/>
      <c r="R467" s="51"/>
      <c r="S467" s="51"/>
      <c r="T467" s="51"/>
      <c r="U467" s="51"/>
      <c r="V467" s="51"/>
      <c r="W467" s="51"/>
      <c r="X467" s="51"/>
      <c r="Y467" s="51"/>
      <c r="Z467" s="51"/>
      <c r="AA467" s="51"/>
      <c r="AB467" s="51"/>
    </row>
    <row r="468" customFormat="false" ht="15.75" hidden="false" customHeight="false" outlineLevel="0" collapsed="false">
      <c r="A468" s="51"/>
      <c r="B468" s="51"/>
      <c r="C468" s="6"/>
      <c r="D468" s="49"/>
      <c r="E468" s="51"/>
      <c r="F468" s="6"/>
      <c r="G468" s="6"/>
      <c r="H468" s="6"/>
      <c r="I468" s="6"/>
      <c r="J468" s="6"/>
      <c r="K468" s="51"/>
      <c r="L468" s="51"/>
      <c r="M468" s="51"/>
      <c r="N468" s="51"/>
      <c r="O468" s="51"/>
      <c r="P468" s="51"/>
      <c r="Q468" s="51"/>
      <c r="R468" s="51"/>
      <c r="S468" s="51"/>
      <c r="T468" s="51"/>
      <c r="U468" s="51"/>
      <c r="V468" s="51"/>
      <c r="W468" s="51"/>
      <c r="X468" s="51"/>
      <c r="Y468" s="51"/>
      <c r="Z468" s="51"/>
      <c r="AA468" s="51"/>
      <c r="AB468" s="51"/>
    </row>
    <row r="469" customFormat="false" ht="15.75" hidden="false" customHeight="false" outlineLevel="0" collapsed="false">
      <c r="A469" s="51"/>
      <c r="B469" s="51"/>
      <c r="C469" s="6"/>
      <c r="D469" s="49"/>
      <c r="E469" s="51"/>
      <c r="F469" s="6"/>
      <c r="G469" s="6"/>
      <c r="H469" s="6"/>
      <c r="I469" s="6"/>
      <c r="J469" s="6"/>
      <c r="K469" s="51"/>
      <c r="L469" s="51"/>
      <c r="M469" s="51"/>
      <c r="N469" s="51"/>
      <c r="O469" s="51"/>
      <c r="P469" s="51"/>
      <c r="Q469" s="51"/>
      <c r="R469" s="51"/>
      <c r="S469" s="51"/>
      <c r="T469" s="51"/>
      <c r="U469" s="51"/>
      <c r="V469" s="51"/>
      <c r="W469" s="51"/>
      <c r="X469" s="51"/>
      <c r="Y469" s="51"/>
      <c r="Z469" s="51"/>
      <c r="AA469" s="51"/>
      <c r="AB469" s="51"/>
    </row>
    <row r="470" customFormat="false" ht="15.75" hidden="false" customHeight="false" outlineLevel="0" collapsed="false">
      <c r="A470" s="51"/>
      <c r="B470" s="51"/>
      <c r="C470" s="6"/>
      <c r="D470" s="49"/>
      <c r="E470" s="51"/>
      <c r="F470" s="6"/>
      <c r="G470" s="6"/>
      <c r="H470" s="6"/>
      <c r="I470" s="6"/>
      <c r="J470" s="6"/>
      <c r="K470" s="51"/>
      <c r="L470" s="51"/>
      <c r="M470" s="51"/>
      <c r="N470" s="51"/>
      <c r="O470" s="51"/>
      <c r="P470" s="51"/>
      <c r="Q470" s="51"/>
      <c r="R470" s="51"/>
      <c r="S470" s="51"/>
      <c r="T470" s="51"/>
      <c r="U470" s="51"/>
      <c r="V470" s="51"/>
      <c r="W470" s="51"/>
      <c r="X470" s="51"/>
      <c r="Y470" s="51"/>
      <c r="Z470" s="51"/>
      <c r="AA470" s="51"/>
      <c r="AB470" s="51"/>
    </row>
    <row r="471" customFormat="false" ht="15.75" hidden="false" customHeight="false" outlineLevel="0" collapsed="false">
      <c r="A471" s="51"/>
      <c r="B471" s="51"/>
      <c r="C471" s="6"/>
      <c r="D471" s="49"/>
      <c r="E471" s="51"/>
      <c r="F471" s="6"/>
      <c r="G471" s="6"/>
      <c r="H471" s="6"/>
      <c r="I471" s="6"/>
      <c r="J471" s="6"/>
      <c r="K471" s="51"/>
      <c r="L471" s="51"/>
      <c r="M471" s="51"/>
      <c r="N471" s="51"/>
      <c r="O471" s="51"/>
      <c r="P471" s="51"/>
      <c r="Q471" s="51"/>
      <c r="R471" s="51"/>
      <c r="S471" s="51"/>
      <c r="T471" s="51"/>
      <c r="U471" s="51"/>
      <c r="V471" s="51"/>
      <c r="W471" s="51"/>
      <c r="X471" s="51"/>
      <c r="Y471" s="51"/>
      <c r="Z471" s="51"/>
      <c r="AA471" s="51"/>
      <c r="AB471" s="51"/>
    </row>
    <row r="472" customFormat="false" ht="15.75" hidden="false" customHeight="false" outlineLevel="0" collapsed="false">
      <c r="A472" s="51"/>
      <c r="B472" s="51"/>
      <c r="C472" s="6"/>
      <c r="D472" s="49"/>
      <c r="E472" s="51"/>
      <c r="F472" s="6"/>
      <c r="G472" s="6"/>
      <c r="H472" s="6"/>
      <c r="I472" s="6"/>
      <c r="J472" s="6"/>
      <c r="K472" s="51"/>
      <c r="L472" s="51"/>
      <c r="M472" s="51"/>
      <c r="N472" s="51"/>
      <c r="O472" s="51"/>
      <c r="P472" s="51"/>
      <c r="Q472" s="51"/>
      <c r="R472" s="51"/>
      <c r="S472" s="51"/>
      <c r="T472" s="51"/>
      <c r="U472" s="51"/>
      <c r="V472" s="51"/>
      <c r="W472" s="51"/>
      <c r="X472" s="51"/>
      <c r="Y472" s="51"/>
      <c r="Z472" s="51"/>
      <c r="AA472" s="51"/>
      <c r="AB472" s="51"/>
    </row>
    <row r="473" customFormat="false" ht="15.75" hidden="false" customHeight="false" outlineLevel="0" collapsed="false">
      <c r="A473" s="51"/>
      <c r="B473" s="51"/>
      <c r="C473" s="6"/>
      <c r="D473" s="49"/>
      <c r="E473" s="51"/>
      <c r="F473" s="6"/>
      <c r="G473" s="6"/>
      <c r="H473" s="6"/>
      <c r="I473" s="6"/>
      <c r="J473" s="6"/>
      <c r="K473" s="51"/>
      <c r="L473" s="51"/>
      <c r="M473" s="51"/>
      <c r="N473" s="51"/>
      <c r="O473" s="51"/>
      <c r="P473" s="51"/>
      <c r="Q473" s="51"/>
      <c r="R473" s="51"/>
      <c r="S473" s="51"/>
      <c r="T473" s="51"/>
      <c r="U473" s="51"/>
      <c r="V473" s="51"/>
      <c r="W473" s="51"/>
      <c r="X473" s="51"/>
      <c r="Y473" s="51"/>
      <c r="Z473" s="51"/>
      <c r="AA473" s="51"/>
      <c r="AB473" s="51"/>
    </row>
    <row r="474" customFormat="false" ht="15.75" hidden="false" customHeight="false" outlineLevel="0" collapsed="false">
      <c r="A474" s="51"/>
      <c r="B474" s="51"/>
      <c r="C474" s="6"/>
      <c r="D474" s="49"/>
      <c r="E474" s="51"/>
      <c r="F474" s="6"/>
      <c r="G474" s="6"/>
      <c r="H474" s="6"/>
      <c r="I474" s="6"/>
      <c r="J474" s="6"/>
      <c r="K474" s="51"/>
      <c r="L474" s="51"/>
      <c r="M474" s="51"/>
      <c r="N474" s="51"/>
      <c r="O474" s="51"/>
      <c r="P474" s="51"/>
      <c r="Q474" s="51"/>
      <c r="R474" s="51"/>
      <c r="S474" s="51"/>
      <c r="T474" s="51"/>
      <c r="U474" s="51"/>
      <c r="V474" s="51"/>
      <c r="W474" s="51"/>
      <c r="X474" s="51"/>
      <c r="Y474" s="51"/>
      <c r="Z474" s="51"/>
      <c r="AA474" s="51"/>
      <c r="AB474" s="51"/>
    </row>
    <row r="475" customFormat="false" ht="15.75" hidden="false" customHeight="false" outlineLevel="0" collapsed="false">
      <c r="A475" s="51"/>
      <c r="B475" s="51"/>
      <c r="C475" s="6"/>
      <c r="D475" s="49"/>
      <c r="E475" s="51"/>
      <c r="F475" s="6"/>
      <c r="G475" s="6"/>
      <c r="H475" s="6"/>
      <c r="I475" s="6"/>
      <c r="J475" s="6"/>
      <c r="K475" s="51"/>
      <c r="L475" s="51"/>
      <c r="M475" s="51"/>
      <c r="N475" s="51"/>
      <c r="O475" s="51"/>
      <c r="P475" s="51"/>
      <c r="Q475" s="51"/>
      <c r="R475" s="51"/>
      <c r="S475" s="51"/>
      <c r="T475" s="51"/>
      <c r="U475" s="51"/>
      <c r="V475" s="51"/>
      <c r="W475" s="51"/>
      <c r="X475" s="51"/>
      <c r="Y475" s="51"/>
      <c r="Z475" s="51"/>
      <c r="AA475" s="51"/>
      <c r="AB475" s="51"/>
    </row>
    <row r="476" customFormat="false" ht="15.75" hidden="false" customHeight="false" outlineLevel="0" collapsed="false">
      <c r="A476" s="51"/>
      <c r="B476" s="51"/>
      <c r="C476" s="6"/>
      <c r="D476" s="49"/>
      <c r="E476" s="51"/>
      <c r="F476" s="6"/>
      <c r="G476" s="6"/>
      <c r="H476" s="6"/>
      <c r="I476" s="6"/>
      <c r="J476" s="6"/>
      <c r="K476" s="51"/>
      <c r="L476" s="51"/>
      <c r="M476" s="51"/>
      <c r="N476" s="51"/>
      <c r="O476" s="51"/>
      <c r="P476" s="51"/>
      <c r="Q476" s="51"/>
      <c r="R476" s="51"/>
      <c r="S476" s="51"/>
      <c r="T476" s="51"/>
      <c r="U476" s="51"/>
      <c r="V476" s="51"/>
      <c r="W476" s="51"/>
      <c r="X476" s="51"/>
      <c r="Y476" s="51"/>
      <c r="Z476" s="51"/>
      <c r="AA476" s="51"/>
      <c r="AB476" s="51"/>
    </row>
    <row r="477" customFormat="false" ht="15.75" hidden="false" customHeight="false" outlineLevel="0" collapsed="false">
      <c r="A477" s="51"/>
      <c r="B477" s="51"/>
      <c r="C477" s="6"/>
      <c r="D477" s="49"/>
      <c r="E477" s="51"/>
      <c r="F477" s="6"/>
      <c r="G477" s="6"/>
      <c r="H477" s="6"/>
      <c r="I477" s="6"/>
      <c r="J477" s="6"/>
      <c r="K477" s="51"/>
      <c r="L477" s="51"/>
      <c r="M477" s="51"/>
      <c r="N477" s="51"/>
      <c r="O477" s="51"/>
      <c r="P477" s="51"/>
      <c r="Q477" s="51"/>
      <c r="R477" s="51"/>
      <c r="S477" s="51"/>
      <c r="T477" s="51"/>
      <c r="U477" s="51"/>
      <c r="V477" s="51"/>
      <c r="W477" s="51"/>
      <c r="X477" s="51"/>
      <c r="Y477" s="51"/>
      <c r="Z477" s="51"/>
      <c r="AA477" s="51"/>
      <c r="AB477" s="51"/>
    </row>
    <row r="478" customFormat="false" ht="15.75" hidden="false" customHeight="false" outlineLevel="0" collapsed="false">
      <c r="A478" s="51"/>
      <c r="B478" s="51"/>
      <c r="C478" s="6"/>
      <c r="D478" s="49"/>
      <c r="E478" s="51"/>
      <c r="F478" s="6"/>
      <c r="G478" s="6"/>
      <c r="H478" s="6"/>
      <c r="I478" s="6"/>
      <c r="J478" s="6"/>
      <c r="K478" s="51"/>
      <c r="L478" s="51"/>
      <c r="M478" s="51"/>
      <c r="N478" s="51"/>
      <c r="O478" s="51"/>
      <c r="P478" s="51"/>
      <c r="Q478" s="51"/>
      <c r="R478" s="51"/>
      <c r="S478" s="51"/>
      <c r="T478" s="51"/>
      <c r="U478" s="51"/>
      <c r="V478" s="51"/>
      <c r="W478" s="51"/>
      <c r="X478" s="51"/>
      <c r="Y478" s="51"/>
      <c r="Z478" s="51"/>
      <c r="AA478" s="51"/>
      <c r="AB478" s="51"/>
    </row>
    <row r="479" customFormat="false" ht="15.75" hidden="false" customHeight="false" outlineLevel="0" collapsed="false">
      <c r="A479" s="51"/>
      <c r="B479" s="51"/>
      <c r="C479" s="6"/>
      <c r="D479" s="49"/>
      <c r="E479" s="51"/>
      <c r="F479" s="6"/>
      <c r="G479" s="6"/>
      <c r="H479" s="6"/>
      <c r="I479" s="6"/>
      <c r="J479" s="6"/>
      <c r="K479" s="51"/>
      <c r="L479" s="51"/>
      <c r="M479" s="51"/>
      <c r="N479" s="51"/>
      <c r="O479" s="51"/>
      <c r="P479" s="51"/>
      <c r="Q479" s="51"/>
      <c r="R479" s="51"/>
      <c r="S479" s="51"/>
      <c r="T479" s="51"/>
      <c r="U479" s="51"/>
      <c r="V479" s="51"/>
      <c r="W479" s="51"/>
      <c r="X479" s="51"/>
      <c r="Y479" s="51"/>
      <c r="Z479" s="51"/>
      <c r="AA479" s="51"/>
      <c r="AB479" s="51"/>
    </row>
    <row r="480" customFormat="false" ht="15.75" hidden="false" customHeight="false" outlineLevel="0" collapsed="false">
      <c r="A480" s="51"/>
      <c r="B480" s="51"/>
      <c r="C480" s="6"/>
      <c r="D480" s="49"/>
      <c r="E480" s="51"/>
      <c r="F480" s="6"/>
      <c r="G480" s="6"/>
      <c r="H480" s="6"/>
      <c r="I480" s="6"/>
      <c r="J480" s="6"/>
      <c r="K480" s="51"/>
      <c r="L480" s="51"/>
      <c r="M480" s="51"/>
      <c r="N480" s="51"/>
      <c r="O480" s="51"/>
      <c r="P480" s="51"/>
      <c r="Q480" s="51"/>
      <c r="R480" s="51"/>
      <c r="S480" s="51"/>
      <c r="T480" s="51"/>
      <c r="U480" s="51"/>
      <c r="V480" s="51"/>
      <c r="W480" s="51"/>
      <c r="X480" s="51"/>
      <c r="Y480" s="51"/>
      <c r="Z480" s="51"/>
      <c r="AA480" s="51"/>
      <c r="AB480" s="51"/>
    </row>
    <row r="481" customFormat="false" ht="15.75" hidden="false" customHeight="false" outlineLevel="0" collapsed="false">
      <c r="A481" s="51"/>
      <c r="B481" s="51"/>
      <c r="C481" s="6"/>
      <c r="D481" s="49"/>
      <c r="E481" s="51"/>
      <c r="F481" s="6"/>
      <c r="G481" s="6"/>
      <c r="H481" s="6"/>
      <c r="I481" s="6"/>
      <c r="J481" s="6"/>
      <c r="K481" s="51"/>
      <c r="L481" s="51"/>
      <c r="M481" s="51"/>
      <c r="N481" s="51"/>
      <c r="O481" s="51"/>
      <c r="P481" s="51"/>
      <c r="Q481" s="51"/>
      <c r="R481" s="51"/>
      <c r="S481" s="51"/>
      <c r="T481" s="51"/>
      <c r="U481" s="51"/>
      <c r="V481" s="51"/>
      <c r="W481" s="51"/>
      <c r="X481" s="51"/>
      <c r="Y481" s="51"/>
      <c r="Z481" s="51"/>
      <c r="AA481" s="51"/>
      <c r="AB481" s="51"/>
    </row>
    <row r="482" customFormat="false" ht="15.75" hidden="false" customHeight="false" outlineLevel="0" collapsed="false">
      <c r="A482" s="51"/>
      <c r="B482" s="51"/>
      <c r="C482" s="6"/>
      <c r="D482" s="49"/>
      <c r="E482" s="51"/>
      <c r="F482" s="6"/>
      <c r="G482" s="6"/>
      <c r="H482" s="6"/>
      <c r="I482" s="6"/>
      <c r="J482" s="6"/>
      <c r="K482" s="51"/>
      <c r="L482" s="51"/>
      <c r="M482" s="51"/>
      <c r="N482" s="51"/>
      <c r="O482" s="51"/>
      <c r="P482" s="51"/>
      <c r="Q482" s="51"/>
      <c r="R482" s="51"/>
      <c r="S482" s="51"/>
      <c r="T482" s="51"/>
      <c r="U482" s="51"/>
      <c r="V482" s="51"/>
      <c r="W482" s="51"/>
      <c r="X482" s="51"/>
      <c r="Y482" s="51"/>
      <c r="Z482" s="51"/>
      <c r="AA482" s="51"/>
      <c r="AB482" s="51"/>
    </row>
    <row r="483" customFormat="false" ht="15.75" hidden="false" customHeight="false" outlineLevel="0" collapsed="false">
      <c r="A483" s="51"/>
      <c r="B483" s="51"/>
      <c r="C483" s="6"/>
      <c r="D483" s="49"/>
      <c r="E483" s="51"/>
      <c r="F483" s="6"/>
      <c r="G483" s="6"/>
      <c r="H483" s="6"/>
      <c r="I483" s="6"/>
      <c r="J483" s="6"/>
      <c r="K483" s="51"/>
      <c r="L483" s="51"/>
      <c r="M483" s="51"/>
      <c r="N483" s="51"/>
      <c r="O483" s="51"/>
      <c r="P483" s="51"/>
      <c r="Q483" s="51"/>
      <c r="R483" s="51"/>
      <c r="S483" s="51"/>
      <c r="T483" s="51"/>
      <c r="U483" s="51"/>
      <c r="V483" s="51"/>
      <c r="W483" s="51"/>
      <c r="X483" s="51"/>
      <c r="Y483" s="51"/>
      <c r="Z483" s="51"/>
      <c r="AA483" s="51"/>
      <c r="AB483" s="51"/>
    </row>
    <row r="484" customFormat="false" ht="15.75" hidden="false" customHeight="false" outlineLevel="0" collapsed="false">
      <c r="A484" s="51"/>
      <c r="B484" s="51"/>
      <c r="C484" s="6"/>
      <c r="D484" s="49"/>
      <c r="E484" s="51"/>
      <c r="F484" s="6"/>
      <c r="G484" s="6"/>
      <c r="H484" s="6"/>
      <c r="I484" s="6"/>
      <c r="J484" s="6"/>
      <c r="K484" s="51"/>
      <c r="L484" s="51"/>
      <c r="M484" s="51"/>
      <c r="N484" s="51"/>
      <c r="O484" s="51"/>
      <c r="P484" s="51"/>
      <c r="Q484" s="51"/>
      <c r="R484" s="51"/>
      <c r="S484" s="51"/>
      <c r="T484" s="51"/>
      <c r="U484" s="51"/>
      <c r="V484" s="51"/>
      <c r="W484" s="51"/>
      <c r="X484" s="51"/>
      <c r="Y484" s="51"/>
      <c r="Z484" s="51"/>
      <c r="AA484" s="51"/>
      <c r="AB484" s="51"/>
    </row>
    <row r="485" customFormat="false" ht="15.75" hidden="false" customHeight="false" outlineLevel="0" collapsed="false">
      <c r="A485" s="51"/>
      <c r="B485" s="51"/>
      <c r="C485" s="6"/>
      <c r="D485" s="49"/>
      <c r="E485" s="51"/>
      <c r="F485" s="6"/>
      <c r="G485" s="6"/>
      <c r="H485" s="6"/>
      <c r="I485" s="6"/>
      <c r="J485" s="6"/>
      <c r="K485" s="51"/>
      <c r="L485" s="51"/>
      <c r="M485" s="51"/>
      <c r="N485" s="51"/>
      <c r="O485" s="51"/>
      <c r="P485" s="51"/>
      <c r="Q485" s="51"/>
      <c r="R485" s="51"/>
      <c r="S485" s="51"/>
      <c r="T485" s="51"/>
      <c r="U485" s="51"/>
      <c r="V485" s="51"/>
      <c r="W485" s="51"/>
      <c r="X485" s="51"/>
      <c r="Y485" s="51"/>
      <c r="Z485" s="51"/>
      <c r="AA485" s="51"/>
      <c r="AB485" s="51"/>
    </row>
    <row r="486" customFormat="false" ht="15.75" hidden="false" customHeight="false" outlineLevel="0" collapsed="false">
      <c r="A486" s="51"/>
      <c r="B486" s="51"/>
      <c r="C486" s="6"/>
      <c r="D486" s="49"/>
      <c r="E486" s="51"/>
      <c r="F486" s="6"/>
      <c r="G486" s="6"/>
      <c r="H486" s="6"/>
      <c r="I486" s="6"/>
      <c r="J486" s="6"/>
      <c r="K486" s="51"/>
      <c r="L486" s="51"/>
      <c r="M486" s="51"/>
      <c r="N486" s="51"/>
      <c r="O486" s="51"/>
      <c r="P486" s="51"/>
      <c r="Q486" s="51"/>
      <c r="R486" s="51"/>
      <c r="S486" s="51"/>
      <c r="T486" s="51"/>
      <c r="U486" s="51"/>
      <c r="V486" s="51"/>
      <c r="W486" s="51"/>
      <c r="X486" s="51"/>
      <c r="Y486" s="51"/>
      <c r="Z486" s="51"/>
      <c r="AA486" s="51"/>
      <c r="AB486" s="51"/>
    </row>
    <row r="487" customFormat="false" ht="15.75" hidden="false" customHeight="false" outlineLevel="0" collapsed="false">
      <c r="A487" s="51"/>
      <c r="B487" s="51"/>
      <c r="C487" s="6"/>
      <c r="D487" s="49"/>
      <c r="E487" s="51"/>
      <c r="F487" s="6"/>
      <c r="G487" s="6"/>
      <c r="H487" s="6"/>
      <c r="I487" s="6"/>
      <c r="J487" s="6"/>
      <c r="K487" s="51"/>
      <c r="L487" s="51"/>
      <c r="M487" s="51"/>
      <c r="N487" s="51"/>
      <c r="O487" s="51"/>
      <c r="P487" s="51"/>
      <c r="Q487" s="51"/>
      <c r="R487" s="51"/>
      <c r="S487" s="51"/>
      <c r="T487" s="51"/>
      <c r="U487" s="51"/>
      <c r="V487" s="51"/>
      <c r="W487" s="51"/>
      <c r="X487" s="51"/>
      <c r="Y487" s="51"/>
      <c r="Z487" s="51"/>
      <c r="AA487" s="51"/>
      <c r="AB487" s="51"/>
    </row>
    <row r="488" customFormat="false" ht="15.75" hidden="false" customHeight="false" outlineLevel="0" collapsed="false">
      <c r="A488" s="51"/>
      <c r="B488" s="51"/>
      <c r="C488" s="6"/>
      <c r="D488" s="49"/>
      <c r="E488" s="51"/>
      <c r="F488" s="6"/>
      <c r="G488" s="6"/>
      <c r="H488" s="6"/>
      <c r="I488" s="6"/>
      <c r="J488" s="6"/>
      <c r="K488" s="51"/>
      <c r="L488" s="51"/>
      <c r="M488" s="51"/>
      <c r="N488" s="51"/>
      <c r="O488" s="51"/>
      <c r="P488" s="51"/>
      <c r="Q488" s="51"/>
      <c r="R488" s="51"/>
      <c r="S488" s="51"/>
      <c r="T488" s="51"/>
      <c r="U488" s="51"/>
      <c r="V488" s="51"/>
      <c r="W488" s="51"/>
      <c r="X488" s="51"/>
      <c r="Y488" s="51"/>
      <c r="Z488" s="51"/>
      <c r="AA488" s="51"/>
      <c r="AB488" s="51"/>
    </row>
    <row r="489" customFormat="false" ht="15.75" hidden="false" customHeight="false" outlineLevel="0" collapsed="false">
      <c r="A489" s="51"/>
      <c r="B489" s="51"/>
      <c r="C489" s="6"/>
      <c r="D489" s="49"/>
      <c r="E489" s="51"/>
      <c r="F489" s="6"/>
      <c r="G489" s="6"/>
      <c r="H489" s="6"/>
      <c r="I489" s="6"/>
      <c r="J489" s="6"/>
      <c r="K489" s="51"/>
      <c r="L489" s="51"/>
      <c r="M489" s="51"/>
      <c r="N489" s="51"/>
      <c r="O489" s="51"/>
      <c r="P489" s="51"/>
      <c r="Q489" s="51"/>
      <c r="R489" s="51"/>
      <c r="S489" s="51"/>
      <c r="T489" s="51"/>
      <c r="U489" s="51"/>
      <c r="V489" s="51"/>
      <c r="W489" s="51"/>
      <c r="X489" s="51"/>
      <c r="Y489" s="51"/>
      <c r="Z489" s="51"/>
      <c r="AA489" s="51"/>
      <c r="AB489" s="51"/>
    </row>
    <row r="490" customFormat="false" ht="15.75" hidden="false" customHeight="false" outlineLevel="0" collapsed="false">
      <c r="A490" s="51"/>
      <c r="B490" s="51"/>
      <c r="C490" s="6"/>
      <c r="D490" s="49"/>
      <c r="E490" s="51"/>
      <c r="F490" s="6"/>
      <c r="G490" s="6"/>
      <c r="H490" s="6"/>
      <c r="I490" s="6"/>
      <c r="J490" s="6"/>
      <c r="K490" s="51"/>
      <c r="L490" s="51"/>
      <c r="M490" s="51"/>
      <c r="N490" s="51"/>
      <c r="O490" s="51"/>
      <c r="P490" s="51"/>
      <c r="Q490" s="51"/>
      <c r="R490" s="51"/>
      <c r="S490" s="51"/>
      <c r="T490" s="51"/>
      <c r="U490" s="51"/>
      <c r="V490" s="51"/>
      <c r="W490" s="51"/>
      <c r="X490" s="51"/>
      <c r="Y490" s="51"/>
      <c r="Z490" s="51"/>
      <c r="AA490" s="51"/>
      <c r="AB490" s="51"/>
    </row>
    <row r="491" customFormat="false" ht="15.75" hidden="false" customHeight="false" outlineLevel="0" collapsed="false">
      <c r="A491" s="51"/>
      <c r="B491" s="51"/>
      <c r="C491" s="6"/>
      <c r="D491" s="49"/>
      <c r="E491" s="51"/>
      <c r="F491" s="6"/>
      <c r="G491" s="6"/>
      <c r="H491" s="6"/>
      <c r="I491" s="6"/>
      <c r="J491" s="6"/>
      <c r="K491" s="51"/>
      <c r="L491" s="51"/>
      <c r="M491" s="51"/>
      <c r="N491" s="51"/>
      <c r="O491" s="51"/>
      <c r="P491" s="51"/>
      <c r="Q491" s="51"/>
      <c r="R491" s="51"/>
      <c r="S491" s="51"/>
      <c r="T491" s="51"/>
      <c r="U491" s="51"/>
      <c r="V491" s="51"/>
      <c r="W491" s="51"/>
      <c r="X491" s="51"/>
      <c r="Y491" s="51"/>
      <c r="Z491" s="51"/>
      <c r="AA491" s="51"/>
      <c r="AB491" s="51"/>
    </row>
    <row r="492" customFormat="false" ht="15.75" hidden="false" customHeight="false" outlineLevel="0" collapsed="false">
      <c r="A492" s="51"/>
      <c r="B492" s="51"/>
      <c r="C492" s="6"/>
      <c r="D492" s="49"/>
      <c r="E492" s="51"/>
      <c r="F492" s="6"/>
      <c r="G492" s="6"/>
      <c r="H492" s="6"/>
      <c r="I492" s="6"/>
      <c r="J492" s="6"/>
      <c r="K492" s="51"/>
      <c r="L492" s="51"/>
      <c r="M492" s="51"/>
      <c r="N492" s="51"/>
      <c r="O492" s="51"/>
      <c r="P492" s="51"/>
      <c r="Q492" s="51"/>
      <c r="R492" s="51"/>
      <c r="S492" s="51"/>
      <c r="T492" s="51"/>
      <c r="U492" s="51"/>
      <c r="V492" s="51"/>
      <c r="W492" s="51"/>
      <c r="X492" s="51"/>
      <c r="Y492" s="51"/>
      <c r="Z492" s="51"/>
      <c r="AA492" s="51"/>
      <c r="AB492" s="51"/>
    </row>
    <row r="493" customFormat="false" ht="15.75" hidden="false" customHeight="false" outlineLevel="0" collapsed="false">
      <c r="A493" s="51"/>
      <c r="B493" s="51"/>
      <c r="C493" s="6"/>
      <c r="D493" s="49"/>
      <c r="E493" s="51"/>
      <c r="F493" s="6"/>
      <c r="G493" s="6"/>
      <c r="H493" s="6"/>
      <c r="I493" s="6"/>
      <c r="J493" s="6"/>
      <c r="K493" s="51"/>
      <c r="L493" s="51"/>
      <c r="M493" s="51"/>
      <c r="N493" s="51"/>
      <c r="O493" s="51"/>
      <c r="P493" s="51"/>
      <c r="Q493" s="51"/>
      <c r="R493" s="51"/>
      <c r="S493" s="51"/>
      <c r="T493" s="51"/>
      <c r="U493" s="51"/>
      <c r="V493" s="51"/>
      <c r="W493" s="51"/>
      <c r="X493" s="51"/>
      <c r="Y493" s="51"/>
      <c r="Z493" s="51"/>
      <c r="AA493" s="51"/>
      <c r="AB493" s="51"/>
    </row>
    <row r="494" customFormat="false" ht="15.75" hidden="false" customHeight="false" outlineLevel="0" collapsed="false">
      <c r="A494" s="51"/>
      <c r="B494" s="51"/>
      <c r="C494" s="6"/>
      <c r="D494" s="49"/>
      <c r="E494" s="51"/>
      <c r="F494" s="6"/>
      <c r="G494" s="6"/>
      <c r="H494" s="6"/>
      <c r="I494" s="6"/>
      <c r="J494" s="6"/>
      <c r="K494" s="51"/>
      <c r="L494" s="51"/>
      <c r="M494" s="51"/>
      <c r="N494" s="51"/>
      <c r="O494" s="51"/>
      <c r="P494" s="51"/>
      <c r="Q494" s="51"/>
      <c r="R494" s="51"/>
      <c r="S494" s="51"/>
      <c r="T494" s="51"/>
      <c r="U494" s="51"/>
      <c r="V494" s="51"/>
      <c r="W494" s="51"/>
      <c r="X494" s="51"/>
      <c r="Y494" s="51"/>
      <c r="Z494" s="51"/>
      <c r="AA494" s="51"/>
      <c r="AB494" s="51"/>
    </row>
    <row r="495" customFormat="false" ht="15.75" hidden="false" customHeight="false" outlineLevel="0" collapsed="false">
      <c r="A495" s="51"/>
      <c r="B495" s="51"/>
      <c r="C495" s="6"/>
      <c r="D495" s="49"/>
      <c r="E495" s="51"/>
      <c r="F495" s="6"/>
      <c r="G495" s="6"/>
      <c r="H495" s="6"/>
      <c r="I495" s="6"/>
      <c r="J495" s="6"/>
      <c r="K495" s="51"/>
      <c r="L495" s="51"/>
      <c r="M495" s="51"/>
      <c r="N495" s="51"/>
      <c r="O495" s="51"/>
      <c r="P495" s="51"/>
      <c r="Q495" s="51"/>
      <c r="R495" s="51"/>
      <c r="S495" s="51"/>
      <c r="T495" s="51"/>
      <c r="U495" s="51"/>
      <c r="V495" s="51"/>
      <c r="W495" s="51"/>
      <c r="X495" s="51"/>
      <c r="Y495" s="51"/>
      <c r="Z495" s="51"/>
      <c r="AA495" s="51"/>
      <c r="AB495" s="51"/>
    </row>
    <row r="496" customFormat="false" ht="15.75" hidden="false" customHeight="false" outlineLevel="0" collapsed="false">
      <c r="A496" s="51"/>
      <c r="B496" s="51"/>
      <c r="C496" s="6"/>
      <c r="D496" s="49"/>
      <c r="E496" s="51"/>
      <c r="F496" s="6"/>
      <c r="G496" s="6"/>
      <c r="H496" s="6"/>
      <c r="I496" s="6"/>
      <c r="J496" s="6"/>
      <c r="K496" s="51"/>
      <c r="L496" s="51"/>
      <c r="M496" s="51"/>
      <c r="N496" s="51"/>
      <c r="O496" s="51"/>
      <c r="P496" s="51"/>
      <c r="Q496" s="51"/>
      <c r="R496" s="51"/>
      <c r="S496" s="51"/>
      <c r="T496" s="51"/>
      <c r="U496" s="51"/>
      <c r="V496" s="51"/>
      <c r="W496" s="51"/>
      <c r="X496" s="51"/>
      <c r="Y496" s="51"/>
      <c r="Z496" s="51"/>
      <c r="AA496" s="51"/>
      <c r="AB496" s="51"/>
    </row>
    <row r="497" customFormat="false" ht="15.75" hidden="false" customHeight="false" outlineLevel="0" collapsed="false">
      <c r="A497" s="51"/>
      <c r="B497" s="51"/>
      <c r="C497" s="6"/>
      <c r="D497" s="49"/>
      <c r="E497" s="51"/>
      <c r="F497" s="6"/>
      <c r="G497" s="6"/>
      <c r="H497" s="6"/>
      <c r="I497" s="6"/>
      <c r="J497" s="6"/>
      <c r="K497" s="51"/>
      <c r="L497" s="51"/>
      <c r="M497" s="51"/>
      <c r="N497" s="51"/>
      <c r="O497" s="51"/>
      <c r="P497" s="51"/>
      <c r="Q497" s="51"/>
      <c r="R497" s="51"/>
      <c r="S497" s="51"/>
      <c r="T497" s="51"/>
      <c r="U497" s="51"/>
      <c r="V497" s="51"/>
      <c r="W497" s="51"/>
      <c r="X497" s="51"/>
      <c r="Y497" s="51"/>
      <c r="Z497" s="51"/>
      <c r="AA497" s="51"/>
      <c r="AB497" s="51"/>
    </row>
    <row r="498" customFormat="false" ht="15.75" hidden="false" customHeight="false" outlineLevel="0" collapsed="false">
      <c r="A498" s="51"/>
      <c r="B498" s="51"/>
      <c r="C498" s="6"/>
      <c r="D498" s="49"/>
      <c r="E498" s="51"/>
      <c r="F498" s="6"/>
      <c r="G498" s="6"/>
      <c r="H498" s="6"/>
      <c r="I498" s="6"/>
      <c r="J498" s="6"/>
      <c r="K498" s="51"/>
      <c r="L498" s="51"/>
      <c r="M498" s="51"/>
      <c r="N498" s="51"/>
      <c r="O498" s="51"/>
      <c r="P498" s="51"/>
      <c r="Q498" s="51"/>
      <c r="R498" s="51"/>
      <c r="S498" s="51"/>
      <c r="T498" s="51"/>
      <c r="U498" s="51"/>
      <c r="V498" s="51"/>
      <c r="W498" s="51"/>
      <c r="X498" s="51"/>
      <c r="Y498" s="51"/>
      <c r="Z498" s="51"/>
      <c r="AA498" s="51"/>
      <c r="AB498" s="51"/>
    </row>
    <row r="499" customFormat="false" ht="15.75" hidden="false" customHeight="false" outlineLevel="0" collapsed="false">
      <c r="A499" s="51"/>
      <c r="B499" s="51"/>
      <c r="C499" s="6"/>
      <c r="D499" s="49"/>
      <c r="E499" s="51"/>
      <c r="F499" s="6"/>
      <c r="G499" s="6"/>
      <c r="H499" s="6"/>
      <c r="I499" s="6"/>
      <c r="J499" s="6"/>
      <c r="K499" s="51"/>
      <c r="L499" s="51"/>
      <c r="M499" s="51"/>
      <c r="N499" s="51"/>
      <c r="O499" s="51"/>
      <c r="P499" s="51"/>
      <c r="Q499" s="51"/>
      <c r="R499" s="51"/>
      <c r="S499" s="51"/>
      <c r="T499" s="51"/>
      <c r="U499" s="51"/>
      <c r="V499" s="51"/>
      <c r="W499" s="51"/>
      <c r="X499" s="51"/>
      <c r="Y499" s="51"/>
      <c r="Z499" s="51"/>
      <c r="AA499" s="51"/>
      <c r="AB499" s="51"/>
    </row>
    <row r="500" customFormat="false" ht="15.75" hidden="false" customHeight="false" outlineLevel="0" collapsed="false">
      <c r="A500" s="51"/>
      <c r="B500" s="51"/>
      <c r="C500" s="6"/>
      <c r="D500" s="49"/>
      <c r="E500" s="51"/>
      <c r="F500" s="6"/>
      <c r="G500" s="6"/>
      <c r="H500" s="6"/>
      <c r="I500" s="6"/>
      <c r="J500" s="6"/>
      <c r="K500" s="51"/>
      <c r="L500" s="51"/>
      <c r="M500" s="51"/>
      <c r="N500" s="51"/>
      <c r="O500" s="51"/>
      <c r="P500" s="51"/>
      <c r="Q500" s="51"/>
      <c r="R500" s="51"/>
      <c r="S500" s="51"/>
      <c r="T500" s="51"/>
      <c r="U500" s="51"/>
      <c r="V500" s="51"/>
      <c r="W500" s="51"/>
      <c r="X500" s="51"/>
      <c r="Y500" s="51"/>
      <c r="Z500" s="51"/>
      <c r="AA500" s="51"/>
      <c r="AB500" s="51"/>
    </row>
    <row r="501" customFormat="false" ht="15.75" hidden="false" customHeight="false" outlineLevel="0" collapsed="false">
      <c r="A501" s="51"/>
      <c r="B501" s="51"/>
      <c r="C501" s="6"/>
      <c r="D501" s="49"/>
      <c r="E501" s="51"/>
      <c r="F501" s="6"/>
      <c r="G501" s="6"/>
      <c r="H501" s="6"/>
      <c r="I501" s="6"/>
      <c r="J501" s="6"/>
      <c r="K501" s="51"/>
      <c r="L501" s="51"/>
      <c r="M501" s="51"/>
      <c r="N501" s="51"/>
      <c r="O501" s="51"/>
      <c r="P501" s="51"/>
      <c r="Q501" s="51"/>
      <c r="R501" s="51"/>
      <c r="S501" s="51"/>
      <c r="T501" s="51"/>
      <c r="U501" s="51"/>
      <c r="V501" s="51"/>
      <c r="W501" s="51"/>
      <c r="X501" s="51"/>
      <c r="Y501" s="51"/>
      <c r="Z501" s="51"/>
      <c r="AA501" s="51"/>
      <c r="AB501" s="51"/>
    </row>
    <row r="502" customFormat="false" ht="15.75" hidden="false" customHeight="false" outlineLevel="0" collapsed="false">
      <c r="A502" s="51"/>
      <c r="B502" s="51"/>
      <c r="C502" s="6"/>
      <c r="D502" s="49"/>
      <c r="E502" s="51"/>
      <c r="F502" s="6"/>
      <c r="G502" s="6"/>
      <c r="H502" s="6"/>
      <c r="I502" s="6"/>
      <c r="J502" s="6"/>
      <c r="K502" s="51"/>
      <c r="L502" s="51"/>
      <c r="M502" s="51"/>
      <c r="N502" s="51"/>
      <c r="O502" s="51"/>
      <c r="P502" s="51"/>
      <c r="Q502" s="51"/>
      <c r="R502" s="51"/>
      <c r="S502" s="51"/>
      <c r="T502" s="51"/>
      <c r="U502" s="51"/>
      <c r="V502" s="51"/>
      <c r="W502" s="51"/>
      <c r="X502" s="51"/>
      <c r="Y502" s="51"/>
      <c r="Z502" s="51"/>
      <c r="AA502" s="51"/>
      <c r="AB502" s="51"/>
    </row>
    <row r="503" customFormat="false" ht="15.75" hidden="false" customHeight="false" outlineLevel="0" collapsed="false">
      <c r="A503" s="51"/>
      <c r="B503" s="51"/>
      <c r="C503" s="6"/>
      <c r="D503" s="49"/>
      <c r="E503" s="51"/>
      <c r="F503" s="6"/>
      <c r="G503" s="6"/>
      <c r="H503" s="6"/>
      <c r="I503" s="6"/>
      <c r="J503" s="6"/>
      <c r="K503" s="51"/>
      <c r="L503" s="51"/>
      <c r="M503" s="51"/>
      <c r="N503" s="51"/>
      <c r="O503" s="51"/>
      <c r="P503" s="51"/>
      <c r="Q503" s="51"/>
      <c r="R503" s="51"/>
      <c r="S503" s="51"/>
      <c r="T503" s="51"/>
      <c r="U503" s="51"/>
      <c r="V503" s="51"/>
      <c r="W503" s="51"/>
      <c r="X503" s="51"/>
      <c r="Y503" s="51"/>
      <c r="Z503" s="51"/>
      <c r="AA503" s="51"/>
      <c r="AB503" s="51"/>
    </row>
    <row r="504" customFormat="false" ht="15.75" hidden="false" customHeight="false" outlineLevel="0" collapsed="false">
      <c r="A504" s="51"/>
      <c r="B504" s="51"/>
      <c r="C504" s="6"/>
      <c r="D504" s="49"/>
      <c r="E504" s="51"/>
      <c r="F504" s="6"/>
      <c r="G504" s="6"/>
      <c r="H504" s="6"/>
      <c r="I504" s="6"/>
      <c r="J504" s="6"/>
      <c r="K504" s="51"/>
      <c r="L504" s="51"/>
      <c r="M504" s="51"/>
      <c r="N504" s="51"/>
      <c r="O504" s="51"/>
      <c r="P504" s="51"/>
      <c r="Q504" s="51"/>
      <c r="R504" s="51"/>
      <c r="S504" s="51"/>
      <c r="T504" s="51"/>
      <c r="U504" s="51"/>
      <c r="V504" s="51"/>
      <c r="W504" s="51"/>
      <c r="X504" s="51"/>
      <c r="Y504" s="51"/>
      <c r="Z504" s="51"/>
      <c r="AA504" s="51"/>
      <c r="AB504" s="51"/>
    </row>
    <row r="505" customFormat="false" ht="15.75" hidden="false" customHeight="false" outlineLevel="0" collapsed="false">
      <c r="A505" s="51"/>
      <c r="B505" s="51"/>
      <c r="C505" s="6"/>
      <c r="D505" s="49"/>
      <c r="E505" s="51"/>
      <c r="F505" s="6"/>
      <c r="G505" s="6"/>
      <c r="H505" s="6"/>
      <c r="I505" s="6"/>
      <c r="J505" s="6"/>
      <c r="K505" s="51"/>
      <c r="L505" s="51"/>
      <c r="M505" s="51"/>
      <c r="N505" s="51"/>
      <c r="O505" s="51"/>
      <c r="P505" s="51"/>
      <c r="Q505" s="51"/>
      <c r="R505" s="51"/>
      <c r="S505" s="51"/>
      <c r="T505" s="51"/>
      <c r="U505" s="51"/>
      <c r="V505" s="51"/>
      <c r="W505" s="51"/>
      <c r="X505" s="51"/>
      <c r="Y505" s="51"/>
      <c r="Z505" s="51"/>
      <c r="AA505" s="51"/>
      <c r="AB505" s="51"/>
    </row>
    <row r="506" customFormat="false" ht="15.75" hidden="false" customHeight="false" outlineLevel="0" collapsed="false">
      <c r="A506" s="51"/>
      <c r="B506" s="51"/>
      <c r="C506" s="6"/>
      <c r="D506" s="49"/>
      <c r="E506" s="51"/>
      <c r="F506" s="6"/>
      <c r="G506" s="6"/>
      <c r="H506" s="6"/>
      <c r="I506" s="6"/>
      <c r="J506" s="6"/>
      <c r="K506" s="51"/>
      <c r="L506" s="51"/>
      <c r="M506" s="51"/>
      <c r="N506" s="51"/>
      <c r="O506" s="51"/>
      <c r="P506" s="51"/>
      <c r="Q506" s="51"/>
      <c r="R506" s="51"/>
      <c r="S506" s="51"/>
      <c r="T506" s="51"/>
      <c r="U506" s="51"/>
      <c r="V506" s="51"/>
      <c r="W506" s="51"/>
      <c r="X506" s="51"/>
      <c r="Y506" s="51"/>
      <c r="Z506" s="51"/>
      <c r="AA506" s="51"/>
      <c r="AB506" s="51"/>
    </row>
    <row r="507" customFormat="false" ht="15.75" hidden="false" customHeight="false" outlineLevel="0" collapsed="false">
      <c r="A507" s="51"/>
      <c r="B507" s="51"/>
      <c r="C507" s="6"/>
      <c r="D507" s="49"/>
      <c r="E507" s="51"/>
      <c r="F507" s="6"/>
      <c r="G507" s="6"/>
      <c r="H507" s="6"/>
      <c r="I507" s="6"/>
      <c r="J507" s="6"/>
      <c r="K507" s="51"/>
      <c r="L507" s="51"/>
      <c r="M507" s="51"/>
      <c r="N507" s="51"/>
      <c r="O507" s="51"/>
      <c r="P507" s="51"/>
      <c r="Q507" s="51"/>
      <c r="R507" s="51"/>
      <c r="S507" s="51"/>
      <c r="T507" s="51"/>
      <c r="U507" s="51"/>
      <c r="V507" s="51"/>
      <c r="W507" s="51"/>
      <c r="X507" s="51"/>
      <c r="Y507" s="51"/>
      <c r="Z507" s="51"/>
      <c r="AA507" s="51"/>
      <c r="AB507" s="51"/>
    </row>
    <row r="508" customFormat="false" ht="15.75" hidden="false" customHeight="false" outlineLevel="0" collapsed="false">
      <c r="A508" s="51"/>
      <c r="B508" s="51"/>
      <c r="C508" s="6"/>
      <c r="D508" s="49"/>
      <c r="E508" s="51"/>
      <c r="F508" s="6"/>
      <c r="G508" s="6"/>
      <c r="H508" s="6"/>
      <c r="I508" s="6"/>
      <c r="J508" s="6"/>
      <c r="K508" s="51"/>
      <c r="L508" s="51"/>
      <c r="M508" s="51"/>
      <c r="N508" s="51"/>
      <c r="O508" s="51"/>
      <c r="P508" s="51"/>
      <c r="Q508" s="51"/>
      <c r="R508" s="51"/>
      <c r="S508" s="51"/>
      <c r="T508" s="51"/>
      <c r="U508" s="51"/>
      <c r="V508" s="51"/>
      <c r="W508" s="51"/>
      <c r="X508" s="51"/>
      <c r="Y508" s="51"/>
      <c r="Z508" s="51"/>
      <c r="AA508" s="51"/>
      <c r="AB508" s="51"/>
    </row>
    <row r="509" customFormat="false" ht="15.75" hidden="false" customHeight="false" outlineLevel="0" collapsed="false">
      <c r="A509" s="51"/>
      <c r="B509" s="51"/>
      <c r="C509" s="6"/>
      <c r="D509" s="49"/>
      <c r="E509" s="51"/>
      <c r="F509" s="6"/>
      <c r="G509" s="6"/>
      <c r="H509" s="6"/>
      <c r="I509" s="6"/>
      <c r="J509" s="6"/>
      <c r="K509" s="51"/>
      <c r="L509" s="51"/>
      <c r="M509" s="51"/>
      <c r="N509" s="51"/>
      <c r="O509" s="51"/>
      <c r="P509" s="51"/>
      <c r="Q509" s="51"/>
      <c r="R509" s="51"/>
      <c r="S509" s="51"/>
      <c r="T509" s="51"/>
      <c r="U509" s="51"/>
      <c r="V509" s="51"/>
      <c r="W509" s="51"/>
      <c r="X509" s="51"/>
      <c r="Y509" s="51"/>
      <c r="Z509" s="51"/>
      <c r="AA509" s="51"/>
      <c r="AB509" s="51"/>
    </row>
    <row r="510" customFormat="false" ht="15.75" hidden="false" customHeight="false" outlineLevel="0" collapsed="false">
      <c r="A510" s="51"/>
      <c r="B510" s="51"/>
      <c r="C510" s="6"/>
      <c r="D510" s="49"/>
      <c r="E510" s="51"/>
      <c r="F510" s="6"/>
      <c r="G510" s="6"/>
      <c r="H510" s="6"/>
      <c r="I510" s="6"/>
      <c r="J510" s="6"/>
      <c r="K510" s="51"/>
      <c r="L510" s="51"/>
      <c r="M510" s="51"/>
      <c r="N510" s="51"/>
      <c r="O510" s="51"/>
      <c r="P510" s="51"/>
      <c r="Q510" s="51"/>
      <c r="R510" s="51"/>
      <c r="S510" s="51"/>
      <c r="T510" s="51"/>
      <c r="U510" s="51"/>
      <c r="V510" s="51"/>
      <c r="W510" s="51"/>
      <c r="X510" s="51"/>
      <c r="Y510" s="51"/>
      <c r="Z510" s="51"/>
      <c r="AA510" s="51"/>
      <c r="AB510" s="51"/>
    </row>
    <row r="511" customFormat="false" ht="15.75" hidden="false" customHeight="false" outlineLevel="0" collapsed="false">
      <c r="A511" s="51"/>
      <c r="B511" s="51"/>
      <c r="C511" s="6"/>
      <c r="D511" s="49"/>
      <c r="E511" s="51"/>
      <c r="F511" s="6"/>
      <c r="G511" s="6"/>
      <c r="H511" s="6"/>
      <c r="I511" s="6"/>
      <c r="J511" s="6"/>
      <c r="K511" s="51"/>
      <c r="L511" s="51"/>
      <c r="M511" s="51"/>
      <c r="N511" s="51"/>
      <c r="O511" s="51"/>
      <c r="P511" s="51"/>
      <c r="Q511" s="51"/>
      <c r="R511" s="51"/>
      <c r="S511" s="51"/>
      <c r="T511" s="51"/>
      <c r="U511" s="51"/>
      <c r="V511" s="51"/>
      <c r="W511" s="51"/>
      <c r="X511" s="51"/>
      <c r="Y511" s="51"/>
      <c r="Z511" s="51"/>
      <c r="AA511" s="51"/>
      <c r="AB511" s="51"/>
    </row>
    <row r="512" customFormat="false" ht="15.75" hidden="false" customHeight="false" outlineLevel="0" collapsed="false">
      <c r="A512" s="51"/>
      <c r="B512" s="51"/>
      <c r="C512" s="6"/>
      <c r="D512" s="49"/>
      <c r="E512" s="51"/>
      <c r="F512" s="6"/>
      <c r="G512" s="6"/>
      <c r="H512" s="6"/>
      <c r="I512" s="6"/>
      <c r="J512" s="6"/>
      <c r="K512" s="51"/>
      <c r="L512" s="51"/>
      <c r="M512" s="51"/>
      <c r="N512" s="51"/>
      <c r="O512" s="51"/>
      <c r="P512" s="51"/>
      <c r="Q512" s="51"/>
      <c r="R512" s="51"/>
      <c r="S512" s="51"/>
      <c r="T512" s="51"/>
      <c r="U512" s="51"/>
      <c r="V512" s="51"/>
      <c r="W512" s="51"/>
      <c r="X512" s="51"/>
      <c r="Y512" s="51"/>
      <c r="Z512" s="51"/>
      <c r="AA512" s="51"/>
      <c r="AB512" s="51"/>
    </row>
    <row r="513" customFormat="false" ht="15.75" hidden="false" customHeight="false" outlineLevel="0" collapsed="false">
      <c r="A513" s="51"/>
      <c r="B513" s="51"/>
      <c r="C513" s="6"/>
      <c r="D513" s="49"/>
      <c r="E513" s="51"/>
      <c r="F513" s="6"/>
      <c r="G513" s="6"/>
      <c r="H513" s="6"/>
      <c r="I513" s="6"/>
      <c r="J513" s="6"/>
      <c r="K513" s="51"/>
      <c r="L513" s="51"/>
      <c r="M513" s="51"/>
      <c r="N513" s="51"/>
      <c r="O513" s="51"/>
      <c r="P513" s="51"/>
      <c r="Q513" s="51"/>
      <c r="R513" s="51"/>
      <c r="S513" s="51"/>
      <c r="T513" s="51"/>
      <c r="U513" s="51"/>
      <c r="V513" s="51"/>
      <c r="W513" s="51"/>
      <c r="X513" s="51"/>
      <c r="Y513" s="51"/>
      <c r="Z513" s="51"/>
      <c r="AA513" s="51"/>
      <c r="AB513" s="51"/>
    </row>
    <row r="514" customFormat="false" ht="15.75" hidden="false" customHeight="false" outlineLevel="0" collapsed="false">
      <c r="A514" s="51"/>
      <c r="B514" s="51"/>
      <c r="C514" s="6"/>
      <c r="D514" s="49"/>
      <c r="E514" s="51"/>
      <c r="F514" s="6"/>
      <c r="G514" s="6"/>
      <c r="H514" s="6"/>
      <c r="I514" s="6"/>
      <c r="J514" s="6"/>
      <c r="K514" s="51"/>
      <c r="L514" s="51"/>
      <c r="M514" s="51"/>
      <c r="N514" s="51"/>
      <c r="O514" s="51"/>
      <c r="P514" s="51"/>
      <c r="Q514" s="51"/>
      <c r="R514" s="51"/>
      <c r="S514" s="51"/>
      <c r="T514" s="51"/>
      <c r="U514" s="51"/>
      <c r="V514" s="51"/>
      <c r="W514" s="51"/>
      <c r="X514" s="51"/>
      <c r="Y514" s="51"/>
      <c r="Z514" s="51"/>
      <c r="AA514" s="51"/>
      <c r="AB514" s="51"/>
    </row>
    <row r="515" customFormat="false" ht="15.75" hidden="false" customHeight="false" outlineLevel="0" collapsed="false">
      <c r="A515" s="51"/>
      <c r="B515" s="51"/>
      <c r="C515" s="6"/>
      <c r="D515" s="49"/>
      <c r="E515" s="51"/>
      <c r="F515" s="6"/>
      <c r="G515" s="6"/>
      <c r="H515" s="6"/>
      <c r="I515" s="6"/>
      <c r="J515" s="6"/>
      <c r="K515" s="51"/>
      <c r="L515" s="51"/>
      <c r="M515" s="51"/>
      <c r="N515" s="51"/>
      <c r="O515" s="51"/>
      <c r="P515" s="51"/>
      <c r="Q515" s="51"/>
      <c r="R515" s="51"/>
      <c r="S515" s="51"/>
      <c r="T515" s="51"/>
      <c r="U515" s="51"/>
      <c r="V515" s="51"/>
      <c r="W515" s="51"/>
      <c r="X515" s="51"/>
      <c r="Y515" s="51"/>
      <c r="Z515" s="51"/>
      <c r="AA515" s="51"/>
      <c r="AB515" s="51"/>
    </row>
    <row r="516" customFormat="false" ht="15.75" hidden="false" customHeight="false" outlineLevel="0" collapsed="false">
      <c r="A516" s="51"/>
      <c r="B516" s="51"/>
      <c r="C516" s="6"/>
      <c r="D516" s="49"/>
      <c r="E516" s="51"/>
      <c r="F516" s="6"/>
      <c r="G516" s="6"/>
      <c r="H516" s="6"/>
      <c r="I516" s="6"/>
      <c r="J516" s="6"/>
      <c r="K516" s="51"/>
      <c r="L516" s="51"/>
      <c r="M516" s="51"/>
      <c r="N516" s="51"/>
      <c r="O516" s="51"/>
      <c r="P516" s="51"/>
      <c r="Q516" s="51"/>
      <c r="R516" s="51"/>
      <c r="S516" s="51"/>
      <c r="T516" s="51"/>
      <c r="U516" s="51"/>
      <c r="V516" s="51"/>
      <c r="W516" s="51"/>
      <c r="X516" s="51"/>
      <c r="Y516" s="51"/>
      <c r="Z516" s="51"/>
      <c r="AA516" s="51"/>
      <c r="AB516" s="51"/>
    </row>
    <row r="517" customFormat="false" ht="15.75" hidden="false" customHeight="false" outlineLevel="0" collapsed="false">
      <c r="A517" s="51"/>
      <c r="B517" s="51"/>
      <c r="C517" s="6"/>
      <c r="D517" s="49"/>
      <c r="E517" s="51"/>
      <c r="F517" s="6"/>
      <c r="G517" s="6"/>
      <c r="H517" s="6"/>
      <c r="I517" s="6"/>
      <c r="J517" s="6"/>
      <c r="K517" s="51"/>
      <c r="L517" s="51"/>
      <c r="M517" s="51"/>
      <c r="N517" s="51"/>
      <c r="O517" s="51"/>
      <c r="P517" s="51"/>
      <c r="Q517" s="51"/>
      <c r="R517" s="51"/>
      <c r="S517" s="51"/>
      <c r="T517" s="51"/>
      <c r="U517" s="51"/>
      <c r="V517" s="51"/>
      <c r="W517" s="51"/>
      <c r="X517" s="51"/>
      <c r="Y517" s="51"/>
      <c r="Z517" s="51"/>
      <c r="AA517" s="51"/>
      <c r="AB517" s="51"/>
    </row>
    <row r="518" customFormat="false" ht="15.75" hidden="false" customHeight="false" outlineLevel="0" collapsed="false">
      <c r="A518" s="51"/>
      <c r="B518" s="51"/>
      <c r="C518" s="6"/>
      <c r="D518" s="49"/>
      <c r="E518" s="51"/>
      <c r="F518" s="6"/>
      <c r="G518" s="6"/>
      <c r="H518" s="6"/>
      <c r="I518" s="6"/>
      <c r="J518" s="6"/>
      <c r="K518" s="51"/>
      <c r="L518" s="51"/>
      <c r="M518" s="51"/>
      <c r="N518" s="51"/>
      <c r="O518" s="51"/>
      <c r="P518" s="51"/>
      <c r="Q518" s="51"/>
      <c r="R518" s="51"/>
      <c r="S518" s="51"/>
      <c r="T518" s="51"/>
      <c r="U518" s="51"/>
      <c r="V518" s="51"/>
      <c r="W518" s="51"/>
      <c r="X518" s="51"/>
      <c r="Y518" s="51"/>
      <c r="Z518" s="51"/>
      <c r="AA518" s="51"/>
      <c r="AB518" s="51"/>
    </row>
    <row r="519" customFormat="false" ht="15.75" hidden="false" customHeight="false" outlineLevel="0" collapsed="false">
      <c r="A519" s="51"/>
      <c r="B519" s="51"/>
      <c r="C519" s="6"/>
      <c r="D519" s="49"/>
      <c r="E519" s="51"/>
      <c r="F519" s="6"/>
      <c r="G519" s="6"/>
      <c r="H519" s="6"/>
      <c r="I519" s="6"/>
      <c r="J519" s="6"/>
      <c r="K519" s="51"/>
      <c r="L519" s="51"/>
      <c r="M519" s="51"/>
      <c r="N519" s="51"/>
      <c r="O519" s="51"/>
      <c r="P519" s="51"/>
      <c r="Q519" s="51"/>
      <c r="R519" s="51"/>
      <c r="S519" s="51"/>
      <c r="T519" s="51"/>
      <c r="U519" s="51"/>
      <c r="V519" s="51"/>
      <c r="W519" s="51"/>
      <c r="X519" s="51"/>
      <c r="Y519" s="51"/>
      <c r="Z519" s="51"/>
      <c r="AA519" s="51"/>
      <c r="AB519" s="51"/>
    </row>
    <row r="520" customFormat="false" ht="15.75" hidden="false" customHeight="false" outlineLevel="0" collapsed="false">
      <c r="A520" s="51"/>
      <c r="B520" s="51"/>
      <c r="C520" s="6"/>
      <c r="D520" s="49"/>
      <c r="E520" s="51"/>
      <c r="F520" s="6"/>
      <c r="G520" s="6"/>
      <c r="H520" s="6"/>
      <c r="I520" s="6"/>
      <c r="J520" s="6"/>
      <c r="K520" s="51"/>
      <c r="L520" s="51"/>
      <c r="M520" s="51"/>
      <c r="N520" s="51"/>
      <c r="O520" s="51"/>
      <c r="P520" s="51"/>
      <c r="Q520" s="51"/>
      <c r="R520" s="51"/>
      <c r="S520" s="51"/>
      <c r="T520" s="51"/>
      <c r="U520" s="51"/>
      <c r="V520" s="51"/>
      <c r="W520" s="51"/>
      <c r="X520" s="51"/>
      <c r="Y520" s="51"/>
      <c r="Z520" s="51"/>
      <c r="AA520" s="51"/>
      <c r="AB520" s="51"/>
    </row>
    <row r="521" customFormat="false" ht="15.75" hidden="false" customHeight="false" outlineLevel="0" collapsed="false">
      <c r="A521" s="51"/>
      <c r="B521" s="51"/>
      <c r="C521" s="6"/>
      <c r="D521" s="49"/>
      <c r="E521" s="51"/>
      <c r="F521" s="6"/>
      <c r="G521" s="6"/>
      <c r="H521" s="6"/>
      <c r="I521" s="6"/>
      <c r="J521" s="6"/>
      <c r="K521" s="51"/>
      <c r="L521" s="51"/>
      <c r="M521" s="51"/>
      <c r="N521" s="51"/>
      <c r="O521" s="51"/>
      <c r="P521" s="51"/>
      <c r="Q521" s="51"/>
      <c r="R521" s="51"/>
      <c r="S521" s="51"/>
      <c r="T521" s="51"/>
      <c r="U521" s="51"/>
      <c r="V521" s="51"/>
      <c r="W521" s="51"/>
      <c r="X521" s="51"/>
      <c r="Y521" s="51"/>
      <c r="Z521" s="51"/>
      <c r="AA521" s="51"/>
      <c r="AB521" s="51"/>
    </row>
    <row r="522" customFormat="false" ht="15.75" hidden="false" customHeight="false" outlineLevel="0" collapsed="false">
      <c r="A522" s="51"/>
      <c r="B522" s="51"/>
      <c r="C522" s="6"/>
      <c r="D522" s="49"/>
      <c r="E522" s="51"/>
      <c r="F522" s="6"/>
      <c r="G522" s="6"/>
      <c r="H522" s="6"/>
      <c r="I522" s="6"/>
      <c r="J522" s="6"/>
      <c r="K522" s="51"/>
      <c r="L522" s="51"/>
      <c r="M522" s="51"/>
      <c r="N522" s="51"/>
      <c r="O522" s="51"/>
      <c r="P522" s="51"/>
      <c r="Q522" s="51"/>
      <c r="R522" s="51"/>
      <c r="S522" s="51"/>
      <c r="T522" s="51"/>
      <c r="U522" s="51"/>
      <c r="V522" s="51"/>
      <c r="W522" s="51"/>
      <c r="X522" s="51"/>
      <c r="Y522" s="51"/>
      <c r="Z522" s="51"/>
      <c r="AA522" s="51"/>
      <c r="AB522" s="51"/>
    </row>
    <row r="523" customFormat="false" ht="15.75" hidden="false" customHeight="false" outlineLevel="0" collapsed="false">
      <c r="A523" s="51"/>
      <c r="B523" s="51"/>
      <c r="C523" s="6"/>
      <c r="D523" s="49"/>
      <c r="E523" s="51"/>
      <c r="F523" s="6"/>
      <c r="G523" s="6"/>
      <c r="H523" s="6"/>
      <c r="I523" s="6"/>
      <c r="J523" s="6"/>
      <c r="K523" s="51"/>
      <c r="L523" s="51"/>
      <c r="M523" s="51"/>
      <c r="N523" s="51"/>
      <c r="O523" s="51"/>
      <c r="P523" s="51"/>
      <c r="Q523" s="51"/>
      <c r="R523" s="51"/>
      <c r="S523" s="51"/>
      <c r="T523" s="51"/>
      <c r="U523" s="51"/>
      <c r="V523" s="51"/>
      <c r="W523" s="51"/>
      <c r="X523" s="51"/>
      <c r="Y523" s="51"/>
      <c r="Z523" s="51"/>
      <c r="AA523" s="51"/>
      <c r="AB523" s="51"/>
    </row>
    <row r="524" customFormat="false" ht="15.75" hidden="false" customHeight="false" outlineLevel="0" collapsed="false">
      <c r="A524" s="51"/>
      <c r="B524" s="51"/>
      <c r="C524" s="6"/>
      <c r="D524" s="49"/>
      <c r="E524" s="51"/>
      <c r="F524" s="6"/>
      <c r="G524" s="6"/>
      <c r="H524" s="6"/>
      <c r="I524" s="6"/>
      <c r="J524" s="6"/>
      <c r="K524" s="51"/>
      <c r="L524" s="51"/>
      <c r="M524" s="51"/>
      <c r="N524" s="51"/>
      <c r="O524" s="51"/>
      <c r="P524" s="51"/>
      <c r="Q524" s="51"/>
      <c r="R524" s="51"/>
      <c r="S524" s="51"/>
      <c r="T524" s="51"/>
      <c r="U524" s="51"/>
      <c r="V524" s="51"/>
      <c r="W524" s="51"/>
      <c r="X524" s="51"/>
      <c r="Y524" s="51"/>
      <c r="Z524" s="51"/>
      <c r="AA524" s="51"/>
      <c r="AB524" s="51"/>
    </row>
    <row r="525" customFormat="false" ht="15.75" hidden="false" customHeight="false" outlineLevel="0" collapsed="false">
      <c r="A525" s="51"/>
      <c r="B525" s="51"/>
      <c r="C525" s="6"/>
      <c r="D525" s="49"/>
      <c r="E525" s="51"/>
      <c r="F525" s="6"/>
      <c r="G525" s="6"/>
      <c r="H525" s="6"/>
      <c r="I525" s="6"/>
      <c r="J525" s="6"/>
      <c r="K525" s="51"/>
      <c r="L525" s="51"/>
      <c r="M525" s="51"/>
      <c r="N525" s="51"/>
      <c r="O525" s="51"/>
      <c r="P525" s="51"/>
      <c r="Q525" s="51"/>
      <c r="R525" s="51"/>
      <c r="S525" s="51"/>
      <c r="T525" s="51"/>
      <c r="U525" s="51"/>
      <c r="V525" s="51"/>
      <c r="W525" s="51"/>
      <c r="X525" s="51"/>
      <c r="Y525" s="51"/>
      <c r="Z525" s="51"/>
      <c r="AA525" s="51"/>
      <c r="AB525" s="51"/>
    </row>
    <row r="526" customFormat="false" ht="15.75" hidden="false" customHeight="false" outlineLevel="0" collapsed="false">
      <c r="A526" s="51"/>
      <c r="B526" s="51"/>
      <c r="C526" s="6"/>
      <c r="D526" s="49"/>
      <c r="E526" s="51"/>
      <c r="F526" s="6"/>
      <c r="G526" s="6"/>
      <c r="H526" s="6"/>
      <c r="I526" s="6"/>
      <c r="J526" s="6"/>
      <c r="K526" s="51"/>
      <c r="L526" s="51"/>
      <c r="M526" s="51"/>
      <c r="N526" s="51"/>
      <c r="O526" s="51"/>
      <c r="P526" s="51"/>
      <c r="Q526" s="51"/>
      <c r="R526" s="51"/>
      <c r="S526" s="51"/>
      <c r="T526" s="51"/>
      <c r="U526" s="51"/>
      <c r="V526" s="51"/>
      <c r="W526" s="51"/>
      <c r="X526" s="51"/>
      <c r="Y526" s="51"/>
      <c r="Z526" s="51"/>
      <c r="AA526" s="51"/>
      <c r="AB526" s="51"/>
    </row>
    <row r="527" customFormat="false" ht="15.75" hidden="false" customHeight="false" outlineLevel="0" collapsed="false">
      <c r="A527" s="51"/>
      <c r="B527" s="51"/>
      <c r="C527" s="6"/>
      <c r="D527" s="49"/>
      <c r="E527" s="51"/>
      <c r="F527" s="6"/>
      <c r="G527" s="6"/>
      <c r="H527" s="6"/>
      <c r="I527" s="6"/>
      <c r="J527" s="6"/>
      <c r="K527" s="51"/>
      <c r="L527" s="51"/>
      <c r="M527" s="51"/>
      <c r="N527" s="51"/>
      <c r="O527" s="51"/>
      <c r="P527" s="51"/>
      <c r="Q527" s="51"/>
      <c r="R527" s="51"/>
      <c r="S527" s="51"/>
      <c r="T527" s="51"/>
      <c r="U527" s="51"/>
      <c r="V527" s="51"/>
      <c r="W527" s="51"/>
      <c r="X527" s="51"/>
      <c r="Y527" s="51"/>
      <c r="Z527" s="51"/>
      <c r="AA527" s="51"/>
      <c r="AB527" s="51"/>
    </row>
    <row r="528" customFormat="false" ht="15.75" hidden="false" customHeight="false" outlineLevel="0" collapsed="false">
      <c r="A528" s="51"/>
      <c r="B528" s="51"/>
      <c r="C528" s="6"/>
      <c r="D528" s="49"/>
      <c r="E528" s="51"/>
      <c r="F528" s="6"/>
      <c r="G528" s="6"/>
      <c r="H528" s="6"/>
      <c r="I528" s="6"/>
      <c r="J528" s="6"/>
      <c r="K528" s="51"/>
      <c r="L528" s="51"/>
      <c r="M528" s="51"/>
      <c r="N528" s="51"/>
      <c r="O528" s="51"/>
      <c r="P528" s="51"/>
      <c r="Q528" s="51"/>
      <c r="R528" s="51"/>
      <c r="S528" s="51"/>
      <c r="T528" s="51"/>
      <c r="U528" s="51"/>
      <c r="V528" s="51"/>
      <c r="W528" s="51"/>
      <c r="X528" s="51"/>
      <c r="Y528" s="51"/>
      <c r="Z528" s="51"/>
      <c r="AA528" s="51"/>
      <c r="AB528" s="51"/>
    </row>
    <row r="529" customFormat="false" ht="15.75" hidden="false" customHeight="false" outlineLevel="0" collapsed="false">
      <c r="A529" s="51"/>
      <c r="B529" s="51"/>
      <c r="C529" s="6"/>
      <c r="D529" s="49"/>
      <c r="E529" s="51"/>
      <c r="F529" s="6"/>
      <c r="G529" s="6"/>
      <c r="H529" s="6"/>
      <c r="I529" s="6"/>
      <c r="J529" s="6"/>
      <c r="K529" s="51"/>
      <c r="L529" s="51"/>
      <c r="M529" s="51"/>
      <c r="N529" s="51"/>
      <c r="O529" s="51"/>
      <c r="P529" s="51"/>
      <c r="Q529" s="51"/>
      <c r="R529" s="51"/>
      <c r="S529" s="51"/>
      <c r="T529" s="51"/>
      <c r="U529" s="51"/>
      <c r="V529" s="51"/>
      <c r="W529" s="51"/>
      <c r="X529" s="51"/>
      <c r="Y529" s="51"/>
      <c r="Z529" s="51"/>
      <c r="AA529" s="51"/>
      <c r="AB529" s="51"/>
    </row>
    <row r="530" customFormat="false" ht="15.75" hidden="false" customHeight="false" outlineLevel="0" collapsed="false">
      <c r="A530" s="51"/>
      <c r="B530" s="51"/>
      <c r="C530" s="6"/>
      <c r="D530" s="49"/>
      <c r="E530" s="51"/>
      <c r="F530" s="6"/>
      <c r="G530" s="6"/>
      <c r="H530" s="6"/>
      <c r="I530" s="6"/>
      <c r="J530" s="6"/>
      <c r="K530" s="51"/>
      <c r="L530" s="51"/>
      <c r="M530" s="51"/>
      <c r="N530" s="51"/>
      <c r="O530" s="51"/>
      <c r="P530" s="51"/>
      <c r="Q530" s="51"/>
      <c r="R530" s="51"/>
      <c r="S530" s="51"/>
      <c r="T530" s="51"/>
      <c r="U530" s="51"/>
      <c r="V530" s="51"/>
      <c r="W530" s="51"/>
      <c r="X530" s="51"/>
      <c r="Y530" s="51"/>
      <c r="Z530" s="51"/>
      <c r="AA530" s="51"/>
      <c r="AB530" s="51"/>
    </row>
    <row r="531" customFormat="false" ht="15.75" hidden="false" customHeight="false" outlineLevel="0" collapsed="false">
      <c r="A531" s="51"/>
      <c r="B531" s="51"/>
      <c r="C531" s="6"/>
      <c r="D531" s="49"/>
      <c r="E531" s="51"/>
      <c r="F531" s="6"/>
      <c r="G531" s="6"/>
      <c r="H531" s="6"/>
      <c r="I531" s="6"/>
      <c r="J531" s="6"/>
      <c r="K531" s="51"/>
      <c r="L531" s="51"/>
      <c r="M531" s="51"/>
      <c r="N531" s="51"/>
      <c r="O531" s="51"/>
      <c r="P531" s="51"/>
      <c r="Q531" s="51"/>
      <c r="R531" s="51"/>
      <c r="S531" s="51"/>
      <c r="T531" s="51"/>
      <c r="U531" s="51"/>
      <c r="V531" s="51"/>
      <c r="W531" s="51"/>
      <c r="X531" s="51"/>
      <c r="Y531" s="51"/>
      <c r="Z531" s="51"/>
      <c r="AA531" s="51"/>
      <c r="AB531" s="51"/>
    </row>
    <row r="532" customFormat="false" ht="15.75" hidden="false" customHeight="false" outlineLevel="0" collapsed="false">
      <c r="A532" s="51"/>
      <c r="B532" s="51"/>
      <c r="C532" s="6"/>
      <c r="D532" s="49"/>
      <c r="E532" s="51"/>
      <c r="F532" s="6"/>
      <c r="G532" s="6"/>
      <c r="H532" s="6"/>
      <c r="I532" s="6"/>
      <c r="J532" s="6"/>
      <c r="K532" s="51"/>
      <c r="L532" s="51"/>
      <c r="M532" s="51"/>
      <c r="N532" s="51"/>
      <c r="O532" s="51"/>
      <c r="P532" s="51"/>
      <c r="Q532" s="51"/>
      <c r="R532" s="51"/>
      <c r="S532" s="51"/>
      <c r="T532" s="51"/>
      <c r="U532" s="51"/>
      <c r="V532" s="51"/>
      <c r="W532" s="51"/>
      <c r="X532" s="51"/>
      <c r="Y532" s="51"/>
      <c r="Z532" s="51"/>
      <c r="AA532" s="51"/>
      <c r="AB532" s="51"/>
    </row>
    <row r="533" customFormat="false" ht="15.75" hidden="false" customHeight="false" outlineLevel="0" collapsed="false">
      <c r="A533" s="51"/>
      <c r="B533" s="51"/>
      <c r="C533" s="6"/>
      <c r="D533" s="49"/>
      <c r="E533" s="51"/>
      <c r="F533" s="6"/>
      <c r="G533" s="6"/>
      <c r="H533" s="6"/>
      <c r="I533" s="6"/>
      <c r="J533" s="6"/>
      <c r="K533" s="51"/>
      <c r="L533" s="51"/>
      <c r="M533" s="51"/>
      <c r="N533" s="51"/>
      <c r="O533" s="51"/>
      <c r="P533" s="51"/>
      <c r="Q533" s="51"/>
      <c r="R533" s="51"/>
      <c r="S533" s="51"/>
      <c r="T533" s="51"/>
      <c r="U533" s="51"/>
      <c r="V533" s="51"/>
      <c r="W533" s="51"/>
      <c r="X533" s="51"/>
      <c r="Y533" s="51"/>
      <c r="Z533" s="51"/>
      <c r="AA533" s="51"/>
      <c r="AB533" s="51"/>
    </row>
    <row r="534" customFormat="false" ht="15.75" hidden="false" customHeight="false" outlineLevel="0" collapsed="false">
      <c r="A534" s="51"/>
      <c r="B534" s="51"/>
      <c r="C534" s="6"/>
      <c r="D534" s="49"/>
      <c r="E534" s="51"/>
      <c r="F534" s="6"/>
      <c r="G534" s="6"/>
      <c r="H534" s="6"/>
      <c r="I534" s="6"/>
      <c r="J534" s="6"/>
      <c r="K534" s="51"/>
      <c r="L534" s="51"/>
      <c r="M534" s="51"/>
      <c r="N534" s="51"/>
      <c r="O534" s="51"/>
      <c r="P534" s="51"/>
      <c r="Q534" s="51"/>
      <c r="R534" s="51"/>
      <c r="S534" s="51"/>
      <c r="T534" s="51"/>
      <c r="U534" s="51"/>
      <c r="V534" s="51"/>
      <c r="W534" s="51"/>
      <c r="X534" s="51"/>
      <c r="Y534" s="51"/>
      <c r="Z534" s="51"/>
      <c r="AA534" s="51"/>
      <c r="AB534" s="51"/>
    </row>
    <row r="535" customFormat="false" ht="15.75" hidden="false" customHeight="false" outlineLevel="0" collapsed="false">
      <c r="A535" s="51"/>
      <c r="B535" s="51"/>
      <c r="C535" s="6"/>
      <c r="D535" s="49"/>
      <c r="E535" s="51"/>
      <c r="F535" s="6"/>
      <c r="G535" s="6"/>
      <c r="H535" s="6"/>
      <c r="I535" s="6"/>
      <c r="J535" s="6"/>
      <c r="K535" s="51"/>
      <c r="L535" s="51"/>
      <c r="M535" s="51"/>
      <c r="N535" s="51"/>
      <c r="O535" s="51"/>
      <c r="P535" s="51"/>
      <c r="Q535" s="51"/>
      <c r="R535" s="51"/>
      <c r="S535" s="51"/>
      <c r="T535" s="51"/>
      <c r="U535" s="51"/>
      <c r="V535" s="51"/>
      <c r="W535" s="51"/>
      <c r="X535" s="51"/>
      <c r="Y535" s="51"/>
      <c r="Z535" s="51"/>
      <c r="AA535" s="51"/>
      <c r="AB535" s="51"/>
    </row>
    <row r="536" customFormat="false" ht="15.75" hidden="false" customHeight="false" outlineLevel="0" collapsed="false">
      <c r="A536" s="51"/>
      <c r="B536" s="51"/>
      <c r="C536" s="6"/>
      <c r="D536" s="49"/>
      <c r="E536" s="51"/>
      <c r="F536" s="6"/>
      <c r="G536" s="6"/>
      <c r="H536" s="6"/>
      <c r="I536" s="6"/>
      <c r="J536" s="6"/>
      <c r="K536" s="51"/>
      <c r="L536" s="51"/>
      <c r="M536" s="51"/>
      <c r="N536" s="51"/>
      <c r="O536" s="51"/>
      <c r="P536" s="51"/>
      <c r="Q536" s="51"/>
      <c r="R536" s="51"/>
      <c r="S536" s="51"/>
      <c r="T536" s="51"/>
      <c r="U536" s="51"/>
      <c r="V536" s="51"/>
      <c r="W536" s="51"/>
      <c r="X536" s="51"/>
      <c r="Y536" s="51"/>
      <c r="Z536" s="51"/>
      <c r="AA536" s="51"/>
      <c r="AB536" s="51"/>
    </row>
    <row r="537" customFormat="false" ht="15.75" hidden="false" customHeight="false" outlineLevel="0" collapsed="false">
      <c r="A537" s="51"/>
      <c r="B537" s="51"/>
      <c r="C537" s="6"/>
      <c r="D537" s="49"/>
      <c r="E537" s="51"/>
      <c r="F537" s="6"/>
      <c r="G537" s="6"/>
      <c r="H537" s="6"/>
      <c r="I537" s="6"/>
      <c r="J537" s="6"/>
      <c r="K537" s="51"/>
      <c r="L537" s="51"/>
      <c r="M537" s="51"/>
      <c r="N537" s="51"/>
      <c r="O537" s="51"/>
      <c r="P537" s="51"/>
      <c r="Q537" s="51"/>
      <c r="R537" s="51"/>
      <c r="S537" s="51"/>
      <c r="T537" s="51"/>
      <c r="U537" s="51"/>
      <c r="V537" s="51"/>
      <c r="W537" s="51"/>
      <c r="X537" s="51"/>
      <c r="Y537" s="51"/>
      <c r="Z537" s="51"/>
      <c r="AA537" s="51"/>
      <c r="AB537" s="51"/>
    </row>
    <row r="538" customFormat="false" ht="15.75" hidden="false" customHeight="false" outlineLevel="0" collapsed="false">
      <c r="A538" s="51"/>
      <c r="B538" s="51"/>
      <c r="C538" s="6"/>
      <c r="D538" s="49"/>
      <c r="E538" s="51"/>
      <c r="F538" s="6"/>
      <c r="G538" s="6"/>
      <c r="H538" s="6"/>
      <c r="I538" s="6"/>
      <c r="J538" s="6"/>
      <c r="K538" s="51"/>
      <c r="L538" s="51"/>
      <c r="M538" s="51"/>
      <c r="N538" s="51"/>
      <c r="O538" s="51"/>
      <c r="P538" s="51"/>
      <c r="Q538" s="51"/>
      <c r="R538" s="51"/>
      <c r="S538" s="51"/>
      <c r="T538" s="51"/>
      <c r="U538" s="51"/>
      <c r="V538" s="51"/>
      <c r="W538" s="51"/>
      <c r="X538" s="51"/>
      <c r="Y538" s="51"/>
      <c r="Z538" s="51"/>
      <c r="AA538" s="51"/>
      <c r="AB538" s="51"/>
    </row>
    <row r="539" customFormat="false" ht="15.75" hidden="false" customHeight="false" outlineLevel="0" collapsed="false">
      <c r="A539" s="51"/>
      <c r="B539" s="51"/>
      <c r="C539" s="6"/>
      <c r="D539" s="49"/>
      <c r="E539" s="51"/>
      <c r="F539" s="6"/>
      <c r="G539" s="6"/>
      <c r="H539" s="6"/>
      <c r="I539" s="6"/>
      <c r="J539" s="6"/>
      <c r="K539" s="51"/>
      <c r="L539" s="51"/>
      <c r="M539" s="51"/>
      <c r="N539" s="51"/>
      <c r="O539" s="51"/>
      <c r="P539" s="51"/>
      <c r="Q539" s="51"/>
      <c r="R539" s="51"/>
      <c r="S539" s="51"/>
      <c r="T539" s="51"/>
      <c r="U539" s="51"/>
      <c r="V539" s="51"/>
      <c r="W539" s="51"/>
      <c r="X539" s="51"/>
      <c r="Y539" s="51"/>
      <c r="Z539" s="51"/>
      <c r="AA539" s="51"/>
      <c r="AB539" s="51"/>
    </row>
    <row r="540" customFormat="false" ht="15.75" hidden="false" customHeight="false" outlineLevel="0" collapsed="false">
      <c r="A540" s="51"/>
      <c r="B540" s="51"/>
      <c r="C540" s="6"/>
      <c r="D540" s="49"/>
      <c r="E540" s="51"/>
      <c r="F540" s="6"/>
      <c r="G540" s="6"/>
      <c r="H540" s="6"/>
      <c r="I540" s="6"/>
      <c r="J540" s="6"/>
      <c r="K540" s="51"/>
      <c r="L540" s="51"/>
      <c r="M540" s="51"/>
      <c r="N540" s="51"/>
      <c r="O540" s="51"/>
      <c r="P540" s="51"/>
      <c r="Q540" s="51"/>
      <c r="R540" s="51"/>
      <c r="S540" s="51"/>
      <c r="T540" s="51"/>
      <c r="U540" s="51"/>
      <c r="V540" s="51"/>
      <c r="W540" s="51"/>
      <c r="X540" s="51"/>
      <c r="Y540" s="51"/>
      <c r="Z540" s="51"/>
      <c r="AA540" s="51"/>
      <c r="AB540" s="51"/>
    </row>
    <row r="541" customFormat="false" ht="15.75" hidden="false" customHeight="false" outlineLevel="0" collapsed="false">
      <c r="A541" s="51"/>
      <c r="B541" s="51"/>
      <c r="C541" s="6"/>
      <c r="D541" s="49"/>
      <c r="E541" s="51"/>
      <c r="F541" s="6"/>
      <c r="G541" s="6"/>
      <c r="H541" s="6"/>
      <c r="I541" s="6"/>
      <c r="J541" s="6"/>
      <c r="K541" s="51"/>
      <c r="L541" s="51"/>
      <c r="M541" s="51"/>
      <c r="N541" s="51"/>
      <c r="O541" s="51"/>
      <c r="P541" s="51"/>
      <c r="Q541" s="51"/>
      <c r="R541" s="51"/>
      <c r="S541" s="51"/>
      <c r="T541" s="51"/>
      <c r="U541" s="51"/>
      <c r="V541" s="51"/>
      <c r="W541" s="51"/>
      <c r="X541" s="51"/>
      <c r="Y541" s="51"/>
      <c r="Z541" s="51"/>
      <c r="AA541" s="51"/>
      <c r="AB541" s="51"/>
    </row>
    <row r="542" customFormat="false" ht="15.75" hidden="false" customHeight="false" outlineLevel="0" collapsed="false">
      <c r="A542" s="51"/>
      <c r="B542" s="51"/>
      <c r="C542" s="6"/>
      <c r="D542" s="49"/>
      <c r="E542" s="51"/>
      <c r="F542" s="6"/>
      <c r="G542" s="6"/>
      <c r="H542" s="6"/>
      <c r="I542" s="6"/>
      <c r="J542" s="6"/>
      <c r="K542" s="51"/>
      <c r="L542" s="51"/>
      <c r="M542" s="51"/>
      <c r="N542" s="51"/>
      <c r="O542" s="51"/>
      <c r="P542" s="51"/>
      <c r="Q542" s="51"/>
      <c r="R542" s="51"/>
      <c r="S542" s="51"/>
      <c r="T542" s="51"/>
      <c r="U542" s="51"/>
      <c r="V542" s="51"/>
      <c r="W542" s="51"/>
      <c r="X542" s="51"/>
      <c r="Y542" s="51"/>
      <c r="Z542" s="51"/>
      <c r="AA542" s="51"/>
      <c r="AB542" s="51"/>
    </row>
    <row r="543" customFormat="false" ht="15.75" hidden="false" customHeight="false" outlineLevel="0" collapsed="false">
      <c r="A543" s="51"/>
      <c r="B543" s="51"/>
      <c r="C543" s="6"/>
      <c r="D543" s="49"/>
      <c r="E543" s="51"/>
      <c r="F543" s="6"/>
      <c r="G543" s="6"/>
      <c r="H543" s="6"/>
      <c r="I543" s="6"/>
      <c r="J543" s="6"/>
      <c r="K543" s="51"/>
      <c r="L543" s="51"/>
      <c r="M543" s="51"/>
      <c r="N543" s="51"/>
      <c r="O543" s="51"/>
      <c r="P543" s="51"/>
      <c r="Q543" s="51"/>
      <c r="R543" s="51"/>
      <c r="S543" s="51"/>
      <c r="T543" s="51"/>
      <c r="U543" s="51"/>
      <c r="V543" s="51"/>
      <c r="W543" s="51"/>
      <c r="X543" s="51"/>
      <c r="Y543" s="51"/>
      <c r="Z543" s="51"/>
      <c r="AA543" s="51"/>
      <c r="AB543" s="51"/>
    </row>
    <row r="544" customFormat="false" ht="15.75" hidden="false" customHeight="false" outlineLevel="0" collapsed="false">
      <c r="A544" s="51"/>
      <c r="B544" s="51"/>
      <c r="C544" s="6"/>
      <c r="D544" s="49"/>
      <c r="E544" s="51"/>
      <c r="F544" s="6"/>
      <c r="G544" s="6"/>
      <c r="H544" s="6"/>
      <c r="I544" s="6"/>
      <c r="J544" s="6"/>
      <c r="K544" s="51"/>
      <c r="L544" s="51"/>
      <c r="M544" s="51"/>
      <c r="N544" s="51"/>
      <c r="O544" s="51"/>
      <c r="P544" s="51"/>
      <c r="Q544" s="51"/>
      <c r="R544" s="51"/>
      <c r="S544" s="51"/>
      <c r="T544" s="51"/>
      <c r="U544" s="51"/>
      <c r="V544" s="51"/>
      <c r="W544" s="51"/>
      <c r="X544" s="51"/>
      <c r="Y544" s="51"/>
      <c r="Z544" s="51"/>
      <c r="AA544" s="51"/>
      <c r="AB544" s="51"/>
    </row>
    <row r="545" customFormat="false" ht="15.75" hidden="false" customHeight="false" outlineLevel="0" collapsed="false">
      <c r="A545" s="51"/>
      <c r="B545" s="51"/>
      <c r="C545" s="6"/>
      <c r="D545" s="49"/>
      <c r="E545" s="51"/>
      <c r="F545" s="6"/>
      <c r="G545" s="6"/>
      <c r="H545" s="6"/>
      <c r="I545" s="6"/>
      <c r="J545" s="6"/>
      <c r="K545" s="51"/>
      <c r="L545" s="51"/>
      <c r="M545" s="51"/>
      <c r="N545" s="51"/>
      <c r="O545" s="51"/>
      <c r="P545" s="51"/>
      <c r="Q545" s="51"/>
      <c r="R545" s="51"/>
      <c r="S545" s="51"/>
      <c r="T545" s="51"/>
      <c r="U545" s="51"/>
      <c r="V545" s="51"/>
      <c r="W545" s="51"/>
      <c r="X545" s="51"/>
      <c r="Y545" s="51"/>
      <c r="Z545" s="51"/>
      <c r="AA545" s="51"/>
      <c r="AB545" s="51"/>
    </row>
    <row r="546" customFormat="false" ht="15.75" hidden="false" customHeight="false" outlineLevel="0" collapsed="false">
      <c r="A546" s="51"/>
      <c r="B546" s="51"/>
      <c r="C546" s="6"/>
      <c r="D546" s="49"/>
      <c r="E546" s="51"/>
      <c r="F546" s="6"/>
      <c r="G546" s="6"/>
      <c r="H546" s="6"/>
      <c r="I546" s="6"/>
      <c r="J546" s="6"/>
      <c r="K546" s="51"/>
      <c r="L546" s="51"/>
      <c r="M546" s="51"/>
      <c r="N546" s="51"/>
      <c r="O546" s="51"/>
      <c r="P546" s="51"/>
      <c r="Q546" s="51"/>
      <c r="R546" s="51"/>
      <c r="S546" s="51"/>
      <c r="T546" s="51"/>
      <c r="U546" s="51"/>
      <c r="V546" s="51"/>
      <c r="W546" s="51"/>
      <c r="X546" s="51"/>
      <c r="Y546" s="51"/>
      <c r="Z546" s="51"/>
      <c r="AA546" s="51"/>
      <c r="AB546" s="51"/>
    </row>
    <row r="547" customFormat="false" ht="15.75" hidden="false" customHeight="false" outlineLevel="0" collapsed="false">
      <c r="A547" s="51"/>
      <c r="B547" s="51"/>
      <c r="C547" s="6"/>
      <c r="D547" s="49"/>
      <c r="E547" s="51"/>
      <c r="F547" s="6"/>
      <c r="G547" s="6"/>
      <c r="H547" s="6"/>
      <c r="I547" s="6"/>
      <c r="J547" s="6"/>
      <c r="K547" s="51"/>
      <c r="L547" s="51"/>
      <c r="M547" s="51"/>
      <c r="N547" s="51"/>
      <c r="O547" s="51"/>
      <c r="P547" s="51"/>
      <c r="Q547" s="51"/>
      <c r="R547" s="51"/>
      <c r="S547" s="51"/>
      <c r="T547" s="51"/>
      <c r="U547" s="51"/>
      <c r="V547" s="51"/>
      <c r="W547" s="51"/>
      <c r="X547" s="51"/>
      <c r="Y547" s="51"/>
      <c r="Z547" s="51"/>
      <c r="AA547" s="51"/>
      <c r="AB547" s="51"/>
    </row>
    <row r="548" customFormat="false" ht="15.75" hidden="false" customHeight="false" outlineLevel="0" collapsed="false">
      <c r="A548" s="51"/>
      <c r="B548" s="51"/>
      <c r="C548" s="6"/>
      <c r="D548" s="49"/>
      <c r="E548" s="51"/>
      <c r="F548" s="6"/>
      <c r="G548" s="6"/>
      <c r="H548" s="6"/>
      <c r="I548" s="6"/>
      <c r="J548" s="6"/>
      <c r="K548" s="51"/>
      <c r="L548" s="51"/>
      <c r="M548" s="51"/>
      <c r="N548" s="51"/>
      <c r="O548" s="51"/>
      <c r="P548" s="51"/>
      <c r="Q548" s="51"/>
      <c r="R548" s="51"/>
      <c r="S548" s="51"/>
      <c r="T548" s="51"/>
      <c r="U548" s="51"/>
      <c r="V548" s="51"/>
      <c r="W548" s="51"/>
      <c r="X548" s="51"/>
      <c r="Y548" s="51"/>
      <c r="Z548" s="51"/>
      <c r="AA548" s="51"/>
      <c r="AB548" s="51"/>
    </row>
    <row r="549" customFormat="false" ht="15.75" hidden="false" customHeight="false" outlineLevel="0" collapsed="false">
      <c r="A549" s="51"/>
      <c r="B549" s="51"/>
      <c r="C549" s="6"/>
      <c r="D549" s="49"/>
      <c r="E549" s="51"/>
      <c r="F549" s="6"/>
      <c r="G549" s="6"/>
      <c r="H549" s="6"/>
      <c r="I549" s="6"/>
      <c r="J549" s="6"/>
      <c r="K549" s="51"/>
      <c r="L549" s="51"/>
      <c r="M549" s="51"/>
      <c r="N549" s="51"/>
      <c r="O549" s="51"/>
      <c r="P549" s="51"/>
      <c r="Q549" s="51"/>
      <c r="R549" s="51"/>
      <c r="S549" s="51"/>
      <c r="T549" s="51"/>
      <c r="U549" s="51"/>
      <c r="V549" s="51"/>
      <c r="W549" s="51"/>
      <c r="X549" s="51"/>
      <c r="Y549" s="51"/>
      <c r="Z549" s="51"/>
      <c r="AA549" s="51"/>
      <c r="AB549" s="51"/>
    </row>
    <row r="550" customFormat="false" ht="15.75" hidden="false" customHeight="false" outlineLevel="0" collapsed="false">
      <c r="A550" s="51"/>
      <c r="B550" s="51"/>
      <c r="C550" s="6"/>
      <c r="D550" s="49"/>
      <c r="E550" s="51"/>
      <c r="F550" s="6"/>
      <c r="G550" s="6"/>
      <c r="H550" s="6"/>
      <c r="I550" s="6"/>
      <c r="J550" s="6"/>
      <c r="K550" s="51"/>
      <c r="L550" s="51"/>
      <c r="M550" s="51"/>
      <c r="N550" s="51"/>
      <c r="O550" s="51"/>
      <c r="P550" s="51"/>
      <c r="Q550" s="51"/>
      <c r="R550" s="51"/>
      <c r="S550" s="51"/>
      <c r="T550" s="51"/>
      <c r="U550" s="51"/>
      <c r="V550" s="51"/>
      <c r="W550" s="51"/>
      <c r="X550" s="51"/>
      <c r="Y550" s="51"/>
      <c r="Z550" s="51"/>
      <c r="AA550" s="51"/>
      <c r="AB550" s="51"/>
    </row>
    <row r="551" customFormat="false" ht="15.75" hidden="false" customHeight="false" outlineLevel="0" collapsed="false">
      <c r="A551" s="51"/>
      <c r="B551" s="51"/>
      <c r="C551" s="6"/>
      <c r="D551" s="49"/>
      <c r="E551" s="51"/>
      <c r="F551" s="6"/>
      <c r="G551" s="6"/>
      <c r="H551" s="6"/>
      <c r="I551" s="6"/>
      <c r="J551" s="6"/>
      <c r="K551" s="51"/>
      <c r="L551" s="51"/>
      <c r="M551" s="51"/>
      <c r="N551" s="51"/>
      <c r="O551" s="51"/>
      <c r="P551" s="51"/>
      <c r="Q551" s="51"/>
      <c r="R551" s="51"/>
      <c r="S551" s="51"/>
      <c r="T551" s="51"/>
      <c r="U551" s="51"/>
      <c r="V551" s="51"/>
      <c r="W551" s="51"/>
      <c r="X551" s="51"/>
      <c r="Y551" s="51"/>
      <c r="Z551" s="51"/>
      <c r="AA551" s="51"/>
      <c r="AB551" s="51"/>
    </row>
    <row r="552" customFormat="false" ht="15.75" hidden="false" customHeight="false" outlineLevel="0" collapsed="false">
      <c r="A552" s="51"/>
      <c r="B552" s="51"/>
      <c r="C552" s="6"/>
      <c r="D552" s="49"/>
      <c r="E552" s="51"/>
      <c r="F552" s="6"/>
      <c r="G552" s="6"/>
      <c r="H552" s="6"/>
      <c r="I552" s="6"/>
      <c r="J552" s="6"/>
      <c r="K552" s="51"/>
      <c r="L552" s="51"/>
      <c r="M552" s="51"/>
      <c r="N552" s="51"/>
      <c r="O552" s="51"/>
      <c r="P552" s="51"/>
      <c r="Q552" s="51"/>
      <c r="R552" s="51"/>
      <c r="S552" s="51"/>
      <c r="T552" s="51"/>
      <c r="U552" s="51"/>
      <c r="V552" s="51"/>
      <c r="W552" s="51"/>
      <c r="X552" s="51"/>
      <c r="Y552" s="51"/>
      <c r="Z552" s="51"/>
      <c r="AA552" s="51"/>
      <c r="AB552" s="51"/>
    </row>
    <row r="553" customFormat="false" ht="15.75" hidden="false" customHeight="false" outlineLevel="0" collapsed="false">
      <c r="A553" s="51"/>
      <c r="B553" s="51"/>
      <c r="C553" s="6"/>
      <c r="D553" s="49"/>
      <c r="E553" s="51"/>
      <c r="F553" s="6"/>
      <c r="G553" s="6"/>
      <c r="H553" s="6"/>
      <c r="I553" s="6"/>
      <c r="J553" s="6"/>
      <c r="K553" s="51"/>
      <c r="L553" s="51"/>
      <c r="M553" s="51"/>
      <c r="N553" s="51"/>
      <c r="O553" s="51"/>
      <c r="P553" s="51"/>
      <c r="Q553" s="51"/>
      <c r="R553" s="51"/>
      <c r="S553" s="51"/>
      <c r="T553" s="51"/>
      <c r="U553" s="51"/>
      <c r="V553" s="51"/>
      <c r="W553" s="51"/>
      <c r="X553" s="51"/>
      <c r="Y553" s="51"/>
      <c r="Z553" s="51"/>
      <c r="AA553" s="51"/>
      <c r="AB553" s="51"/>
    </row>
    <row r="554" customFormat="false" ht="15.75" hidden="false" customHeight="false" outlineLevel="0" collapsed="false">
      <c r="A554" s="51"/>
      <c r="B554" s="51"/>
      <c r="C554" s="6"/>
      <c r="D554" s="49"/>
      <c r="E554" s="51"/>
      <c r="F554" s="6"/>
      <c r="G554" s="6"/>
      <c r="H554" s="6"/>
      <c r="I554" s="6"/>
      <c r="J554" s="6"/>
      <c r="K554" s="51"/>
      <c r="L554" s="51"/>
      <c r="M554" s="51"/>
      <c r="N554" s="51"/>
      <c r="O554" s="51"/>
      <c r="P554" s="51"/>
      <c r="Q554" s="51"/>
      <c r="R554" s="51"/>
      <c r="S554" s="51"/>
      <c r="T554" s="51"/>
      <c r="U554" s="51"/>
      <c r="V554" s="51"/>
      <c r="W554" s="51"/>
      <c r="X554" s="51"/>
      <c r="Y554" s="51"/>
      <c r="Z554" s="51"/>
      <c r="AA554" s="51"/>
      <c r="AB554" s="51"/>
    </row>
    <row r="555" customFormat="false" ht="15.75" hidden="false" customHeight="false" outlineLevel="0" collapsed="false">
      <c r="A555" s="51"/>
      <c r="B555" s="51"/>
      <c r="C555" s="6"/>
      <c r="D555" s="49"/>
      <c r="E555" s="51"/>
      <c r="F555" s="6"/>
      <c r="G555" s="6"/>
      <c r="H555" s="6"/>
      <c r="I555" s="6"/>
      <c r="J555" s="6"/>
      <c r="K555" s="51"/>
      <c r="L555" s="51"/>
      <c r="M555" s="51"/>
      <c r="N555" s="51"/>
      <c r="O555" s="51"/>
      <c r="P555" s="51"/>
      <c r="Q555" s="51"/>
      <c r="R555" s="51"/>
      <c r="S555" s="51"/>
      <c r="T555" s="51"/>
      <c r="U555" s="51"/>
      <c r="V555" s="51"/>
      <c r="W555" s="51"/>
      <c r="X555" s="51"/>
      <c r="Y555" s="51"/>
      <c r="Z555" s="51"/>
      <c r="AA555" s="51"/>
      <c r="AB555" s="51"/>
    </row>
    <row r="556" customFormat="false" ht="15.75" hidden="false" customHeight="false" outlineLevel="0" collapsed="false">
      <c r="A556" s="51"/>
      <c r="B556" s="51"/>
      <c r="C556" s="6"/>
      <c r="D556" s="49"/>
      <c r="E556" s="51"/>
      <c r="F556" s="6"/>
      <c r="G556" s="6"/>
      <c r="H556" s="6"/>
      <c r="I556" s="6"/>
      <c r="J556" s="6"/>
      <c r="K556" s="51"/>
      <c r="L556" s="51"/>
      <c r="M556" s="51"/>
      <c r="N556" s="51"/>
      <c r="O556" s="51"/>
      <c r="P556" s="51"/>
      <c r="Q556" s="51"/>
      <c r="R556" s="51"/>
      <c r="S556" s="51"/>
      <c r="T556" s="51"/>
      <c r="U556" s="51"/>
      <c r="V556" s="51"/>
      <c r="W556" s="51"/>
      <c r="X556" s="51"/>
      <c r="Y556" s="51"/>
      <c r="Z556" s="51"/>
      <c r="AA556" s="51"/>
      <c r="AB556" s="51"/>
    </row>
    <row r="557" customFormat="false" ht="15.75" hidden="false" customHeight="false" outlineLevel="0" collapsed="false">
      <c r="A557" s="51"/>
      <c r="B557" s="51"/>
      <c r="C557" s="6"/>
      <c r="D557" s="49"/>
      <c r="E557" s="51"/>
      <c r="F557" s="6"/>
      <c r="G557" s="6"/>
      <c r="H557" s="6"/>
      <c r="I557" s="6"/>
      <c r="J557" s="6"/>
      <c r="K557" s="51"/>
      <c r="L557" s="51"/>
      <c r="M557" s="51"/>
      <c r="N557" s="51"/>
      <c r="O557" s="51"/>
      <c r="P557" s="51"/>
      <c r="Q557" s="51"/>
      <c r="R557" s="51"/>
      <c r="S557" s="51"/>
      <c r="T557" s="51"/>
      <c r="U557" s="51"/>
      <c r="V557" s="51"/>
      <c r="W557" s="51"/>
      <c r="X557" s="51"/>
      <c r="Y557" s="51"/>
      <c r="Z557" s="51"/>
      <c r="AA557" s="51"/>
      <c r="AB557" s="51"/>
    </row>
    <row r="558" customFormat="false" ht="15.75" hidden="false" customHeight="false" outlineLevel="0" collapsed="false">
      <c r="A558" s="51"/>
      <c r="B558" s="51"/>
      <c r="C558" s="6"/>
      <c r="D558" s="49"/>
      <c r="E558" s="51"/>
      <c r="F558" s="6"/>
      <c r="G558" s="6"/>
      <c r="H558" s="6"/>
      <c r="I558" s="6"/>
      <c r="J558" s="6"/>
      <c r="K558" s="51"/>
      <c r="L558" s="51"/>
      <c r="M558" s="51"/>
      <c r="N558" s="51"/>
      <c r="O558" s="51"/>
      <c r="P558" s="51"/>
      <c r="Q558" s="51"/>
      <c r="R558" s="51"/>
      <c r="S558" s="51"/>
      <c r="T558" s="51"/>
      <c r="U558" s="51"/>
      <c r="V558" s="51"/>
      <c r="W558" s="51"/>
      <c r="X558" s="51"/>
      <c r="Y558" s="51"/>
      <c r="Z558" s="51"/>
      <c r="AA558" s="51"/>
      <c r="AB558" s="51"/>
    </row>
    <row r="559" customFormat="false" ht="15.75" hidden="false" customHeight="false" outlineLevel="0" collapsed="false">
      <c r="A559" s="51"/>
      <c r="B559" s="51"/>
      <c r="C559" s="6"/>
      <c r="D559" s="49"/>
      <c r="E559" s="51"/>
      <c r="F559" s="6"/>
      <c r="G559" s="6"/>
      <c r="H559" s="6"/>
      <c r="I559" s="6"/>
      <c r="J559" s="6"/>
      <c r="K559" s="51"/>
      <c r="L559" s="51"/>
      <c r="M559" s="51"/>
      <c r="N559" s="51"/>
      <c r="O559" s="51"/>
      <c r="P559" s="51"/>
      <c r="Q559" s="51"/>
      <c r="R559" s="51"/>
      <c r="S559" s="51"/>
      <c r="T559" s="51"/>
      <c r="U559" s="51"/>
      <c r="V559" s="51"/>
      <c r="W559" s="51"/>
      <c r="X559" s="51"/>
      <c r="Y559" s="51"/>
      <c r="Z559" s="51"/>
      <c r="AA559" s="51"/>
      <c r="AB559" s="51"/>
    </row>
    <row r="560" customFormat="false" ht="15.75" hidden="false" customHeight="false" outlineLevel="0" collapsed="false">
      <c r="A560" s="51"/>
      <c r="B560" s="51"/>
      <c r="C560" s="6"/>
      <c r="D560" s="49"/>
      <c r="E560" s="51"/>
      <c r="F560" s="6"/>
      <c r="G560" s="6"/>
      <c r="H560" s="6"/>
      <c r="I560" s="6"/>
      <c r="J560" s="6"/>
      <c r="K560" s="51"/>
      <c r="L560" s="51"/>
      <c r="M560" s="51"/>
      <c r="N560" s="51"/>
      <c r="O560" s="51"/>
      <c r="P560" s="51"/>
      <c r="Q560" s="51"/>
      <c r="R560" s="51"/>
      <c r="S560" s="51"/>
      <c r="T560" s="51"/>
      <c r="U560" s="51"/>
      <c r="V560" s="51"/>
      <c r="W560" s="51"/>
      <c r="X560" s="51"/>
      <c r="Y560" s="51"/>
      <c r="Z560" s="51"/>
      <c r="AA560" s="51"/>
      <c r="AB560" s="51"/>
    </row>
    <row r="561" customFormat="false" ht="15.75" hidden="false" customHeight="false" outlineLevel="0" collapsed="false">
      <c r="A561" s="51"/>
      <c r="B561" s="51"/>
      <c r="C561" s="6"/>
      <c r="D561" s="49"/>
      <c r="E561" s="51"/>
      <c r="F561" s="6"/>
      <c r="G561" s="6"/>
      <c r="H561" s="6"/>
      <c r="I561" s="6"/>
      <c r="J561" s="6"/>
      <c r="K561" s="51"/>
      <c r="L561" s="51"/>
      <c r="M561" s="51"/>
      <c r="N561" s="51"/>
      <c r="O561" s="51"/>
      <c r="P561" s="51"/>
      <c r="Q561" s="51"/>
      <c r="R561" s="51"/>
      <c r="S561" s="51"/>
      <c r="T561" s="51"/>
      <c r="U561" s="51"/>
      <c r="V561" s="51"/>
      <c r="W561" s="51"/>
      <c r="X561" s="51"/>
      <c r="Y561" s="51"/>
      <c r="Z561" s="51"/>
      <c r="AA561" s="51"/>
      <c r="AB561" s="51"/>
    </row>
    <row r="562" customFormat="false" ht="15.75" hidden="false" customHeight="false" outlineLevel="0" collapsed="false">
      <c r="A562" s="51"/>
      <c r="B562" s="51"/>
      <c r="C562" s="6"/>
      <c r="D562" s="49"/>
      <c r="E562" s="51"/>
      <c r="F562" s="6"/>
      <c r="G562" s="6"/>
      <c r="H562" s="6"/>
      <c r="I562" s="6"/>
      <c r="J562" s="6"/>
      <c r="K562" s="51"/>
      <c r="L562" s="51"/>
      <c r="M562" s="51"/>
      <c r="N562" s="51"/>
      <c r="O562" s="51"/>
      <c r="P562" s="51"/>
      <c r="Q562" s="51"/>
      <c r="R562" s="51"/>
      <c r="S562" s="51"/>
      <c r="T562" s="51"/>
      <c r="U562" s="51"/>
      <c r="V562" s="51"/>
      <c r="W562" s="51"/>
      <c r="X562" s="51"/>
      <c r="Y562" s="51"/>
      <c r="Z562" s="51"/>
      <c r="AA562" s="51"/>
      <c r="AB562" s="51"/>
    </row>
    <row r="563" customFormat="false" ht="15.75" hidden="false" customHeight="false" outlineLevel="0" collapsed="false">
      <c r="A563" s="51"/>
      <c r="B563" s="51"/>
      <c r="C563" s="6"/>
      <c r="D563" s="49"/>
      <c r="E563" s="51"/>
      <c r="F563" s="6"/>
      <c r="G563" s="6"/>
      <c r="H563" s="6"/>
      <c r="I563" s="6"/>
      <c r="J563" s="6"/>
      <c r="K563" s="51"/>
      <c r="L563" s="51"/>
      <c r="M563" s="51"/>
      <c r="N563" s="51"/>
      <c r="O563" s="51"/>
      <c r="P563" s="51"/>
      <c r="Q563" s="51"/>
      <c r="R563" s="51"/>
      <c r="S563" s="51"/>
      <c r="T563" s="51"/>
      <c r="U563" s="51"/>
      <c r="V563" s="51"/>
      <c r="W563" s="51"/>
      <c r="X563" s="51"/>
      <c r="Y563" s="51"/>
      <c r="Z563" s="51"/>
      <c r="AA563" s="51"/>
      <c r="AB563" s="51"/>
    </row>
    <row r="564" customFormat="false" ht="15.75" hidden="false" customHeight="false" outlineLevel="0" collapsed="false">
      <c r="A564" s="51"/>
      <c r="B564" s="51"/>
      <c r="C564" s="6"/>
      <c r="D564" s="49"/>
      <c r="E564" s="51"/>
      <c r="F564" s="6"/>
      <c r="G564" s="6"/>
      <c r="H564" s="6"/>
      <c r="I564" s="6"/>
      <c r="J564" s="6"/>
      <c r="K564" s="51"/>
      <c r="L564" s="51"/>
      <c r="M564" s="51"/>
      <c r="N564" s="51"/>
      <c r="O564" s="51"/>
      <c r="P564" s="51"/>
      <c r="Q564" s="51"/>
      <c r="R564" s="51"/>
      <c r="S564" s="51"/>
      <c r="T564" s="51"/>
      <c r="U564" s="51"/>
      <c r="V564" s="51"/>
      <c r="W564" s="51"/>
      <c r="X564" s="51"/>
      <c r="Y564" s="51"/>
      <c r="Z564" s="51"/>
      <c r="AA564" s="51"/>
      <c r="AB564" s="51"/>
    </row>
    <row r="565" customFormat="false" ht="15.75" hidden="false" customHeight="false" outlineLevel="0" collapsed="false">
      <c r="A565" s="51"/>
      <c r="B565" s="51"/>
      <c r="C565" s="6"/>
      <c r="D565" s="49"/>
      <c r="E565" s="51"/>
      <c r="F565" s="6"/>
      <c r="G565" s="6"/>
      <c r="H565" s="6"/>
      <c r="I565" s="6"/>
      <c r="J565" s="6"/>
      <c r="K565" s="51"/>
      <c r="L565" s="51"/>
      <c r="M565" s="51"/>
      <c r="N565" s="51"/>
      <c r="O565" s="51"/>
      <c r="P565" s="51"/>
      <c r="Q565" s="51"/>
      <c r="R565" s="51"/>
      <c r="S565" s="51"/>
      <c r="T565" s="51"/>
      <c r="U565" s="51"/>
      <c r="V565" s="51"/>
      <c r="W565" s="51"/>
      <c r="X565" s="51"/>
      <c r="Y565" s="51"/>
      <c r="Z565" s="51"/>
      <c r="AA565" s="51"/>
      <c r="AB565" s="51"/>
    </row>
    <row r="566" customFormat="false" ht="15.75" hidden="false" customHeight="false" outlineLevel="0" collapsed="false">
      <c r="A566" s="51"/>
      <c r="B566" s="51"/>
      <c r="C566" s="6"/>
      <c r="D566" s="49"/>
      <c r="E566" s="51"/>
      <c r="F566" s="6"/>
      <c r="G566" s="6"/>
      <c r="H566" s="6"/>
      <c r="I566" s="6"/>
      <c r="J566" s="6"/>
      <c r="K566" s="51"/>
      <c r="L566" s="51"/>
      <c r="M566" s="51"/>
      <c r="N566" s="51"/>
      <c r="O566" s="51"/>
      <c r="P566" s="51"/>
      <c r="Q566" s="51"/>
      <c r="R566" s="51"/>
      <c r="S566" s="51"/>
      <c r="T566" s="51"/>
      <c r="U566" s="51"/>
      <c r="V566" s="51"/>
      <c r="W566" s="51"/>
      <c r="X566" s="51"/>
      <c r="Y566" s="51"/>
      <c r="Z566" s="51"/>
      <c r="AA566" s="51"/>
      <c r="AB566" s="51"/>
    </row>
    <row r="567" customFormat="false" ht="15.75" hidden="false" customHeight="false" outlineLevel="0" collapsed="false">
      <c r="A567" s="51"/>
      <c r="B567" s="51"/>
      <c r="C567" s="6"/>
      <c r="D567" s="49"/>
      <c r="E567" s="51"/>
      <c r="F567" s="6"/>
      <c r="G567" s="6"/>
      <c r="H567" s="6"/>
      <c r="I567" s="6"/>
      <c r="J567" s="6"/>
      <c r="K567" s="51"/>
      <c r="L567" s="51"/>
      <c r="M567" s="51"/>
      <c r="N567" s="51"/>
      <c r="O567" s="51"/>
      <c r="P567" s="51"/>
      <c r="Q567" s="51"/>
      <c r="R567" s="51"/>
      <c r="S567" s="51"/>
      <c r="T567" s="51"/>
      <c r="U567" s="51"/>
      <c r="V567" s="51"/>
      <c r="W567" s="51"/>
      <c r="X567" s="51"/>
      <c r="Y567" s="51"/>
      <c r="Z567" s="51"/>
      <c r="AA567" s="51"/>
      <c r="AB567" s="51"/>
    </row>
    <row r="568" customFormat="false" ht="15.75" hidden="false" customHeight="false" outlineLevel="0" collapsed="false">
      <c r="A568" s="51"/>
      <c r="B568" s="51"/>
      <c r="C568" s="6"/>
      <c r="D568" s="49"/>
      <c r="E568" s="51"/>
      <c r="F568" s="6"/>
      <c r="G568" s="6"/>
      <c r="H568" s="6"/>
      <c r="I568" s="6"/>
      <c r="J568" s="6"/>
      <c r="K568" s="51"/>
      <c r="L568" s="51"/>
      <c r="M568" s="51"/>
      <c r="N568" s="51"/>
      <c r="O568" s="51"/>
      <c r="P568" s="51"/>
      <c r="Q568" s="51"/>
      <c r="R568" s="51"/>
      <c r="S568" s="51"/>
      <c r="T568" s="51"/>
      <c r="U568" s="51"/>
      <c r="V568" s="51"/>
      <c r="W568" s="51"/>
      <c r="X568" s="51"/>
      <c r="Y568" s="51"/>
      <c r="Z568" s="51"/>
      <c r="AA568" s="51"/>
      <c r="AB568" s="51"/>
    </row>
    <row r="569" customFormat="false" ht="15.75" hidden="false" customHeight="false" outlineLevel="0" collapsed="false">
      <c r="A569" s="51"/>
      <c r="B569" s="51"/>
      <c r="C569" s="6"/>
      <c r="D569" s="49"/>
      <c r="E569" s="51"/>
      <c r="F569" s="6"/>
      <c r="G569" s="6"/>
      <c r="H569" s="6"/>
      <c r="I569" s="6"/>
      <c r="J569" s="6"/>
      <c r="K569" s="51"/>
      <c r="L569" s="51"/>
      <c r="M569" s="51"/>
      <c r="N569" s="51"/>
      <c r="O569" s="51"/>
      <c r="P569" s="51"/>
      <c r="Q569" s="51"/>
      <c r="R569" s="51"/>
      <c r="S569" s="51"/>
      <c r="T569" s="51"/>
      <c r="U569" s="51"/>
      <c r="V569" s="51"/>
      <c r="W569" s="51"/>
      <c r="X569" s="51"/>
      <c r="Y569" s="51"/>
      <c r="Z569" s="51"/>
      <c r="AA569" s="51"/>
      <c r="AB569" s="51"/>
    </row>
    <row r="570" customFormat="false" ht="15.75" hidden="false" customHeight="false" outlineLevel="0" collapsed="false">
      <c r="A570" s="51"/>
      <c r="B570" s="51"/>
      <c r="C570" s="6"/>
      <c r="D570" s="49"/>
      <c r="E570" s="51"/>
      <c r="F570" s="6"/>
      <c r="G570" s="6"/>
      <c r="H570" s="6"/>
      <c r="I570" s="6"/>
      <c r="J570" s="6"/>
      <c r="K570" s="51"/>
      <c r="L570" s="51"/>
      <c r="M570" s="51"/>
      <c r="N570" s="51"/>
      <c r="O570" s="51"/>
      <c r="P570" s="51"/>
      <c r="Q570" s="51"/>
      <c r="R570" s="51"/>
      <c r="S570" s="51"/>
      <c r="T570" s="51"/>
      <c r="U570" s="51"/>
      <c r="V570" s="51"/>
      <c r="W570" s="51"/>
      <c r="X570" s="51"/>
      <c r="Y570" s="51"/>
      <c r="Z570" s="51"/>
      <c r="AA570" s="51"/>
      <c r="AB570" s="51"/>
    </row>
    <row r="571" customFormat="false" ht="15.75" hidden="false" customHeight="false" outlineLevel="0" collapsed="false">
      <c r="A571" s="51"/>
      <c r="B571" s="51"/>
      <c r="C571" s="6"/>
      <c r="D571" s="49"/>
      <c r="E571" s="51"/>
      <c r="F571" s="6"/>
      <c r="G571" s="6"/>
      <c r="H571" s="6"/>
      <c r="I571" s="6"/>
      <c r="J571" s="6"/>
      <c r="K571" s="51"/>
      <c r="L571" s="51"/>
      <c r="M571" s="51"/>
      <c r="N571" s="51"/>
      <c r="O571" s="51"/>
      <c r="P571" s="51"/>
      <c r="Q571" s="51"/>
      <c r="R571" s="51"/>
      <c r="S571" s="51"/>
      <c r="T571" s="51"/>
      <c r="U571" s="51"/>
      <c r="V571" s="51"/>
      <c r="W571" s="51"/>
      <c r="X571" s="51"/>
      <c r="Y571" s="51"/>
      <c r="Z571" s="51"/>
      <c r="AA571" s="51"/>
      <c r="AB571" s="51"/>
    </row>
    <row r="572" customFormat="false" ht="15.75" hidden="false" customHeight="false" outlineLevel="0" collapsed="false">
      <c r="A572" s="51"/>
      <c r="B572" s="51"/>
      <c r="C572" s="6"/>
      <c r="D572" s="49"/>
      <c r="E572" s="51"/>
      <c r="F572" s="6"/>
      <c r="G572" s="6"/>
      <c r="H572" s="6"/>
      <c r="I572" s="6"/>
      <c r="J572" s="6"/>
      <c r="K572" s="51"/>
      <c r="L572" s="51"/>
      <c r="M572" s="51"/>
      <c r="N572" s="51"/>
      <c r="O572" s="51"/>
      <c r="P572" s="51"/>
      <c r="Q572" s="51"/>
      <c r="R572" s="51"/>
      <c r="S572" s="51"/>
      <c r="T572" s="51"/>
      <c r="U572" s="51"/>
      <c r="V572" s="51"/>
      <c r="W572" s="51"/>
      <c r="X572" s="51"/>
      <c r="Y572" s="51"/>
      <c r="Z572" s="51"/>
      <c r="AA572" s="51"/>
      <c r="AB572" s="51"/>
    </row>
    <row r="573" customFormat="false" ht="15.75" hidden="false" customHeight="false" outlineLevel="0" collapsed="false">
      <c r="A573" s="51"/>
      <c r="B573" s="51"/>
      <c r="C573" s="6"/>
      <c r="D573" s="49"/>
      <c r="E573" s="51"/>
      <c r="F573" s="6"/>
      <c r="G573" s="6"/>
      <c r="H573" s="6"/>
      <c r="I573" s="6"/>
      <c r="J573" s="6"/>
      <c r="K573" s="51"/>
      <c r="L573" s="51"/>
      <c r="M573" s="51"/>
      <c r="N573" s="51"/>
      <c r="O573" s="51"/>
      <c r="P573" s="51"/>
      <c r="Q573" s="51"/>
      <c r="R573" s="51"/>
      <c r="S573" s="51"/>
      <c r="T573" s="51"/>
      <c r="U573" s="51"/>
      <c r="V573" s="51"/>
      <c r="W573" s="51"/>
      <c r="X573" s="51"/>
      <c r="Y573" s="51"/>
      <c r="Z573" s="51"/>
      <c r="AA573" s="51"/>
      <c r="AB573" s="51"/>
    </row>
    <row r="574" customFormat="false" ht="15.75" hidden="false" customHeight="false" outlineLevel="0" collapsed="false">
      <c r="A574" s="51"/>
      <c r="B574" s="51"/>
      <c r="C574" s="6"/>
      <c r="D574" s="49"/>
      <c r="E574" s="51"/>
      <c r="F574" s="6"/>
      <c r="G574" s="6"/>
      <c r="H574" s="6"/>
      <c r="I574" s="6"/>
      <c r="J574" s="6"/>
      <c r="K574" s="51"/>
      <c r="L574" s="51"/>
      <c r="M574" s="51"/>
      <c r="N574" s="51"/>
      <c r="O574" s="51"/>
      <c r="P574" s="51"/>
      <c r="Q574" s="51"/>
      <c r="R574" s="51"/>
      <c r="S574" s="51"/>
      <c r="T574" s="51"/>
      <c r="U574" s="51"/>
      <c r="V574" s="51"/>
      <c r="W574" s="51"/>
      <c r="X574" s="51"/>
      <c r="Y574" s="51"/>
      <c r="Z574" s="51"/>
      <c r="AA574" s="51"/>
      <c r="AB574" s="51"/>
    </row>
    <row r="575" customFormat="false" ht="15.75" hidden="false" customHeight="false" outlineLevel="0" collapsed="false">
      <c r="A575" s="51"/>
      <c r="B575" s="51"/>
      <c r="C575" s="6"/>
      <c r="D575" s="49"/>
      <c r="E575" s="51"/>
      <c r="F575" s="6"/>
      <c r="G575" s="6"/>
      <c r="H575" s="6"/>
      <c r="I575" s="6"/>
      <c r="J575" s="6"/>
      <c r="K575" s="51"/>
      <c r="L575" s="51"/>
      <c r="M575" s="51"/>
      <c r="N575" s="51"/>
      <c r="O575" s="51"/>
      <c r="P575" s="51"/>
      <c r="Q575" s="51"/>
      <c r="R575" s="51"/>
      <c r="S575" s="51"/>
      <c r="T575" s="51"/>
      <c r="U575" s="51"/>
      <c r="V575" s="51"/>
      <c r="W575" s="51"/>
      <c r="X575" s="51"/>
      <c r="Y575" s="51"/>
      <c r="Z575" s="51"/>
      <c r="AA575" s="51"/>
      <c r="AB575" s="51"/>
    </row>
    <row r="576" customFormat="false" ht="15.75" hidden="false" customHeight="false" outlineLevel="0" collapsed="false">
      <c r="A576" s="51"/>
      <c r="B576" s="51"/>
      <c r="C576" s="6"/>
      <c r="D576" s="49"/>
      <c r="E576" s="51"/>
      <c r="F576" s="6"/>
      <c r="G576" s="6"/>
      <c r="H576" s="6"/>
      <c r="I576" s="6"/>
      <c r="J576" s="6"/>
      <c r="K576" s="51"/>
      <c r="L576" s="51"/>
      <c r="M576" s="51"/>
      <c r="N576" s="51"/>
      <c r="O576" s="51"/>
      <c r="P576" s="51"/>
      <c r="Q576" s="51"/>
      <c r="R576" s="51"/>
      <c r="S576" s="51"/>
      <c r="T576" s="51"/>
      <c r="U576" s="51"/>
      <c r="V576" s="51"/>
      <c r="W576" s="51"/>
      <c r="X576" s="51"/>
      <c r="Y576" s="51"/>
      <c r="Z576" s="51"/>
      <c r="AA576" s="51"/>
      <c r="AB576" s="51"/>
    </row>
    <row r="577" customFormat="false" ht="15.75" hidden="false" customHeight="false" outlineLevel="0" collapsed="false">
      <c r="A577" s="51"/>
      <c r="B577" s="51"/>
      <c r="C577" s="6"/>
      <c r="D577" s="49"/>
      <c r="E577" s="51"/>
      <c r="F577" s="6"/>
      <c r="G577" s="6"/>
      <c r="H577" s="6"/>
      <c r="I577" s="6"/>
      <c r="J577" s="6"/>
      <c r="K577" s="51"/>
      <c r="L577" s="51"/>
      <c r="M577" s="51"/>
      <c r="N577" s="51"/>
      <c r="O577" s="51"/>
      <c r="P577" s="51"/>
      <c r="Q577" s="51"/>
      <c r="R577" s="51"/>
      <c r="S577" s="51"/>
      <c r="T577" s="51"/>
      <c r="U577" s="51"/>
      <c r="V577" s="51"/>
      <c r="W577" s="51"/>
      <c r="X577" s="51"/>
      <c r="Y577" s="51"/>
      <c r="Z577" s="51"/>
      <c r="AA577" s="51"/>
      <c r="AB577" s="51"/>
    </row>
    <row r="578" customFormat="false" ht="15.75" hidden="false" customHeight="false" outlineLevel="0" collapsed="false">
      <c r="A578" s="51"/>
      <c r="B578" s="51"/>
      <c r="C578" s="6"/>
      <c r="D578" s="49"/>
      <c r="E578" s="51"/>
      <c r="F578" s="6"/>
      <c r="G578" s="6"/>
      <c r="H578" s="6"/>
      <c r="I578" s="6"/>
      <c r="J578" s="6"/>
      <c r="K578" s="51"/>
      <c r="L578" s="51"/>
      <c r="M578" s="51"/>
      <c r="N578" s="51"/>
      <c r="O578" s="51"/>
      <c r="P578" s="51"/>
      <c r="Q578" s="51"/>
      <c r="R578" s="51"/>
      <c r="S578" s="51"/>
      <c r="T578" s="51"/>
      <c r="U578" s="51"/>
      <c r="V578" s="51"/>
      <c r="W578" s="51"/>
      <c r="X578" s="51"/>
      <c r="Y578" s="51"/>
      <c r="Z578" s="51"/>
      <c r="AA578" s="51"/>
      <c r="AB578" s="51"/>
    </row>
    <row r="579" customFormat="false" ht="15.75" hidden="false" customHeight="false" outlineLevel="0" collapsed="false">
      <c r="A579" s="51"/>
      <c r="B579" s="51"/>
      <c r="C579" s="6"/>
      <c r="D579" s="49"/>
      <c r="E579" s="51"/>
      <c r="F579" s="6"/>
      <c r="G579" s="6"/>
      <c r="H579" s="6"/>
      <c r="I579" s="6"/>
      <c r="J579" s="6"/>
      <c r="K579" s="51"/>
      <c r="L579" s="51"/>
      <c r="M579" s="51"/>
      <c r="N579" s="51"/>
      <c r="O579" s="51"/>
      <c r="P579" s="51"/>
      <c r="Q579" s="51"/>
      <c r="R579" s="51"/>
      <c r="S579" s="51"/>
      <c r="T579" s="51"/>
      <c r="U579" s="51"/>
      <c r="V579" s="51"/>
      <c r="W579" s="51"/>
      <c r="X579" s="51"/>
      <c r="Y579" s="51"/>
      <c r="Z579" s="51"/>
      <c r="AA579" s="51"/>
      <c r="AB579" s="51"/>
    </row>
    <row r="580" customFormat="false" ht="15.75" hidden="false" customHeight="false" outlineLevel="0" collapsed="false">
      <c r="A580" s="51"/>
      <c r="B580" s="51"/>
      <c r="C580" s="6"/>
      <c r="D580" s="49"/>
      <c r="E580" s="51"/>
      <c r="F580" s="6"/>
      <c r="G580" s="6"/>
      <c r="H580" s="6"/>
      <c r="I580" s="6"/>
      <c r="J580" s="6"/>
      <c r="K580" s="51"/>
      <c r="L580" s="51"/>
      <c r="M580" s="51"/>
      <c r="N580" s="51"/>
      <c r="O580" s="51"/>
      <c r="P580" s="51"/>
      <c r="Q580" s="51"/>
      <c r="R580" s="51"/>
      <c r="S580" s="51"/>
      <c r="T580" s="51"/>
      <c r="U580" s="51"/>
      <c r="V580" s="51"/>
      <c r="W580" s="51"/>
      <c r="X580" s="51"/>
      <c r="Y580" s="51"/>
      <c r="Z580" s="51"/>
      <c r="AA580" s="51"/>
      <c r="AB580" s="51"/>
    </row>
    <row r="581" customFormat="false" ht="15.75" hidden="false" customHeight="false" outlineLevel="0" collapsed="false">
      <c r="A581" s="51"/>
      <c r="B581" s="51"/>
      <c r="C581" s="6"/>
      <c r="D581" s="49"/>
      <c r="E581" s="51"/>
      <c r="F581" s="6"/>
      <c r="G581" s="6"/>
      <c r="H581" s="6"/>
      <c r="I581" s="6"/>
      <c r="J581" s="6"/>
      <c r="K581" s="51"/>
      <c r="L581" s="51"/>
      <c r="M581" s="51"/>
      <c r="N581" s="51"/>
      <c r="O581" s="51"/>
      <c r="P581" s="51"/>
      <c r="Q581" s="51"/>
      <c r="R581" s="51"/>
      <c r="S581" s="51"/>
      <c r="T581" s="51"/>
      <c r="U581" s="51"/>
      <c r="V581" s="51"/>
      <c r="W581" s="51"/>
      <c r="X581" s="51"/>
      <c r="Y581" s="51"/>
      <c r="Z581" s="51"/>
      <c r="AA581" s="51"/>
      <c r="AB581" s="51"/>
    </row>
    <row r="582" customFormat="false" ht="15.75" hidden="false" customHeight="false" outlineLevel="0" collapsed="false">
      <c r="A582" s="51"/>
      <c r="B582" s="51"/>
      <c r="C582" s="6"/>
      <c r="D582" s="49"/>
      <c r="E582" s="51"/>
      <c r="F582" s="6"/>
      <c r="G582" s="6"/>
      <c r="H582" s="6"/>
      <c r="I582" s="6"/>
      <c r="J582" s="6"/>
      <c r="K582" s="51"/>
      <c r="L582" s="51"/>
      <c r="M582" s="51"/>
      <c r="N582" s="51"/>
      <c r="O582" s="51"/>
      <c r="P582" s="51"/>
      <c r="Q582" s="51"/>
      <c r="R582" s="51"/>
      <c r="S582" s="51"/>
      <c r="T582" s="51"/>
      <c r="U582" s="51"/>
      <c r="V582" s="51"/>
      <c r="W582" s="51"/>
      <c r="X582" s="51"/>
      <c r="Y582" s="51"/>
      <c r="Z582" s="51"/>
      <c r="AA582" s="51"/>
      <c r="AB582" s="51"/>
    </row>
    <row r="583" customFormat="false" ht="15.75" hidden="false" customHeight="false" outlineLevel="0" collapsed="false">
      <c r="A583" s="51"/>
      <c r="B583" s="51"/>
      <c r="C583" s="6"/>
      <c r="D583" s="49"/>
      <c r="E583" s="51"/>
      <c r="F583" s="6"/>
      <c r="G583" s="6"/>
      <c r="H583" s="6"/>
      <c r="I583" s="6"/>
      <c r="J583" s="6"/>
      <c r="K583" s="51"/>
      <c r="L583" s="51"/>
      <c r="M583" s="51"/>
      <c r="N583" s="51"/>
      <c r="O583" s="51"/>
      <c r="P583" s="51"/>
      <c r="Q583" s="51"/>
      <c r="R583" s="51"/>
      <c r="S583" s="51"/>
      <c r="T583" s="51"/>
      <c r="U583" s="51"/>
      <c r="V583" s="51"/>
      <c r="W583" s="51"/>
      <c r="X583" s="51"/>
      <c r="Y583" s="51"/>
      <c r="Z583" s="51"/>
      <c r="AA583" s="51"/>
      <c r="AB583" s="51"/>
    </row>
    <row r="584" customFormat="false" ht="15.75" hidden="false" customHeight="false" outlineLevel="0" collapsed="false">
      <c r="A584" s="51"/>
      <c r="B584" s="51"/>
      <c r="C584" s="6"/>
      <c r="D584" s="49"/>
      <c r="E584" s="51"/>
      <c r="F584" s="6"/>
      <c r="G584" s="6"/>
      <c r="H584" s="6"/>
      <c r="I584" s="6"/>
      <c r="J584" s="6"/>
      <c r="K584" s="51"/>
      <c r="L584" s="51"/>
      <c r="M584" s="51"/>
      <c r="N584" s="51"/>
      <c r="O584" s="51"/>
      <c r="P584" s="51"/>
      <c r="Q584" s="51"/>
      <c r="R584" s="51"/>
      <c r="S584" s="51"/>
      <c r="T584" s="51"/>
      <c r="U584" s="51"/>
      <c r="V584" s="51"/>
      <c r="W584" s="51"/>
      <c r="X584" s="51"/>
      <c r="Y584" s="51"/>
      <c r="Z584" s="51"/>
      <c r="AA584" s="51"/>
      <c r="AB584" s="51"/>
    </row>
    <row r="585" customFormat="false" ht="15.75" hidden="false" customHeight="false" outlineLevel="0" collapsed="false">
      <c r="A585" s="51"/>
      <c r="B585" s="51"/>
      <c r="C585" s="6"/>
      <c r="D585" s="49"/>
      <c r="E585" s="51"/>
      <c r="F585" s="6"/>
      <c r="G585" s="6"/>
      <c r="H585" s="6"/>
      <c r="I585" s="6"/>
      <c r="J585" s="6"/>
      <c r="K585" s="51"/>
      <c r="L585" s="51"/>
      <c r="M585" s="51"/>
      <c r="N585" s="51"/>
      <c r="O585" s="51"/>
      <c r="P585" s="51"/>
      <c r="Q585" s="51"/>
      <c r="R585" s="51"/>
      <c r="S585" s="51"/>
      <c r="T585" s="51"/>
      <c r="U585" s="51"/>
      <c r="V585" s="51"/>
      <c r="W585" s="51"/>
      <c r="X585" s="51"/>
      <c r="Y585" s="51"/>
      <c r="Z585" s="51"/>
      <c r="AA585" s="51"/>
      <c r="AB585" s="51"/>
    </row>
    <row r="586" customFormat="false" ht="15.75" hidden="false" customHeight="false" outlineLevel="0" collapsed="false">
      <c r="A586" s="51"/>
      <c r="B586" s="51"/>
      <c r="C586" s="6"/>
      <c r="D586" s="49"/>
      <c r="E586" s="51"/>
      <c r="F586" s="6"/>
      <c r="G586" s="6"/>
      <c r="H586" s="6"/>
      <c r="I586" s="6"/>
      <c r="J586" s="6"/>
      <c r="K586" s="51"/>
      <c r="L586" s="51"/>
      <c r="M586" s="51"/>
      <c r="N586" s="51"/>
      <c r="O586" s="51"/>
      <c r="P586" s="51"/>
      <c r="Q586" s="51"/>
      <c r="R586" s="51"/>
      <c r="S586" s="51"/>
      <c r="T586" s="51"/>
      <c r="U586" s="51"/>
      <c r="V586" s="51"/>
      <c r="W586" s="51"/>
      <c r="X586" s="51"/>
      <c r="Y586" s="51"/>
      <c r="Z586" s="51"/>
      <c r="AA586" s="51"/>
      <c r="AB586" s="51"/>
    </row>
    <row r="587" customFormat="false" ht="15.75" hidden="false" customHeight="false" outlineLevel="0" collapsed="false">
      <c r="A587" s="51"/>
      <c r="B587" s="51"/>
      <c r="C587" s="6"/>
      <c r="D587" s="49"/>
      <c r="E587" s="51"/>
      <c r="F587" s="6"/>
      <c r="G587" s="6"/>
      <c r="H587" s="6"/>
      <c r="I587" s="6"/>
      <c r="J587" s="6"/>
      <c r="K587" s="51"/>
      <c r="L587" s="51"/>
      <c r="M587" s="51"/>
      <c r="N587" s="51"/>
      <c r="O587" s="51"/>
      <c r="P587" s="51"/>
      <c r="Q587" s="51"/>
      <c r="R587" s="51"/>
      <c r="S587" s="51"/>
      <c r="T587" s="51"/>
      <c r="U587" s="51"/>
      <c r="V587" s="51"/>
      <c r="W587" s="51"/>
      <c r="X587" s="51"/>
      <c r="Y587" s="51"/>
      <c r="Z587" s="51"/>
      <c r="AA587" s="51"/>
      <c r="AB587" s="51"/>
    </row>
    <row r="588" customFormat="false" ht="15.75" hidden="false" customHeight="false" outlineLevel="0" collapsed="false">
      <c r="A588" s="51"/>
      <c r="B588" s="51"/>
      <c r="C588" s="6"/>
      <c r="D588" s="49"/>
      <c r="E588" s="51"/>
      <c r="F588" s="6"/>
      <c r="G588" s="6"/>
      <c r="H588" s="6"/>
      <c r="I588" s="6"/>
      <c r="J588" s="6"/>
      <c r="K588" s="51"/>
      <c r="L588" s="51"/>
      <c r="M588" s="51"/>
      <c r="N588" s="51"/>
      <c r="O588" s="51"/>
      <c r="P588" s="51"/>
      <c r="Q588" s="51"/>
      <c r="R588" s="51"/>
      <c r="S588" s="51"/>
      <c r="T588" s="51"/>
      <c r="U588" s="51"/>
      <c r="V588" s="51"/>
      <c r="W588" s="51"/>
      <c r="X588" s="51"/>
      <c r="Y588" s="51"/>
      <c r="Z588" s="51"/>
      <c r="AA588" s="51"/>
      <c r="AB588" s="51"/>
    </row>
    <row r="589" customFormat="false" ht="15.75" hidden="false" customHeight="false" outlineLevel="0" collapsed="false">
      <c r="A589" s="51"/>
      <c r="B589" s="51"/>
      <c r="C589" s="6"/>
      <c r="D589" s="49"/>
      <c r="E589" s="51"/>
      <c r="F589" s="6"/>
      <c r="G589" s="6"/>
      <c r="H589" s="6"/>
      <c r="I589" s="6"/>
      <c r="J589" s="6"/>
      <c r="K589" s="51"/>
      <c r="L589" s="51"/>
      <c r="M589" s="51"/>
      <c r="N589" s="51"/>
      <c r="O589" s="51"/>
      <c r="P589" s="51"/>
      <c r="Q589" s="51"/>
      <c r="R589" s="51"/>
      <c r="S589" s="51"/>
      <c r="T589" s="51"/>
      <c r="U589" s="51"/>
      <c r="V589" s="51"/>
      <c r="W589" s="51"/>
      <c r="X589" s="51"/>
      <c r="Y589" s="51"/>
      <c r="Z589" s="51"/>
      <c r="AA589" s="51"/>
      <c r="AB589" s="51"/>
    </row>
    <row r="590" customFormat="false" ht="15.75" hidden="false" customHeight="false" outlineLevel="0" collapsed="false">
      <c r="A590" s="51"/>
      <c r="B590" s="51"/>
      <c r="C590" s="6"/>
      <c r="D590" s="49"/>
      <c r="E590" s="51"/>
      <c r="F590" s="6"/>
      <c r="G590" s="6"/>
      <c r="H590" s="6"/>
      <c r="I590" s="6"/>
      <c r="J590" s="6"/>
      <c r="K590" s="51"/>
      <c r="L590" s="51"/>
      <c r="M590" s="51"/>
      <c r="N590" s="51"/>
      <c r="O590" s="51"/>
      <c r="P590" s="51"/>
      <c r="Q590" s="51"/>
      <c r="R590" s="51"/>
      <c r="S590" s="51"/>
      <c r="T590" s="51"/>
      <c r="U590" s="51"/>
      <c r="V590" s="51"/>
      <c r="W590" s="51"/>
      <c r="X590" s="51"/>
      <c r="Y590" s="51"/>
      <c r="Z590" s="51"/>
      <c r="AA590" s="51"/>
      <c r="AB590" s="51"/>
    </row>
    <row r="591" customFormat="false" ht="15.75" hidden="false" customHeight="false" outlineLevel="0" collapsed="false">
      <c r="A591" s="51"/>
      <c r="B591" s="51"/>
      <c r="C591" s="6"/>
      <c r="D591" s="49"/>
      <c r="E591" s="51"/>
      <c r="F591" s="6"/>
      <c r="G591" s="6"/>
      <c r="H591" s="6"/>
      <c r="I591" s="6"/>
      <c r="J591" s="6"/>
      <c r="K591" s="51"/>
      <c r="L591" s="51"/>
      <c r="M591" s="51"/>
      <c r="N591" s="51"/>
      <c r="O591" s="51"/>
      <c r="P591" s="51"/>
      <c r="Q591" s="51"/>
      <c r="R591" s="51"/>
      <c r="S591" s="51"/>
      <c r="T591" s="51"/>
      <c r="U591" s="51"/>
      <c r="V591" s="51"/>
      <c r="W591" s="51"/>
      <c r="X591" s="51"/>
      <c r="Y591" s="51"/>
      <c r="Z591" s="51"/>
      <c r="AA591" s="51"/>
      <c r="AB591" s="51"/>
    </row>
    <row r="592" customFormat="false" ht="15.75" hidden="false" customHeight="false" outlineLevel="0" collapsed="false">
      <c r="A592" s="51"/>
      <c r="B592" s="51"/>
      <c r="C592" s="6"/>
      <c r="D592" s="49"/>
      <c r="E592" s="51"/>
      <c r="F592" s="6"/>
      <c r="G592" s="6"/>
      <c r="H592" s="6"/>
      <c r="I592" s="6"/>
      <c r="J592" s="6"/>
      <c r="K592" s="51"/>
      <c r="L592" s="51"/>
      <c r="M592" s="51"/>
      <c r="N592" s="51"/>
      <c r="O592" s="51"/>
      <c r="P592" s="51"/>
      <c r="Q592" s="51"/>
      <c r="R592" s="51"/>
      <c r="S592" s="51"/>
      <c r="T592" s="51"/>
      <c r="U592" s="51"/>
      <c r="V592" s="51"/>
      <c r="W592" s="51"/>
      <c r="X592" s="51"/>
      <c r="Y592" s="51"/>
      <c r="Z592" s="51"/>
      <c r="AA592" s="51"/>
      <c r="AB592" s="51"/>
    </row>
    <row r="593" customFormat="false" ht="15.75" hidden="false" customHeight="false" outlineLevel="0" collapsed="false">
      <c r="A593" s="51"/>
      <c r="B593" s="51"/>
      <c r="C593" s="6"/>
      <c r="D593" s="49"/>
      <c r="E593" s="51"/>
      <c r="F593" s="6"/>
      <c r="G593" s="6"/>
      <c r="H593" s="6"/>
      <c r="I593" s="6"/>
      <c r="J593" s="6"/>
      <c r="K593" s="51"/>
      <c r="L593" s="51"/>
      <c r="M593" s="51"/>
      <c r="N593" s="51"/>
      <c r="O593" s="51"/>
      <c r="P593" s="51"/>
      <c r="Q593" s="51"/>
      <c r="R593" s="51"/>
      <c r="S593" s="51"/>
      <c r="T593" s="51"/>
      <c r="U593" s="51"/>
      <c r="V593" s="51"/>
      <c r="W593" s="51"/>
      <c r="X593" s="51"/>
      <c r="Y593" s="51"/>
      <c r="Z593" s="51"/>
      <c r="AA593" s="51"/>
      <c r="AB593" s="51"/>
    </row>
    <row r="594" customFormat="false" ht="15.75" hidden="false" customHeight="false" outlineLevel="0" collapsed="false">
      <c r="A594" s="51"/>
      <c r="B594" s="51"/>
      <c r="C594" s="6"/>
      <c r="D594" s="49"/>
      <c r="E594" s="51"/>
      <c r="F594" s="6"/>
      <c r="G594" s="6"/>
      <c r="H594" s="6"/>
      <c r="I594" s="6"/>
      <c r="J594" s="6"/>
      <c r="K594" s="51"/>
      <c r="L594" s="51"/>
      <c r="M594" s="51"/>
      <c r="N594" s="51"/>
      <c r="O594" s="51"/>
      <c r="P594" s="51"/>
      <c r="Q594" s="51"/>
      <c r="R594" s="51"/>
      <c r="S594" s="51"/>
      <c r="T594" s="51"/>
      <c r="U594" s="51"/>
      <c r="V594" s="51"/>
      <c r="W594" s="51"/>
      <c r="X594" s="51"/>
      <c r="Y594" s="51"/>
      <c r="Z594" s="51"/>
      <c r="AA594" s="51"/>
      <c r="AB594" s="51"/>
    </row>
    <row r="595" customFormat="false" ht="15.75" hidden="false" customHeight="false" outlineLevel="0" collapsed="false">
      <c r="A595" s="51"/>
      <c r="B595" s="51"/>
      <c r="C595" s="6"/>
      <c r="D595" s="49"/>
      <c r="E595" s="51"/>
      <c r="F595" s="6"/>
      <c r="G595" s="6"/>
      <c r="H595" s="6"/>
      <c r="I595" s="6"/>
      <c r="J595" s="6"/>
      <c r="K595" s="51"/>
      <c r="L595" s="51"/>
      <c r="M595" s="51"/>
      <c r="N595" s="51"/>
      <c r="O595" s="51"/>
      <c r="P595" s="51"/>
      <c r="Q595" s="51"/>
      <c r="R595" s="51"/>
      <c r="S595" s="51"/>
      <c r="T595" s="51"/>
      <c r="U595" s="51"/>
      <c r="V595" s="51"/>
      <c r="W595" s="51"/>
      <c r="X595" s="51"/>
      <c r="Y595" s="51"/>
      <c r="Z595" s="51"/>
      <c r="AA595" s="51"/>
      <c r="AB595" s="51"/>
    </row>
    <row r="596" customFormat="false" ht="15.75" hidden="false" customHeight="false" outlineLevel="0" collapsed="false">
      <c r="A596" s="51"/>
      <c r="B596" s="51"/>
      <c r="C596" s="6"/>
      <c r="D596" s="49"/>
      <c r="E596" s="51"/>
      <c r="F596" s="6"/>
      <c r="G596" s="6"/>
      <c r="H596" s="6"/>
      <c r="I596" s="6"/>
      <c r="J596" s="6"/>
      <c r="K596" s="51"/>
      <c r="L596" s="51"/>
      <c r="M596" s="51"/>
      <c r="N596" s="51"/>
      <c r="O596" s="51"/>
      <c r="P596" s="51"/>
      <c r="Q596" s="51"/>
      <c r="R596" s="51"/>
      <c r="S596" s="51"/>
      <c r="T596" s="51"/>
      <c r="U596" s="51"/>
      <c r="V596" s="51"/>
      <c r="W596" s="51"/>
      <c r="X596" s="51"/>
      <c r="Y596" s="51"/>
      <c r="Z596" s="51"/>
      <c r="AA596" s="51"/>
      <c r="AB596" s="51"/>
    </row>
    <row r="597" customFormat="false" ht="15.75" hidden="false" customHeight="false" outlineLevel="0" collapsed="false">
      <c r="A597" s="51"/>
      <c r="B597" s="51"/>
      <c r="C597" s="6"/>
      <c r="D597" s="49"/>
      <c r="E597" s="51"/>
      <c r="F597" s="6"/>
      <c r="G597" s="6"/>
      <c r="H597" s="6"/>
      <c r="I597" s="6"/>
      <c r="J597" s="6"/>
      <c r="K597" s="51"/>
      <c r="L597" s="51"/>
      <c r="M597" s="51"/>
      <c r="N597" s="51"/>
      <c r="O597" s="51"/>
      <c r="P597" s="51"/>
      <c r="Q597" s="51"/>
      <c r="R597" s="51"/>
      <c r="S597" s="51"/>
      <c r="T597" s="51"/>
      <c r="U597" s="51"/>
      <c r="V597" s="51"/>
      <c r="W597" s="51"/>
      <c r="X597" s="51"/>
      <c r="Y597" s="51"/>
      <c r="Z597" s="51"/>
      <c r="AA597" s="51"/>
      <c r="AB597" s="51"/>
    </row>
    <row r="598" customFormat="false" ht="15.75" hidden="false" customHeight="false" outlineLevel="0" collapsed="false">
      <c r="A598" s="51"/>
      <c r="B598" s="51"/>
      <c r="C598" s="6"/>
      <c r="D598" s="49"/>
      <c r="E598" s="51"/>
      <c r="F598" s="6"/>
      <c r="G598" s="6"/>
      <c r="H598" s="6"/>
      <c r="I598" s="6"/>
      <c r="J598" s="6"/>
      <c r="K598" s="51"/>
      <c r="L598" s="51"/>
      <c r="M598" s="51"/>
      <c r="N598" s="51"/>
      <c r="O598" s="51"/>
      <c r="P598" s="51"/>
      <c r="Q598" s="51"/>
      <c r="R598" s="51"/>
      <c r="S598" s="51"/>
      <c r="T598" s="51"/>
      <c r="U598" s="51"/>
      <c r="V598" s="51"/>
      <c r="W598" s="51"/>
      <c r="X598" s="51"/>
      <c r="Y598" s="51"/>
      <c r="Z598" s="51"/>
      <c r="AA598" s="51"/>
      <c r="AB598" s="51"/>
    </row>
    <row r="599" customFormat="false" ht="15.75" hidden="false" customHeight="false" outlineLevel="0" collapsed="false">
      <c r="A599" s="51"/>
      <c r="B599" s="51"/>
      <c r="C599" s="6"/>
      <c r="D599" s="49"/>
      <c r="E599" s="51"/>
      <c r="F599" s="6"/>
      <c r="G599" s="6"/>
      <c r="H599" s="6"/>
      <c r="I599" s="6"/>
      <c r="J599" s="6"/>
      <c r="K599" s="51"/>
      <c r="L599" s="51"/>
      <c r="M599" s="51"/>
      <c r="N599" s="51"/>
      <c r="O599" s="51"/>
      <c r="P599" s="51"/>
      <c r="Q599" s="51"/>
      <c r="R599" s="51"/>
      <c r="S599" s="51"/>
      <c r="T599" s="51"/>
      <c r="U599" s="51"/>
      <c r="V599" s="51"/>
      <c r="W599" s="51"/>
      <c r="X599" s="51"/>
      <c r="Y599" s="51"/>
      <c r="Z599" s="51"/>
      <c r="AA599" s="51"/>
      <c r="AB599" s="51"/>
    </row>
    <row r="600" customFormat="false" ht="15.75" hidden="false" customHeight="false" outlineLevel="0" collapsed="false">
      <c r="A600" s="51"/>
      <c r="B600" s="51"/>
      <c r="C600" s="6"/>
      <c r="D600" s="49"/>
      <c r="E600" s="51"/>
      <c r="F600" s="6"/>
      <c r="G600" s="6"/>
      <c r="H600" s="6"/>
      <c r="I600" s="6"/>
      <c r="J600" s="6"/>
      <c r="K600" s="51"/>
      <c r="L600" s="51"/>
      <c r="M600" s="51"/>
      <c r="N600" s="51"/>
      <c r="O600" s="51"/>
      <c r="P600" s="51"/>
      <c r="Q600" s="51"/>
      <c r="R600" s="51"/>
      <c r="S600" s="51"/>
      <c r="T600" s="51"/>
      <c r="U600" s="51"/>
      <c r="V600" s="51"/>
      <c r="W600" s="51"/>
      <c r="X600" s="51"/>
      <c r="Y600" s="51"/>
      <c r="Z600" s="51"/>
      <c r="AA600" s="51"/>
      <c r="AB600" s="51"/>
    </row>
    <row r="601" customFormat="false" ht="15.75" hidden="false" customHeight="false" outlineLevel="0" collapsed="false">
      <c r="A601" s="51"/>
      <c r="B601" s="51"/>
      <c r="C601" s="6"/>
      <c r="D601" s="49"/>
      <c r="E601" s="51"/>
      <c r="F601" s="6"/>
      <c r="G601" s="6"/>
      <c r="H601" s="6"/>
      <c r="I601" s="6"/>
      <c r="J601" s="6"/>
      <c r="K601" s="51"/>
      <c r="L601" s="51"/>
      <c r="M601" s="51"/>
      <c r="N601" s="51"/>
      <c r="O601" s="51"/>
      <c r="P601" s="51"/>
      <c r="Q601" s="51"/>
      <c r="R601" s="51"/>
      <c r="S601" s="51"/>
      <c r="T601" s="51"/>
      <c r="U601" s="51"/>
      <c r="V601" s="51"/>
      <c r="W601" s="51"/>
      <c r="X601" s="51"/>
      <c r="Y601" s="51"/>
      <c r="Z601" s="51"/>
      <c r="AA601" s="51"/>
      <c r="AB601" s="51"/>
    </row>
    <row r="602" customFormat="false" ht="15.75" hidden="false" customHeight="false" outlineLevel="0" collapsed="false">
      <c r="A602" s="51"/>
      <c r="B602" s="51"/>
      <c r="C602" s="6"/>
      <c r="D602" s="49"/>
      <c r="E602" s="51"/>
      <c r="F602" s="6"/>
      <c r="G602" s="6"/>
      <c r="H602" s="6"/>
      <c r="I602" s="6"/>
      <c r="J602" s="6"/>
      <c r="K602" s="51"/>
      <c r="L602" s="51"/>
      <c r="M602" s="51"/>
      <c r="N602" s="51"/>
      <c r="O602" s="51"/>
      <c r="P602" s="51"/>
      <c r="Q602" s="51"/>
      <c r="R602" s="51"/>
      <c r="S602" s="51"/>
      <c r="T602" s="51"/>
      <c r="U602" s="51"/>
      <c r="V602" s="51"/>
      <c r="W602" s="51"/>
      <c r="X602" s="51"/>
      <c r="Y602" s="51"/>
      <c r="Z602" s="51"/>
      <c r="AA602" s="51"/>
      <c r="AB602" s="51"/>
    </row>
    <row r="603" customFormat="false" ht="15.75" hidden="false" customHeight="false" outlineLevel="0" collapsed="false">
      <c r="A603" s="51"/>
      <c r="B603" s="51"/>
      <c r="C603" s="6"/>
      <c r="D603" s="49"/>
      <c r="E603" s="51"/>
      <c r="F603" s="6"/>
      <c r="G603" s="6"/>
      <c r="H603" s="6"/>
      <c r="I603" s="6"/>
      <c r="J603" s="6"/>
      <c r="K603" s="51"/>
      <c r="L603" s="51"/>
      <c r="M603" s="51"/>
      <c r="N603" s="51"/>
      <c r="O603" s="51"/>
      <c r="P603" s="51"/>
      <c r="Q603" s="51"/>
      <c r="R603" s="51"/>
      <c r="S603" s="51"/>
      <c r="T603" s="51"/>
      <c r="U603" s="51"/>
      <c r="V603" s="51"/>
      <c r="W603" s="51"/>
      <c r="X603" s="51"/>
      <c r="Y603" s="51"/>
      <c r="Z603" s="51"/>
      <c r="AA603" s="51"/>
      <c r="AB603" s="51"/>
    </row>
    <row r="604" customFormat="false" ht="15.75" hidden="false" customHeight="false" outlineLevel="0" collapsed="false">
      <c r="A604" s="51"/>
      <c r="B604" s="51"/>
      <c r="C604" s="6"/>
      <c r="D604" s="49"/>
      <c r="E604" s="51"/>
      <c r="F604" s="6"/>
      <c r="G604" s="6"/>
      <c r="H604" s="6"/>
      <c r="I604" s="6"/>
      <c r="J604" s="6"/>
      <c r="K604" s="51"/>
      <c r="L604" s="51"/>
      <c r="M604" s="51"/>
      <c r="N604" s="51"/>
      <c r="O604" s="51"/>
      <c r="P604" s="51"/>
      <c r="Q604" s="51"/>
      <c r="R604" s="51"/>
      <c r="S604" s="51"/>
      <c r="T604" s="51"/>
      <c r="U604" s="51"/>
      <c r="V604" s="51"/>
      <c r="W604" s="51"/>
      <c r="X604" s="51"/>
      <c r="Y604" s="51"/>
      <c r="Z604" s="51"/>
      <c r="AA604" s="51"/>
      <c r="AB604" s="51"/>
    </row>
    <row r="605" customFormat="false" ht="15.75" hidden="false" customHeight="false" outlineLevel="0" collapsed="false">
      <c r="A605" s="51"/>
      <c r="B605" s="51"/>
      <c r="C605" s="6"/>
      <c r="D605" s="49"/>
      <c r="E605" s="51"/>
      <c r="F605" s="6"/>
      <c r="G605" s="6"/>
      <c r="H605" s="6"/>
      <c r="I605" s="6"/>
      <c r="J605" s="6"/>
      <c r="K605" s="51"/>
      <c r="L605" s="51"/>
      <c r="M605" s="51"/>
      <c r="N605" s="51"/>
      <c r="O605" s="51"/>
      <c r="P605" s="51"/>
      <c r="Q605" s="51"/>
      <c r="R605" s="51"/>
      <c r="S605" s="51"/>
      <c r="T605" s="51"/>
      <c r="U605" s="51"/>
      <c r="V605" s="51"/>
      <c r="W605" s="51"/>
      <c r="X605" s="51"/>
      <c r="Y605" s="51"/>
      <c r="Z605" s="51"/>
      <c r="AA605" s="51"/>
      <c r="AB605" s="51"/>
    </row>
    <row r="606" customFormat="false" ht="15.75" hidden="false" customHeight="false" outlineLevel="0" collapsed="false">
      <c r="A606" s="51"/>
      <c r="B606" s="51"/>
      <c r="C606" s="6"/>
      <c r="D606" s="49"/>
      <c r="E606" s="51"/>
      <c r="F606" s="6"/>
      <c r="G606" s="6"/>
      <c r="H606" s="6"/>
      <c r="I606" s="6"/>
      <c r="J606" s="6"/>
      <c r="K606" s="51"/>
      <c r="L606" s="51"/>
      <c r="M606" s="51"/>
      <c r="N606" s="51"/>
      <c r="O606" s="51"/>
      <c r="P606" s="51"/>
      <c r="Q606" s="51"/>
      <c r="R606" s="51"/>
      <c r="S606" s="51"/>
      <c r="T606" s="51"/>
      <c r="U606" s="51"/>
      <c r="V606" s="51"/>
      <c r="W606" s="51"/>
      <c r="X606" s="51"/>
      <c r="Y606" s="51"/>
      <c r="Z606" s="51"/>
      <c r="AA606" s="51"/>
      <c r="AB606" s="51"/>
    </row>
    <row r="607" customFormat="false" ht="15.75" hidden="false" customHeight="false" outlineLevel="0" collapsed="false">
      <c r="A607" s="51"/>
      <c r="B607" s="51"/>
      <c r="C607" s="6"/>
      <c r="D607" s="49"/>
      <c r="E607" s="51"/>
      <c r="F607" s="6"/>
      <c r="G607" s="6"/>
      <c r="H607" s="6"/>
      <c r="I607" s="6"/>
      <c r="J607" s="6"/>
      <c r="K607" s="51"/>
      <c r="L607" s="51"/>
      <c r="M607" s="51"/>
      <c r="N607" s="51"/>
      <c r="O607" s="51"/>
      <c r="P607" s="51"/>
      <c r="Q607" s="51"/>
      <c r="R607" s="51"/>
      <c r="S607" s="51"/>
      <c r="T607" s="51"/>
      <c r="U607" s="51"/>
      <c r="V607" s="51"/>
      <c r="W607" s="51"/>
      <c r="X607" s="51"/>
      <c r="Y607" s="51"/>
      <c r="Z607" s="51"/>
      <c r="AA607" s="51"/>
      <c r="AB607" s="51"/>
    </row>
    <row r="608" customFormat="false" ht="15.75" hidden="false" customHeight="false" outlineLevel="0" collapsed="false">
      <c r="A608" s="51"/>
      <c r="B608" s="51"/>
      <c r="C608" s="6"/>
      <c r="D608" s="49"/>
      <c r="E608" s="51"/>
      <c r="F608" s="6"/>
      <c r="G608" s="6"/>
      <c r="H608" s="6"/>
      <c r="I608" s="6"/>
      <c r="J608" s="6"/>
      <c r="K608" s="51"/>
      <c r="L608" s="51"/>
      <c r="M608" s="51"/>
      <c r="N608" s="51"/>
      <c r="O608" s="51"/>
      <c r="P608" s="51"/>
      <c r="Q608" s="51"/>
      <c r="R608" s="51"/>
      <c r="S608" s="51"/>
      <c r="T608" s="51"/>
      <c r="U608" s="51"/>
      <c r="V608" s="51"/>
      <c r="W608" s="51"/>
      <c r="X608" s="51"/>
      <c r="Y608" s="51"/>
      <c r="Z608" s="51"/>
      <c r="AA608" s="51"/>
      <c r="AB608" s="51"/>
    </row>
    <row r="609" customFormat="false" ht="15.75" hidden="false" customHeight="false" outlineLevel="0" collapsed="false">
      <c r="A609" s="51"/>
      <c r="B609" s="51"/>
      <c r="C609" s="6"/>
      <c r="D609" s="49"/>
      <c r="E609" s="51"/>
      <c r="F609" s="6"/>
      <c r="G609" s="6"/>
      <c r="H609" s="6"/>
      <c r="I609" s="6"/>
      <c r="J609" s="6"/>
      <c r="K609" s="51"/>
      <c r="L609" s="51"/>
      <c r="M609" s="51"/>
      <c r="N609" s="51"/>
      <c r="O609" s="51"/>
      <c r="P609" s="51"/>
      <c r="Q609" s="51"/>
      <c r="R609" s="51"/>
      <c r="S609" s="51"/>
      <c r="T609" s="51"/>
      <c r="U609" s="51"/>
      <c r="V609" s="51"/>
      <c r="W609" s="51"/>
      <c r="X609" s="51"/>
      <c r="Y609" s="51"/>
      <c r="Z609" s="51"/>
      <c r="AA609" s="51"/>
      <c r="AB609" s="51"/>
    </row>
    <row r="610" customFormat="false" ht="15.75" hidden="false" customHeight="false" outlineLevel="0" collapsed="false">
      <c r="A610" s="51"/>
      <c r="B610" s="51"/>
      <c r="C610" s="6"/>
      <c r="D610" s="49"/>
      <c r="E610" s="51"/>
      <c r="F610" s="6"/>
      <c r="G610" s="6"/>
      <c r="H610" s="6"/>
      <c r="I610" s="6"/>
      <c r="J610" s="6"/>
      <c r="K610" s="51"/>
      <c r="L610" s="51"/>
      <c r="M610" s="51"/>
      <c r="N610" s="51"/>
      <c r="O610" s="51"/>
      <c r="P610" s="51"/>
      <c r="Q610" s="51"/>
      <c r="R610" s="51"/>
      <c r="S610" s="51"/>
      <c r="T610" s="51"/>
      <c r="U610" s="51"/>
      <c r="V610" s="51"/>
      <c r="W610" s="51"/>
      <c r="X610" s="51"/>
      <c r="Y610" s="51"/>
      <c r="Z610" s="51"/>
      <c r="AA610" s="51"/>
      <c r="AB610" s="51"/>
    </row>
    <row r="611" customFormat="false" ht="15.75" hidden="false" customHeight="false" outlineLevel="0" collapsed="false">
      <c r="A611" s="51"/>
      <c r="B611" s="51"/>
      <c r="C611" s="6"/>
      <c r="D611" s="49"/>
      <c r="E611" s="51"/>
      <c r="F611" s="6"/>
      <c r="G611" s="6"/>
      <c r="H611" s="6"/>
      <c r="I611" s="6"/>
      <c r="J611" s="6"/>
      <c r="K611" s="51"/>
      <c r="L611" s="51"/>
      <c r="M611" s="51"/>
      <c r="N611" s="51"/>
      <c r="O611" s="51"/>
      <c r="P611" s="51"/>
      <c r="Q611" s="51"/>
      <c r="R611" s="51"/>
      <c r="S611" s="51"/>
      <c r="T611" s="51"/>
      <c r="U611" s="51"/>
      <c r="V611" s="51"/>
      <c r="W611" s="51"/>
      <c r="X611" s="51"/>
      <c r="Y611" s="51"/>
      <c r="Z611" s="51"/>
      <c r="AA611" s="51"/>
      <c r="AB611" s="51"/>
    </row>
    <row r="612" customFormat="false" ht="15.75" hidden="false" customHeight="false" outlineLevel="0" collapsed="false">
      <c r="A612" s="51"/>
      <c r="B612" s="51"/>
      <c r="C612" s="6"/>
      <c r="D612" s="49"/>
      <c r="E612" s="51"/>
      <c r="F612" s="6"/>
      <c r="G612" s="6"/>
      <c r="H612" s="6"/>
      <c r="I612" s="6"/>
      <c r="J612" s="6"/>
      <c r="K612" s="51"/>
      <c r="L612" s="51"/>
      <c r="M612" s="51"/>
      <c r="N612" s="51"/>
      <c r="O612" s="51"/>
      <c r="P612" s="51"/>
      <c r="Q612" s="51"/>
      <c r="R612" s="51"/>
      <c r="S612" s="51"/>
      <c r="T612" s="51"/>
      <c r="U612" s="51"/>
      <c r="V612" s="51"/>
      <c r="W612" s="51"/>
      <c r="X612" s="51"/>
      <c r="Y612" s="51"/>
      <c r="Z612" s="51"/>
      <c r="AA612" s="51"/>
      <c r="AB612" s="51"/>
    </row>
    <row r="613" customFormat="false" ht="15.75" hidden="false" customHeight="false" outlineLevel="0" collapsed="false">
      <c r="A613" s="51"/>
      <c r="B613" s="51"/>
      <c r="C613" s="6"/>
      <c r="D613" s="49"/>
      <c r="E613" s="51"/>
      <c r="F613" s="6"/>
      <c r="G613" s="6"/>
      <c r="H613" s="6"/>
      <c r="I613" s="6"/>
      <c r="J613" s="6"/>
      <c r="K613" s="51"/>
      <c r="L613" s="51"/>
      <c r="M613" s="51"/>
      <c r="N613" s="51"/>
      <c r="O613" s="51"/>
      <c r="P613" s="51"/>
      <c r="Q613" s="51"/>
      <c r="R613" s="51"/>
      <c r="S613" s="51"/>
      <c r="T613" s="51"/>
      <c r="U613" s="51"/>
      <c r="V613" s="51"/>
      <c r="W613" s="51"/>
      <c r="X613" s="51"/>
      <c r="Y613" s="51"/>
      <c r="Z613" s="51"/>
      <c r="AA613" s="51"/>
      <c r="AB613" s="51"/>
    </row>
    <row r="614" customFormat="false" ht="15.75" hidden="false" customHeight="false" outlineLevel="0" collapsed="false">
      <c r="A614" s="51"/>
      <c r="B614" s="51"/>
      <c r="C614" s="6"/>
      <c r="D614" s="49"/>
      <c r="E614" s="51"/>
      <c r="F614" s="6"/>
      <c r="G614" s="6"/>
      <c r="H614" s="6"/>
      <c r="I614" s="6"/>
      <c r="J614" s="6"/>
      <c r="K614" s="51"/>
      <c r="L614" s="51"/>
      <c r="M614" s="51"/>
      <c r="N614" s="51"/>
      <c r="O614" s="51"/>
      <c r="P614" s="51"/>
      <c r="Q614" s="51"/>
      <c r="R614" s="51"/>
      <c r="S614" s="51"/>
      <c r="T614" s="51"/>
      <c r="U614" s="51"/>
      <c r="V614" s="51"/>
      <c r="W614" s="51"/>
      <c r="X614" s="51"/>
      <c r="Y614" s="51"/>
      <c r="Z614" s="51"/>
      <c r="AA614" s="51"/>
      <c r="AB614" s="51"/>
    </row>
    <row r="615" customFormat="false" ht="15.75" hidden="false" customHeight="false" outlineLevel="0" collapsed="false">
      <c r="A615" s="51"/>
      <c r="B615" s="51"/>
      <c r="C615" s="6"/>
      <c r="D615" s="49"/>
      <c r="E615" s="51"/>
      <c r="F615" s="6"/>
      <c r="G615" s="6"/>
      <c r="H615" s="6"/>
      <c r="I615" s="6"/>
      <c r="J615" s="6"/>
      <c r="K615" s="51"/>
      <c r="L615" s="51"/>
      <c r="M615" s="51"/>
      <c r="N615" s="51"/>
      <c r="O615" s="51"/>
      <c r="P615" s="51"/>
      <c r="Q615" s="51"/>
      <c r="R615" s="51"/>
      <c r="S615" s="51"/>
      <c r="T615" s="51"/>
      <c r="U615" s="51"/>
      <c r="V615" s="51"/>
      <c r="W615" s="51"/>
      <c r="X615" s="51"/>
      <c r="Y615" s="51"/>
      <c r="Z615" s="51"/>
      <c r="AA615" s="51"/>
      <c r="AB615" s="51"/>
    </row>
    <row r="616" customFormat="false" ht="15.75" hidden="false" customHeight="false" outlineLevel="0" collapsed="false">
      <c r="A616" s="51"/>
      <c r="B616" s="51"/>
      <c r="C616" s="6"/>
      <c r="D616" s="49"/>
      <c r="E616" s="51"/>
      <c r="F616" s="6"/>
      <c r="G616" s="6"/>
      <c r="H616" s="6"/>
      <c r="I616" s="6"/>
      <c r="J616" s="6"/>
      <c r="K616" s="51"/>
      <c r="L616" s="51"/>
      <c r="M616" s="51"/>
      <c r="N616" s="51"/>
      <c r="O616" s="51"/>
      <c r="P616" s="51"/>
      <c r="Q616" s="51"/>
      <c r="R616" s="51"/>
      <c r="S616" s="51"/>
      <c r="T616" s="51"/>
      <c r="U616" s="51"/>
      <c r="V616" s="51"/>
      <c r="W616" s="51"/>
      <c r="X616" s="51"/>
      <c r="Y616" s="51"/>
      <c r="Z616" s="51"/>
      <c r="AA616" s="51"/>
      <c r="AB616" s="51"/>
    </row>
    <row r="617" customFormat="false" ht="15.75" hidden="false" customHeight="false" outlineLevel="0" collapsed="false">
      <c r="A617" s="51"/>
      <c r="B617" s="51"/>
      <c r="C617" s="6"/>
      <c r="D617" s="49"/>
      <c r="E617" s="51"/>
      <c r="F617" s="6"/>
      <c r="G617" s="6"/>
      <c r="H617" s="6"/>
      <c r="I617" s="6"/>
      <c r="J617" s="6"/>
      <c r="K617" s="51"/>
      <c r="L617" s="51"/>
      <c r="M617" s="51"/>
      <c r="N617" s="51"/>
      <c r="O617" s="51"/>
      <c r="P617" s="51"/>
      <c r="Q617" s="51"/>
      <c r="R617" s="51"/>
      <c r="S617" s="51"/>
      <c r="T617" s="51"/>
      <c r="U617" s="51"/>
      <c r="V617" s="51"/>
      <c r="W617" s="51"/>
      <c r="X617" s="51"/>
      <c r="Y617" s="51"/>
      <c r="Z617" s="51"/>
      <c r="AA617" s="51"/>
      <c r="AB617" s="51"/>
    </row>
    <row r="618" customFormat="false" ht="15.75" hidden="false" customHeight="false" outlineLevel="0" collapsed="false">
      <c r="A618" s="51"/>
      <c r="B618" s="51"/>
      <c r="C618" s="6"/>
      <c r="D618" s="49"/>
      <c r="E618" s="51"/>
      <c r="F618" s="6"/>
      <c r="G618" s="6"/>
      <c r="H618" s="6"/>
      <c r="I618" s="6"/>
      <c r="J618" s="6"/>
      <c r="K618" s="51"/>
      <c r="L618" s="51"/>
      <c r="M618" s="51"/>
      <c r="N618" s="51"/>
      <c r="O618" s="51"/>
      <c r="P618" s="51"/>
      <c r="Q618" s="51"/>
      <c r="R618" s="51"/>
      <c r="S618" s="51"/>
      <c r="T618" s="51"/>
      <c r="U618" s="51"/>
      <c r="V618" s="51"/>
      <c r="W618" s="51"/>
      <c r="X618" s="51"/>
      <c r="Y618" s="51"/>
      <c r="Z618" s="51"/>
      <c r="AA618" s="51"/>
      <c r="AB618" s="51"/>
    </row>
    <row r="619" customFormat="false" ht="15.75" hidden="false" customHeight="false" outlineLevel="0" collapsed="false">
      <c r="A619" s="51"/>
      <c r="B619" s="51"/>
      <c r="C619" s="6"/>
      <c r="D619" s="49"/>
      <c r="E619" s="51"/>
      <c r="F619" s="6"/>
      <c r="G619" s="6"/>
      <c r="H619" s="6"/>
      <c r="I619" s="6"/>
      <c r="J619" s="6"/>
      <c r="K619" s="51"/>
      <c r="L619" s="51"/>
      <c r="M619" s="51"/>
      <c r="N619" s="51"/>
      <c r="O619" s="51"/>
      <c r="P619" s="51"/>
      <c r="Q619" s="51"/>
      <c r="R619" s="51"/>
      <c r="S619" s="51"/>
      <c r="T619" s="51"/>
      <c r="U619" s="51"/>
      <c r="V619" s="51"/>
      <c r="W619" s="51"/>
      <c r="X619" s="51"/>
      <c r="Y619" s="51"/>
      <c r="Z619" s="51"/>
      <c r="AA619" s="51"/>
      <c r="AB619" s="51"/>
    </row>
    <row r="620" customFormat="false" ht="15.75" hidden="false" customHeight="false" outlineLevel="0" collapsed="false">
      <c r="A620" s="51"/>
      <c r="B620" s="51"/>
      <c r="C620" s="6"/>
      <c r="D620" s="49"/>
      <c r="E620" s="51"/>
      <c r="F620" s="6"/>
      <c r="G620" s="6"/>
      <c r="H620" s="6"/>
      <c r="I620" s="6"/>
      <c r="J620" s="6"/>
      <c r="K620" s="51"/>
      <c r="L620" s="51"/>
      <c r="M620" s="51"/>
      <c r="N620" s="51"/>
      <c r="O620" s="51"/>
      <c r="P620" s="51"/>
      <c r="Q620" s="51"/>
      <c r="R620" s="51"/>
      <c r="S620" s="51"/>
      <c r="T620" s="51"/>
      <c r="U620" s="51"/>
      <c r="V620" s="51"/>
      <c r="W620" s="51"/>
      <c r="X620" s="51"/>
      <c r="Y620" s="51"/>
      <c r="Z620" s="51"/>
      <c r="AA620" s="51"/>
      <c r="AB620" s="51"/>
    </row>
    <row r="621" customFormat="false" ht="15.75" hidden="false" customHeight="false" outlineLevel="0" collapsed="false">
      <c r="A621" s="51"/>
      <c r="B621" s="51"/>
      <c r="C621" s="6"/>
      <c r="D621" s="49"/>
      <c r="E621" s="51"/>
      <c r="F621" s="6"/>
      <c r="G621" s="6"/>
      <c r="H621" s="6"/>
      <c r="I621" s="6"/>
      <c r="J621" s="6"/>
      <c r="K621" s="51"/>
      <c r="L621" s="51"/>
      <c r="M621" s="51"/>
      <c r="N621" s="51"/>
      <c r="O621" s="51"/>
      <c r="P621" s="51"/>
      <c r="Q621" s="51"/>
      <c r="R621" s="51"/>
      <c r="S621" s="51"/>
      <c r="T621" s="51"/>
      <c r="U621" s="51"/>
      <c r="V621" s="51"/>
      <c r="W621" s="51"/>
      <c r="X621" s="51"/>
      <c r="Y621" s="51"/>
      <c r="Z621" s="51"/>
      <c r="AA621" s="51"/>
      <c r="AB621" s="51"/>
    </row>
    <row r="622" customFormat="false" ht="15.75" hidden="false" customHeight="false" outlineLevel="0" collapsed="false">
      <c r="A622" s="51"/>
      <c r="B622" s="51"/>
      <c r="C622" s="6"/>
      <c r="D622" s="49"/>
      <c r="E622" s="51"/>
      <c r="F622" s="6"/>
      <c r="G622" s="6"/>
      <c r="H622" s="6"/>
      <c r="I622" s="6"/>
      <c r="J622" s="6"/>
      <c r="K622" s="51"/>
      <c r="L622" s="51"/>
      <c r="M622" s="51"/>
      <c r="N622" s="51"/>
      <c r="O622" s="51"/>
      <c r="P622" s="51"/>
      <c r="Q622" s="51"/>
      <c r="R622" s="51"/>
      <c r="S622" s="51"/>
      <c r="T622" s="51"/>
      <c r="U622" s="51"/>
      <c r="V622" s="51"/>
      <c r="W622" s="51"/>
      <c r="X622" s="51"/>
      <c r="Y622" s="51"/>
      <c r="Z622" s="51"/>
      <c r="AA622" s="51"/>
      <c r="AB622" s="51"/>
    </row>
    <row r="623" customFormat="false" ht="15.75" hidden="false" customHeight="false" outlineLevel="0" collapsed="false">
      <c r="A623" s="51"/>
      <c r="B623" s="51"/>
      <c r="C623" s="6"/>
      <c r="D623" s="49"/>
      <c r="E623" s="51"/>
      <c r="F623" s="6"/>
      <c r="G623" s="6"/>
      <c r="H623" s="6"/>
      <c r="I623" s="6"/>
      <c r="J623" s="6"/>
      <c r="K623" s="51"/>
      <c r="L623" s="51"/>
      <c r="M623" s="51"/>
      <c r="N623" s="51"/>
      <c r="O623" s="51"/>
      <c r="P623" s="51"/>
      <c r="Q623" s="51"/>
      <c r="R623" s="51"/>
      <c r="S623" s="51"/>
      <c r="T623" s="51"/>
      <c r="U623" s="51"/>
      <c r="V623" s="51"/>
      <c r="W623" s="51"/>
      <c r="X623" s="51"/>
      <c r="Y623" s="51"/>
      <c r="Z623" s="51"/>
      <c r="AA623" s="51"/>
      <c r="AB623" s="51"/>
    </row>
    <row r="624" customFormat="false" ht="15.75" hidden="false" customHeight="false" outlineLevel="0" collapsed="false">
      <c r="A624" s="51"/>
      <c r="B624" s="51"/>
      <c r="C624" s="6"/>
      <c r="D624" s="49"/>
      <c r="E624" s="51"/>
      <c r="F624" s="6"/>
      <c r="G624" s="6"/>
      <c r="H624" s="6"/>
      <c r="I624" s="6"/>
      <c r="J624" s="6"/>
      <c r="K624" s="51"/>
      <c r="L624" s="51"/>
      <c r="M624" s="51"/>
      <c r="N624" s="51"/>
      <c r="O624" s="51"/>
      <c r="P624" s="51"/>
      <c r="Q624" s="51"/>
      <c r="R624" s="51"/>
      <c r="S624" s="51"/>
      <c r="T624" s="51"/>
      <c r="U624" s="51"/>
      <c r="V624" s="51"/>
      <c r="W624" s="51"/>
      <c r="X624" s="51"/>
      <c r="Y624" s="51"/>
      <c r="Z624" s="51"/>
      <c r="AA624" s="51"/>
      <c r="AB624" s="51"/>
    </row>
    <row r="625" customFormat="false" ht="15.75" hidden="false" customHeight="false" outlineLevel="0" collapsed="false">
      <c r="A625" s="51"/>
      <c r="B625" s="51"/>
      <c r="C625" s="6"/>
      <c r="D625" s="49"/>
      <c r="E625" s="51"/>
      <c r="F625" s="6"/>
      <c r="G625" s="6"/>
      <c r="H625" s="6"/>
      <c r="I625" s="6"/>
      <c r="J625" s="6"/>
      <c r="K625" s="51"/>
      <c r="L625" s="51"/>
      <c r="M625" s="51"/>
      <c r="N625" s="51"/>
      <c r="O625" s="51"/>
      <c r="P625" s="51"/>
      <c r="Q625" s="51"/>
      <c r="R625" s="51"/>
      <c r="S625" s="51"/>
      <c r="T625" s="51"/>
      <c r="U625" s="51"/>
      <c r="V625" s="51"/>
      <c r="W625" s="51"/>
      <c r="X625" s="51"/>
      <c r="Y625" s="51"/>
      <c r="Z625" s="51"/>
      <c r="AA625" s="51"/>
      <c r="AB625" s="51"/>
    </row>
    <row r="626" customFormat="false" ht="15.75" hidden="false" customHeight="false" outlineLevel="0" collapsed="false">
      <c r="A626" s="51"/>
      <c r="B626" s="51"/>
      <c r="C626" s="6"/>
      <c r="D626" s="49"/>
      <c r="E626" s="51"/>
      <c r="F626" s="6"/>
      <c r="G626" s="6"/>
      <c r="H626" s="6"/>
      <c r="I626" s="6"/>
      <c r="J626" s="6"/>
      <c r="K626" s="51"/>
      <c r="L626" s="51"/>
      <c r="M626" s="51"/>
      <c r="N626" s="51"/>
      <c r="O626" s="51"/>
      <c r="P626" s="51"/>
      <c r="Q626" s="51"/>
      <c r="R626" s="51"/>
      <c r="S626" s="51"/>
      <c r="T626" s="51"/>
      <c r="U626" s="51"/>
      <c r="V626" s="51"/>
      <c r="W626" s="51"/>
      <c r="X626" s="51"/>
      <c r="Y626" s="51"/>
      <c r="Z626" s="51"/>
      <c r="AA626" s="51"/>
      <c r="AB626" s="51"/>
    </row>
    <row r="627" customFormat="false" ht="15.75" hidden="false" customHeight="false" outlineLevel="0" collapsed="false">
      <c r="A627" s="51"/>
      <c r="B627" s="51"/>
      <c r="C627" s="6"/>
      <c r="D627" s="49"/>
      <c r="E627" s="51"/>
      <c r="F627" s="6"/>
      <c r="G627" s="6"/>
      <c r="H627" s="6"/>
      <c r="I627" s="6"/>
      <c r="J627" s="6"/>
      <c r="K627" s="51"/>
      <c r="L627" s="51"/>
      <c r="M627" s="51"/>
      <c r="N627" s="51"/>
      <c r="O627" s="51"/>
      <c r="P627" s="51"/>
      <c r="Q627" s="51"/>
      <c r="R627" s="51"/>
      <c r="S627" s="51"/>
      <c r="T627" s="51"/>
      <c r="U627" s="51"/>
      <c r="V627" s="51"/>
      <c r="W627" s="51"/>
      <c r="X627" s="51"/>
      <c r="Y627" s="51"/>
      <c r="Z627" s="51"/>
      <c r="AA627" s="51"/>
      <c r="AB627" s="51"/>
    </row>
    <row r="628" customFormat="false" ht="15.75" hidden="false" customHeight="false" outlineLevel="0" collapsed="false">
      <c r="A628" s="51"/>
      <c r="B628" s="51"/>
      <c r="C628" s="6"/>
      <c r="D628" s="49"/>
      <c r="E628" s="51"/>
      <c r="F628" s="6"/>
      <c r="G628" s="6"/>
      <c r="H628" s="6"/>
      <c r="I628" s="6"/>
      <c r="J628" s="6"/>
      <c r="K628" s="51"/>
      <c r="L628" s="51"/>
      <c r="M628" s="51"/>
      <c r="N628" s="51"/>
      <c r="O628" s="51"/>
      <c r="P628" s="51"/>
      <c r="Q628" s="51"/>
      <c r="R628" s="51"/>
      <c r="S628" s="51"/>
      <c r="T628" s="51"/>
      <c r="U628" s="51"/>
      <c r="V628" s="51"/>
      <c r="W628" s="51"/>
      <c r="X628" s="51"/>
      <c r="Y628" s="51"/>
      <c r="Z628" s="51"/>
      <c r="AA628" s="51"/>
      <c r="AB628" s="51"/>
    </row>
    <row r="629" customFormat="false" ht="15.75" hidden="false" customHeight="false" outlineLevel="0" collapsed="false">
      <c r="A629" s="51"/>
      <c r="B629" s="51"/>
      <c r="C629" s="6"/>
      <c r="D629" s="49"/>
      <c r="E629" s="51"/>
      <c r="F629" s="6"/>
      <c r="G629" s="6"/>
      <c r="H629" s="6"/>
      <c r="I629" s="6"/>
      <c r="J629" s="6"/>
      <c r="K629" s="51"/>
      <c r="L629" s="51"/>
      <c r="M629" s="51"/>
      <c r="N629" s="51"/>
      <c r="O629" s="51"/>
      <c r="P629" s="51"/>
      <c r="Q629" s="51"/>
      <c r="R629" s="51"/>
      <c r="S629" s="51"/>
      <c r="T629" s="51"/>
      <c r="U629" s="51"/>
      <c r="V629" s="51"/>
      <c r="W629" s="51"/>
      <c r="X629" s="51"/>
      <c r="Y629" s="51"/>
      <c r="Z629" s="51"/>
      <c r="AA629" s="51"/>
      <c r="AB629" s="51"/>
    </row>
    <row r="630" customFormat="false" ht="15.75" hidden="false" customHeight="false" outlineLevel="0" collapsed="false">
      <c r="A630" s="51"/>
      <c r="B630" s="51"/>
      <c r="C630" s="6"/>
      <c r="D630" s="49"/>
      <c r="E630" s="51"/>
      <c r="F630" s="6"/>
      <c r="G630" s="6"/>
      <c r="H630" s="6"/>
      <c r="I630" s="6"/>
      <c r="J630" s="6"/>
      <c r="K630" s="51"/>
      <c r="L630" s="51"/>
      <c r="M630" s="51"/>
      <c r="N630" s="51"/>
      <c r="O630" s="51"/>
      <c r="P630" s="51"/>
      <c r="Q630" s="51"/>
      <c r="R630" s="51"/>
      <c r="S630" s="51"/>
      <c r="T630" s="51"/>
      <c r="U630" s="51"/>
      <c r="V630" s="51"/>
      <c r="W630" s="51"/>
      <c r="X630" s="51"/>
      <c r="Y630" s="51"/>
      <c r="Z630" s="51"/>
      <c r="AA630" s="51"/>
      <c r="AB630" s="51"/>
    </row>
    <row r="631" customFormat="false" ht="15.75" hidden="false" customHeight="false" outlineLevel="0" collapsed="false">
      <c r="A631" s="51"/>
      <c r="B631" s="51"/>
      <c r="C631" s="6"/>
      <c r="D631" s="49"/>
      <c r="E631" s="51"/>
      <c r="F631" s="6"/>
      <c r="G631" s="6"/>
      <c r="H631" s="6"/>
      <c r="I631" s="6"/>
      <c r="J631" s="6"/>
      <c r="K631" s="51"/>
      <c r="L631" s="51"/>
      <c r="M631" s="51"/>
      <c r="N631" s="51"/>
      <c r="O631" s="51"/>
      <c r="P631" s="51"/>
      <c r="Q631" s="51"/>
      <c r="R631" s="51"/>
      <c r="S631" s="51"/>
      <c r="T631" s="51"/>
      <c r="U631" s="51"/>
      <c r="V631" s="51"/>
      <c r="W631" s="51"/>
      <c r="X631" s="51"/>
      <c r="Y631" s="51"/>
      <c r="Z631" s="51"/>
      <c r="AA631" s="51"/>
      <c r="AB631" s="51"/>
    </row>
    <row r="632" customFormat="false" ht="15.75" hidden="false" customHeight="false" outlineLevel="0" collapsed="false">
      <c r="A632" s="51"/>
      <c r="B632" s="51"/>
      <c r="C632" s="6"/>
      <c r="D632" s="49"/>
      <c r="E632" s="51"/>
      <c r="F632" s="6"/>
      <c r="G632" s="6"/>
      <c r="H632" s="6"/>
      <c r="I632" s="6"/>
      <c r="J632" s="6"/>
      <c r="K632" s="51"/>
      <c r="L632" s="51"/>
      <c r="M632" s="51"/>
      <c r="N632" s="51"/>
      <c r="O632" s="51"/>
      <c r="P632" s="51"/>
      <c r="Q632" s="51"/>
      <c r="R632" s="51"/>
      <c r="S632" s="51"/>
      <c r="T632" s="51"/>
      <c r="U632" s="51"/>
      <c r="V632" s="51"/>
      <c r="W632" s="51"/>
      <c r="X632" s="51"/>
      <c r="Y632" s="51"/>
      <c r="Z632" s="51"/>
      <c r="AA632" s="51"/>
      <c r="AB632" s="51"/>
    </row>
    <row r="633" customFormat="false" ht="15.75" hidden="false" customHeight="false" outlineLevel="0" collapsed="false">
      <c r="A633" s="51"/>
      <c r="B633" s="51"/>
      <c r="C633" s="6"/>
      <c r="D633" s="49"/>
      <c r="E633" s="51"/>
      <c r="F633" s="6"/>
      <c r="G633" s="6"/>
      <c r="H633" s="6"/>
      <c r="I633" s="6"/>
      <c r="J633" s="6"/>
      <c r="K633" s="51"/>
      <c r="L633" s="51"/>
      <c r="M633" s="51"/>
      <c r="N633" s="51"/>
      <c r="O633" s="51"/>
      <c r="P633" s="51"/>
      <c r="Q633" s="51"/>
      <c r="R633" s="51"/>
      <c r="S633" s="51"/>
      <c r="T633" s="51"/>
      <c r="U633" s="51"/>
      <c r="V633" s="51"/>
      <c r="W633" s="51"/>
      <c r="X633" s="51"/>
      <c r="Y633" s="51"/>
      <c r="Z633" s="51"/>
      <c r="AA633" s="51"/>
      <c r="AB633" s="51"/>
    </row>
    <row r="634" customFormat="false" ht="15.75" hidden="false" customHeight="false" outlineLevel="0" collapsed="false">
      <c r="A634" s="51"/>
      <c r="B634" s="51"/>
      <c r="C634" s="6"/>
      <c r="D634" s="49"/>
      <c r="E634" s="51"/>
      <c r="F634" s="6"/>
      <c r="G634" s="6"/>
      <c r="H634" s="6"/>
      <c r="I634" s="6"/>
      <c r="J634" s="6"/>
      <c r="K634" s="51"/>
      <c r="L634" s="51"/>
      <c r="M634" s="51"/>
      <c r="N634" s="51"/>
      <c r="O634" s="51"/>
      <c r="P634" s="51"/>
      <c r="Q634" s="51"/>
      <c r="R634" s="51"/>
      <c r="S634" s="51"/>
      <c r="T634" s="51"/>
      <c r="U634" s="51"/>
      <c r="V634" s="51"/>
      <c r="W634" s="51"/>
      <c r="X634" s="51"/>
      <c r="Y634" s="51"/>
      <c r="Z634" s="51"/>
      <c r="AA634" s="51"/>
      <c r="AB634" s="51"/>
    </row>
    <row r="635" customFormat="false" ht="15.75" hidden="false" customHeight="false" outlineLevel="0" collapsed="false">
      <c r="A635" s="51"/>
      <c r="B635" s="51"/>
      <c r="C635" s="6"/>
      <c r="D635" s="49"/>
      <c r="E635" s="51"/>
      <c r="F635" s="6"/>
      <c r="G635" s="6"/>
      <c r="H635" s="6"/>
      <c r="I635" s="6"/>
      <c r="J635" s="6"/>
      <c r="K635" s="51"/>
      <c r="L635" s="51"/>
      <c r="M635" s="51"/>
      <c r="N635" s="51"/>
      <c r="O635" s="51"/>
      <c r="P635" s="51"/>
      <c r="Q635" s="51"/>
      <c r="R635" s="51"/>
      <c r="S635" s="51"/>
      <c r="T635" s="51"/>
      <c r="U635" s="51"/>
      <c r="V635" s="51"/>
      <c r="W635" s="51"/>
      <c r="X635" s="51"/>
      <c r="Y635" s="51"/>
      <c r="Z635" s="51"/>
      <c r="AA635" s="51"/>
      <c r="AB635" s="51"/>
    </row>
    <row r="636" customFormat="false" ht="15.75" hidden="false" customHeight="false" outlineLevel="0" collapsed="false">
      <c r="A636" s="51"/>
      <c r="B636" s="51"/>
      <c r="C636" s="6"/>
      <c r="D636" s="49"/>
      <c r="E636" s="51"/>
      <c r="F636" s="6"/>
      <c r="G636" s="6"/>
      <c r="H636" s="6"/>
      <c r="I636" s="6"/>
      <c r="J636" s="6"/>
      <c r="K636" s="51"/>
      <c r="L636" s="51"/>
      <c r="M636" s="51"/>
      <c r="N636" s="51"/>
      <c r="O636" s="51"/>
      <c r="P636" s="51"/>
      <c r="Q636" s="51"/>
      <c r="R636" s="51"/>
      <c r="S636" s="51"/>
      <c r="T636" s="51"/>
      <c r="U636" s="51"/>
      <c r="V636" s="51"/>
      <c r="W636" s="51"/>
      <c r="X636" s="51"/>
      <c r="Y636" s="51"/>
      <c r="Z636" s="51"/>
      <c r="AA636" s="51"/>
      <c r="AB636" s="51"/>
    </row>
    <row r="637" customFormat="false" ht="15.75" hidden="false" customHeight="false" outlineLevel="0" collapsed="false">
      <c r="A637" s="51"/>
      <c r="B637" s="51"/>
      <c r="C637" s="6"/>
      <c r="D637" s="49"/>
      <c r="E637" s="51"/>
      <c r="F637" s="6"/>
      <c r="G637" s="6"/>
      <c r="H637" s="6"/>
      <c r="I637" s="6"/>
      <c r="J637" s="6"/>
      <c r="K637" s="51"/>
      <c r="L637" s="51"/>
      <c r="M637" s="51"/>
      <c r="N637" s="51"/>
      <c r="O637" s="51"/>
      <c r="P637" s="51"/>
      <c r="Q637" s="51"/>
      <c r="R637" s="51"/>
      <c r="S637" s="51"/>
      <c r="T637" s="51"/>
      <c r="U637" s="51"/>
      <c r="V637" s="51"/>
      <c r="W637" s="51"/>
      <c r="X637" s="51"/>
      <c r="Y637" s="51"/>
      <c r="Z637" s="51"/>
      <c r="AA637" s="51"/>
      <c r="AB637" s="51"/>
    </row>
    <row r="638" customFormat="false" ht="15.75" hidden="false" customHeight="false" outlineLevel="0" collapsed="false">
      <c r="A638" s="51"/>
      <c r="B638" s="51"/>
      <c r="C638" s="6"/>
      <c r="D638" s="49"/>
      <c r="E638" s="51"/>
      <c r="F638" s="6"/>
      <c r="G638" s="6"/>
      <c r="H638" s="6"/>
      <c r="I638" s="6"/>
      <c r="J638" s="6"/>
      <c r="K638" s="51"/>
      <c r="L638" s="51"/>
      <c r="M638" s="51"/>
      <c r="N638" s="51"/>
      <c r="O638" s="51"/>
      <c r="P638" s="51"/>
      <c r="Q638" s="51"/>
      <c r="R638" s="51"/>
      <c r="S638" s="51"/>
      <c r="T638" s="51"/>
      <c r="U638" s="51"/>
      <c r="V638" s="51"/>
      <c r="W638" s="51"/>
      <c r="X638" s="51"/>
      <c r="Y638" s="51"/>
      <c r="Z638" s="51"/>
      <c r="AA638" s="51"/>
      <c r="AB638" s="51"/>
    </row>
    <row r="639" customFormat="false" ht="15.75" hidden="false" customHeight="false" outlineLevel="0" collapsed="false">
      <c r="A639" s="51"/>
      <c r="B639" s="51"/>
      <c r="C639" s="6"/>
      <c r="D639" s="49"/>
      <c r="E639" s="51"/>
      <c r="F639" s="6"/>
      <c r="G639" s="6"/>
      <c r="H639" s="6"/>
      <c r="I639" s="6"/>
      <c r="J639" s="6"/>
      <c r="K639" s="51"/>
      <c r="L639" s="51"/>
      <c r="M639" s="51"/>
      <c r="N639" s="51"/>
      <c r="O639" s="51"/>
      <c r="P639" s="51"/>
      <c r="Q639" s="51"/>
      <c r="R639" s="51"/>
      <c r="S639" s="51"/>
      <c r="T639" s="51"/>
      <c r="U639" s="51"/>
      <c r="V639" s="51"/>
      <c r="W639" s="51"/>
      <c r="X639" s="51"/>
      <c r="Y639" s="51"/>
      <c r="Z639" s="51"/>
      <c r="AA639" s="51"/>
      <c r="AB639" s="51"/>
    </row>
    <row r="640" customFormat="false" ht="15.75" hidden="false" customHeight="false" outlineLevel="0" collapsed="false">
      <c r="A640" s="51"/>
      <c r="B640" s="51"/>
      <c r="C640" s="6"/>
      <c r="D640" s="49"/>
      <c r="E640" s="51"/>
      <c r="F640" s="6"/>
      <c r="G640" s="6"/>
      <c r="H640" s="6"/>
      <c r="I640" s="6"/>
      <c r="J640" s="6"/>
      <c r="K640" s="51"/>
      <c r="L640" s="51"/>
      <c r="M640" s="51"/>
      <c r="N640" s="51"/>
      <c r="O640" s="51"/>
      <c r="P640" s="51"/>
      <c r="Q640" s="51"/>
      <c r="R640" s="51"/>
      <c r="S640" s="51"/>
      <c r="T640" s="51"/>
      <c r="U640" s="51"/>
      <c r="V640" s="51"/>
      <c r="W640" s="51"/>
      <c r="X640" s="51"/>
      <c r="Y640" s="51"/>
      <c r="Z640" s="51"/>
      <c r="AA640" s="51"/>
      <c r="AB640" s="51"/>
    </row>
    <row r="641" customFormat="false" ht="15.75" hidden="false" customHeight="false" outlineLevel="0" collapsed="false">
      <c r="A641" s="51"/>
      <c r="B641" s="51"/>
      <c r="C641" s="6"/>
      <c r="D641" s="49"/>
      <c r="E641" s="51"/>
      <c r="F641" s="6"/>
      <c r="G641" s="6"/>
      <c r="H641" s="6"/>
      <c r="I641" s="6"/>
      <c r="J641" s="6"/>
      <c r="K641" s="51"/>
      <c r="L641" s="51"/>
      <c r="M641" s="51"/>
      <c r="N641" s="51"/>
      <c r="O641" s="51"/>
      <c r="P641" s="51"/>
      <c r="Q641" s="51"/>
      <c r="R641" s="51"/>
      <c r="S641" s="51"/>
      <c r="T641" s="51"/>
      <c r="U641" s="51"/>
      <c r="V641" s="51"/>
      <c r="W641" s="51"/>
      <c r="X641" s="51"/>
      <c r="Y641" s="51"/>
      <c r="Z641" s="51"/>
      <c r="AA641" s="51"/>
      <c r="AB641" s="51"/>
    </row>
    <row r="642" customFormat="false" ht="15.75" hidden="false" customHeight="false" outlineLevel="0" collapsed="false">
      <c r="A642" s="51"/>
      <c r="B642" s="51"/>
      <c r="C642" s="6"/>
      <c r="D642" s="49"/>
      <c r="E642" s="51"/>
      <c r="F642" s="6"/>
      <c r="G642" s="6"/>
      <c r="H642" s="6"/>
      <c r="I642" s="6"/>
      <c r="J642" s="6"/>
      <c r="K642" s="51"/>
      <c r="L642" s="51"/>
      <c r="M642" s="51"/>
      <c r="N642" s="51"/>
      <c r="O642" s="51"/>
      <c r="P642" s="51"/>
      <c r="Q642" s="51"/>
      <c r="R642" s="51"/>
      <c r="S642" s="51"/>
      <c r="T642" s="51"/>
      <c r="U642" s="51"/>
      <c r="V642" s="51"/>
      <c r="W642" s="51"/>
      <c r="X642" s="51"/>
      <c r="Y642" s="51"/>
      <c r="Z642" s="51"/>
      <c r="AA642" s="51"/>
      <c r="AB642" s="51"/>
    </row>
    <row r="643" customFormat="false" ht="15.75" hidden="false" customHeight="false" outlineLevel="0" collapsed="false">
      <c r="A643" s="51"/>
      <c r="B643" s="51"/>
      <c r="C643" s="6"/>
      <c r="D643" s="49"/>
      <c r="E643" s="51"/>
      <c r="F643" s="6"/>
      <c r="G643" s="6"/>
      <c r="H643" s="6"/>
      <c r="I643" s="6"/>
      <c r="J643" s="6"/>
      <c r="K643" s="51"/>
      <c r="L643" s="51"/>
      <c r="M643" s="51"/>
      <c r="N643" s="51"/>
      <c r="O643" s="51"/>
      <c r="P643" s="51"/>
      <c r="Q643" s="51"/>
      <c r="R643" s="51"/>
      <c r="S643" s="51"/>
      <c r="T643" s="51"/>
      <c r="U643" s="51"/>
      <c r="V643" s="51"/>
      <c r="W643" s="51"/>
      <c r="X643" s="51"/>
      <c r="Y643" s="51"/>
      <c r="Z643" s="51"/>
      <c r="AA643" s="51"/>
      <c r="AB643" s="51"/>
    </row>
    <row r="644" customFormat="false" ht="15.75" hidden="false" customHeight="false" outlineLevel="0" collapsed="false">
      <c r="A644" s="51"/>
      <c r="B644" s="51"/>
      <c r="C644" s="6"/>
      <c r="D644" s="49"/>
      <c r="E644" s="51"/>
      <c r="F644" s="6"/>
      <c r="G644" s="6"/>
      <c r="H644" s="6"/>
      <c r="I644" s="6"/>
      <c r="J644" s="6"/>
      <c r="K644" s="51"/>
      <c r="L644" s="51"/>
      <c r="M644" s="51"/>
      <c r="N644" s="51"/>
      <c r="O644" s="51"/>
      <c r="P644" s="51"/>
      <c r="Q644" s="51"/>
      <c r="R644" s="51"/>
      <c r="S644" s="51"/>
      <c r="T644" s="51"/>
      <c r="U644" s="51"/>
      <c r="V644" s="51"/>
      <c r="W644" s="51"/>
      <c r="X644" s="51"/>
      <c r="Y644" s="51"/>
      <c r="Z644" s="51"/>
      <c r="AA644" s="51"/>
      <c r="AB644" s="51"/>
    </row>
    <row r="645" customFormat="false" ht="15.75" hidden="false" customHeight="false" outlineLevel="0" collapsed="false">
      <c r="A645" s="51"/>
      <c r="B645" s="51"/>
      <c r="C645" s="6"/>
      <c r="D645" s="49"/>
      <c r="E645" s="51"/>
      <c r="F645" s="6"/>
      <c r="G645" s="6"/>
      <c r="H645" s="6"/>
      <c r="I645" s="6"/>
      <c r="J645" s="6"/>
      <c r="K645" s="51"/>
      <c r="L645" s="51"/>
      <c r="M645" s="51"/>
      <c r="N645" s="51"/>
      <c r="O645" s="51"/>
      <c r="P645" s="51"/>
      <c r="Q645" s="51"/>
      <c r="R645" s="51"/>
      <c r="S645" s="51"/>
      <c r="T645" s="51"/>
      <c r="U645" s="51"/>
      <c r="V645" s="51"/>
      <c r="W645" s="51"/>
      <c r="X645" s="51"/>
      <c r="Y645" s="51"/>
      <c r="Z645" s="51"/>
      <c r="AA645" s="51"/>
      <c r="AB645" s="51"/>
    </row>
    <row r="646" customFormat="false" ht="15.75" hidden="false" customHeight="false" outlineLevel="0" collapsed="false">
      <c r="A646" s="51"/>
      <c r="B646" s="51"/>
      <c r="C646" s="6"/>
      <c r="D646" s="49"/>
      <c r="E646" s="51"/>
      <c r="F646" s="6"/>
      <c r="G646" s="6"/>
      <c r="H646" s="6"/>
      <c r="I646" s="6"/>
      <c r="J646" s="6"/>
      <c r="K646" s="51"/>
      <c r="L646" s="51"/>
      <c r="M646" s="51"/>
      <c r="N646" s="51"/>
      <c r="O646" s="51"/>
      <c r="P646" s="51"/>
      <c r="Q646" s="51"/>
      <c r="R646" s="51"/>
      <c r="S646" s="51"/>
      <c r="T646" s="51"/>
      <c r="U646" s="51"/>
      <c r="V646" s="51"/>
      <c r="W646" s="51"/>
      <c r="X646" s="51"/>
      <c r="Y646" s="51"/>
      <c r="Z646" s="51"/>
      <c r="AA646" s="51"/>
      <c r="AB646" s="51"/>
    </row>
    <row r="647" customFormat="false" ht="15.75" hidden="false" customHeight="false" outlineLevel="0" collapsed="false">
      <c r="A647" s="51"/>
      <c r="B647" s="51"/>
      <c r="C647" s="6"/>
      <c r="D647" s="49"/>
      <c r="E647" s="51"/>
      <c r="F647" s="6"/>
      <c r="G647" s="6"/>
      <c r="H647" s="6"/>
      <c r="I647" s="6"/>
      <c r="J647" s="6"/>
      <c r="K647" s="51"/>
      <c r="L647" s="51"/>
      <c r="M647" s="51"/>
      <c r="N647" s="51"/>
      <c r="O647" s="51"/>
      <c r="P647" s="51"/>
      <c r="Q647" s="51"/>
      <c r="R647" s="51"/>
      <c r="S647" s="51"/>
      <c r="T647" s="51"/>
      <c r="U647" s="51"/>
      <c r="V647" s="51"/>
      <c r="W647" s="51"/>
      <c r="X647" s="51"/>
      <c r="Y647" s="51"/>
      <c r="Z647" s="51"/>
      <c r="AA647" s="51"/>
      <c r="AB647" s="51"/>
    </row>
    <row r="648" customFormat="false" ht="15.75" hidden="false" customHeight="false" outlineLevel="0" collapsed="false">
      <c r="A648" s="51"/>
      <c r="B648" s="51"/>
      <c r="C648" s="6"/>
      <c r="D648" s="49"/>
      <c r="E648" s="51"/>
      <c r="F648" s="6"/>
      <c r="G648" s="6"/>
      <c r="H648" s="6"/>
      <c r="I648" s="6"/>
      <c r="J648" s="6"/>
      <c r="K648" s="51"/>
      <c r="L648" s="51"/>
      <c r="M648" s="51"/>
      <c r="N648" s="51"/>
      <c r="O648" s="51"/>
      <c r="P648" s="51"/>
      <c r="Q648" s="51"/>
      <c r="R648" s="51"/>
      <c r="S648" s="51"/>
      <c r="T648" s="51"/>
      <c r="U648" s="51"/>
      <c r="V648" s="51"/>
      <c r="W648" s="51"/>
      <c r="X648" s="51"/>
      <c r="Y648" s="51"/>
      <c r="Z648" s="51"/>
      <c r="AA648" s="51"/>
      <c r="AB648" s="51"/>
    </row>
    <row r="649" customFormat="false" ht="15.75" hidden="false" customHeight="false" outlineLevel="0" collapsed="false">
      <c r="A649" s="51"/>
      <c r="B649" s="51"/>
      <c r="C649" s="6"/>
      <c r="D649" s="49"/>
      <c r="E649" s="51"/>
      <c r="F649" s="6"/>
      <c r="G649" s="6"/>
      <c r="H649" s="6"/>
      <c r="I649" s="6"/>
      <c r="J649" s="6"/>
      <c r="K649" s="51"/>
      <c r="L649" s="51"/>
      <c r="M649" s="51"/>
      <c r="N649" s="51"/>
      <c r="O649" s="51"/>
      <c r="P649" s="51"/>
      <c r="Q649" s="51"/>
      <c r="R649" s="51"/>
      <c r="S649" s="51"/>
      <c r="T649" s="51"/>
      <c r="U649" s="51"/>
      <c r="V649" s="51"/>
      <c r="W649" s="51"/>
      <c r="X649" s="51"/>
      <c r="Y649" s="51"/>
      <c r="Z649" s="51"/>
      <c r="AA649" s="51"/>
      <c r="AB649" s="51"/>
    </row>
    <row r="650" customFormat="false" ht="15.75" hidden="false" customHeight="false" outlineLevel="0" collapsed="false">
      <c r="A650" s="51"/>
      <c r="B650" s="51"/>
      <c r="C650" s="6"/>
      <c r="D650" s="49"/>
      <c r="E650" s="51"/>
      <c r="F650" s="6"/>
      <c r="G650" s="6"/>
      <c r="H650" s="6"/>
      <c r="I650" s="6"/>
      <c r="J650" s="6"/>
      <c r="K650" s="51"/>
      <c r="L650" s="51"/>
      <c r="M650" s="51"/>
      <c r="N650" s="51"/>
      <c r="O650" s="51"/>
      <c r="P650" s="51"/>
      <c r="Q650" s="51"/>
      <c r="R650" s="51"/>
      <c r="S650" s="51"/>
      <c r="T650" s="51"/>
      <c r="U650" s="51"/>
      <c r="V650" s="51"/>
      <c r="W650" s="51"/>
      <c r="X650" s="51"/>
      <c r="Y650" s="51"/>
      <c r="Z650" s="51"/>
      <c r="AA650" s="51"/>
      <c r="AB650" s="51"/>
    </row>
    <row r="651" customFormat="false" ht="15.75" hidden="false" customHeight="false" outlineLevel="0" collapsed="false">
      <c r="A651" s="51"/>
      <c r="B651" s="51"/>
      <c r="C651" s="6"/>
      <c r="D651" s="49"/>
      <c r="E651" s="51"/>
      <c r="F651" s="6"/>
      <c r="G651" s="6"/>
      <c r="H651" s="6"/>
      <c r="I651" s="6"/>
      <c r="J651" s="6"/>
      <c r="K651" s="51"/>
      <c r="L651" s="51"/>
      <c r="M651" s="51"/>
      <c r="N651" s="51"/>
      <c r="O651" s="51"/>
      <c r="P651" s="51"/>
      <c r="Q651" s="51"/>
      <c r="R651" s="51"/>
      <c r="S651" s="51"/>
      <c r="T651" s="51"/>
      <c r="U651" s="51"/>
      <c r="V651" s="51"/>
      <c r="W651" s="51"/>
      <c r="X651" s="51"/>
      <c r="Y651" s="51"/>
      <c r="Z651" s="51"/>
      <c r="AA651" s="51"/>
      <c r="AB651" s="51"/>
    </row>
    <row r="652" customFormat="false" ht="15.75" hidden="false" customHeight="false" outlineLevel="0" collapsed="false">
      <c r="A652" s="51"/>
      <c r="B652" s="51"/>
      <c r="C652" s="6"/>
      <c r="D652" s="49"/>
      <c r="E652" s="51"/>
      <c r="F652" s="6"/>
      <c r="G652" s="6"/>
      <c r="H652" s="6"/>
      <c r="I652" s="6"/>
      <c r="J652" s="6"/>
      <c r="K652" s="51"/>
      <c r="L652" s="51"/>
      <c r="M652" s="51"/>
      <c r="N652" s="51"/>
      <c r="O652" s="51"/>
      <c r="P652" s="51"/>
      <c r="Q652" s="51"/>
      <c r="R652" s="51"/>
      <c r="S652" s="51"/>
      <c r="T652" s="51"/>
      <c r="U652" s="51"/>
      <c r="V652" s="51"/>
      <c r="W652" s="51"/>
      <c r="X652" s="51"/>
      <c r="Y652" s="51"/>
      <c r="Z652" s="51"/>
      <c r="AA652" s="51"/>
      <c r="AB652" s="51"/>
    </row>
    <row r="653" customFormat="false" ht="15.75" hidden="false" customHeight="false" outlineLevel="0" collapsed="false">
      <c r="A653" s="51"/>
      <c r="B653" s="51"/>
      <c r="C653" s="6"/>
      <c r="D653" s="49"/>
      <c r="E653" s="51"/>
      <c r="F653" s="6"/>
      <c r="G653" s="6"/>
      <c r="H653" s="6"/>
      <c r="I653" s="6"/>
      <c r="J653" s="6"/>
      <c r="K653" s="51"/>
      <c r="L653" s="51"/>
      <c r="M653" s="51"/>
      <c r="N653" s="51"/>
      <c r="O653" s="51"/>
      <c r="P653" s="51"/>
      <c r="Q653" s="51"/>
      <c r="R653" s="51"/>
      <c r="S653" s="51"/>
      <c r="T653" s="51"/>
      <c r="U653" s="51"/>
      <c r="V653" s="51"/>
      <c r="W653" s="51"/>
      <c r="X653" s="51"/>
      <c r="Y653" s="51"/>
      <c r="Z653" s="51"/>
      <c r="AA653" s="51"/>
      <c r="AB653" s="51"/>
    </row>
    <row r="654" customFormat="false" ht="15.75" hidden="false" customHeight="false" outlineLevel="0" collapsed="false">
      <c r="A654" s="51"/>
      <c r="B654" s="51"/>
      <c r="C654" s="6"/>
      <c r="D654" s="49"/>
      <c r="E654" s="51"/>
      <c r="F654" s="6"/>
      <c r="G654" s="6"/>
      <c r="H654" s="6"/>
      <c r="I654" s="6"/>
      <c r="J654" s="6"/>
      <c r="K654" s="51"/>
      <c r="L654" s="51"/>
      <c r="M654" s="51"/>
      <c r="N654" s="51"/>
      <c r="O654" s="51"/>
      <c r="P654" s="51"/>
      <c r="Q654" s="51"/>
      <c r="R654" s="51"/>
      <c r="S654" s="51"/>
      <c r="T654" s="51"/>
      <c r="U654" s="51"/>
      <c r="V654" s="51"/>
      <c r="W654" s="51"/>
      <c r="X654" s="51"/>
      <c r="Y654" s="51"/>
      <c r="Z654" s="51"/>
      <c r="AA654" s="51"/>
      <c r="AB654" s="51"/>
    </row>
    <row r="655" customFormat="false" ht="15.75" hidden="false" customHeight="false" outlineLevel="0" collapsed="false">
      <c r="A655" s="51"/>
      <c r="B655" s="51"/>
      <c r="C655" s="6"/>
      <c r="D655" s="49"/>
      <c r="E655" s="51"/>
      <c r="F655" s="6"/>
      <c r="G655" s="6"/>
      <c r="H655" s="6"/>
      <c r="I655" s="6"/>
      <c r="J655" s="6"/>
      <c r="K655" s="51"/>
      <c r="L655" s="51"/>
      <c r="M655" s="51"/>
      <c r="N655" s="51"/>
      <c r="O655" s="51"/>
      <c r="P655" s="51"/>
      <c r="Q655" s="51"/>
      <c r="R655" s="51"/>
      <c r="S655" s="51"/>
      <c r="T655" s="51"/>
      <c r="U655" s="51"/>
      <c r="V655" s="51"/>
      <c r="W655" s="51"/>
      <c r="X655" s="51"/>
      <c r="Y655" s="51"/>
      <c r="Z655" s="51"/>
      <c r="AA655" s="51"/>
      <c r="AB655" s="51"/>
    </row>
    <row r="656" customFormat="false" ht="15.75" hidden="false" customHeight="false" outlineLevel="0" collapsed="false">
      <c r="A656" s="51"/>
      <c r="B656" s="51"/>
      <c r="C656" s="6"/>
      <c r="D656" s="49"/>
      <c r="E656" s="51"/>
      <c r="F656" s="6"/>
      <c r="G656" s="6"/>
      <c r="H656" s="6"/>
      <c r="I656" s="6"/>
      <c r="J656" s="6"/>
      <c r="K656" s="51"/>
      <c r="L656" s="51"/>
      <c r="M656" s="51"/>
      <c r="N656" s="51"/>
      <c r="O656" s="51"/>
      <c r="P656" s="51"/>
      <c r="Q656" s="51"/>
      <c r="R656" s="51"/>
      <c r="S656" s="51"/>
      <c r="T656" s="51"/>
      <c r="U656" s="51"/>
      <c r="V656" s="51"/>
      <c r="W656" s="51"/>
      <c r="X656" s="51"/>
      <c r="Y656" s="51"/>
      <c r="Z656" s="51"/>
      <c r="AA656" s="51"/>
      <c r="AB656" s="51"/>
    </row>
    <row r="657" customFormat="false" ht="15.75" hidden="false" customHeight="false" outlineLevel="0" collapsed="false">
      <c r="A657" s="51"/>
      <c r="B657" s="51"/>
      <c r="C657" s="6"/>
      <c r="D657" s="49"/>
      <c r="E657" s="51"/>
      <c r="F657" s="6"/>
      <c r="G657" s="6"/>
      <c r="H657" s="6"/>
      <c r="I657" s="6"/>
      <c r="J657" s="6"/>
      <c r="K657" s="51"/>
      <c r="L657" s="51"/>
      <c r="M657" s="51"/>
      <c r="N657" s="51"/>
      <c r="O657" s="51"/>
      <c r="P657" s="51"/>
      <c r="Q657" s="51"/>
      <c r="R657" s="51"/>
      <c r="S657" s="51"/>
      <c r="T657" s="51"/>
      <c r="U657" s="51"/>
      <c r="V657" s="51"/>
      <c r="W657" s="51"/>
      <c r="X657" s="51"/>
      <c r="Y657" s="51"/>
      <c r="Z657" s="51"/>
      <c r="AA657" s="51"/>
      <c r="AB657" s="51"/>
    </row>
    <row r="658" customFormat="false" ht="15.75" hidden="false" customHeight="false" outlineLevel="0" collapsed="false">
      <c r="A658" s="51"/>
      <c r="B658" s="51"/>
      <c r="C658" s="6"/>
      <c r="D658" s="49"/>
      <c r="E658" s="51"/>
      <c r="F658" s="6"/>
      <c r="G658" s="6"/>
      <c r="H658" s="6"/>
      <c r="I658" s="6"/>
      <c r="J658" s="6"/>
      <c r="K658" s="51"/>
      <c r="L658" s="51"/>
      <c r="M658" s="51"/>
      <c r="N658" s="51"/>
      <c r="O658" s="51"/>
      <c r="P658" s="51"/>
      <c r="Q658" s="51"/>
      <c r="R658" s="51"/>
      <c r="S658" s="51"/>
      <c r="T658" s="51"/>
      <c r="U658" s="51"/>
      <c r="V658" s="51"/>
      <c r="W658" s="51"/>
      <c r="X658" s="51"/>
      <c r="Y658" s="51"/>
      <c r="Z658" s="51"/>
      <c r="AA658" s="51"/>
      <c r="AB658" s="51"/>
    </row>
    <row r="659" customFormat="false" ht="15.75" hidden="false" customHeight="false" outlineLevel="0" collapsed="false">
      <c r="A659" s="51"/>
      <c r="B659" s="51"/>
      <c r="C659" s="6"/>
      <c r="D659" s="49"/>
      <c r="E659" s="51"/>
      <c r="F659" s="6"/>
      <c r="G659" s="6"/>
      <c r="H659" s="6"/>
      <c r="I659" s="6"/>
      <c r="J659" s="6"/>
      <c r="K659" s="51"/>
      <c r="L659" s="51"/>
      <c r="M659" s="51"/>
      <c r="N659" s="51"/>
      <c r="O659" s="51"/>
      <c r="P659" s="51"/>
      <c r="Q659" s="51"/>
      <c r="R659" s="51"/>
      <c r="S659" s="51"/>
      <c r="T659" s="51"/>
      <c r="U659" s="51"/>
      <c r="V659" s="51"/>
      <c r="W659" s="51"/>
      <c r="X659" s="51"/>
      <c r="Y659" s="51"/>
      <c r="Z659" s="51"/>
      <c r="AA659" s="51"/>
      <c r="AB659" s="51"/>
    </row>
    <row r="660" customFormat="false" ht="15.75" hidden="false" customHeight="false" outlineLevel="0" collapsed="false">
      <c r="A660" s="51"/>
      <c r="B660" s="51"/>
      <c r="C660" s="6"/>
      <c r="D660" s="49"/>
      <c r="E660" s="51"/>
      <c r="F660" s="6"/>
      <c r="G660" s="6"/>
      <c r="H660" s="6"/>
      <c r="I660" s="6"/>
      <c r="J660" s="6"/>
      <c r="K660" s="51"/>
      <c r="L660" s="51"/>
      <c r="M660" s="51"/>
      <c r="N660" s="51"/>
      <c r="O660" s="51"/>
      <c r="P660" s="51"/>
      <c r="Q660" s="51"/>
      <c r="R660" s="51"/>
      <c r="S660" s="51"/>
      <c r="T660" s="51"/>
      <c r="U660" s="51"/>
      <c r="V660" s="51"/>
      <c r="W660" s="51"/>
      <c r="X660" s="51"/>
      <c r="Y660" s="51"/>
      <c r="Z660" s="51"/>
      <c r="AA660" s="51"/>
      <c r="AB660" s="51"/>
    </row>
    <row r="661" customFormat="false" ht="15.75" hidden="false" customHeight="false" outlineLevel="0" collapsed="false">
      <c r="A661" s="51"/>
      <c r="B661" s="51"/>
      <c r="C661" s="6"/>
      <c r="D661" s="49"/>
      <c r="E661" s="51"/>
      <c r="F661" s="6"/>
      <c r="G661" s="6"/>
      <c r="H661" s="6"/>
      <c r="I661" s="6"/>
      <c r="J661" s="6"/>
      <c r="K661" s="51"/>
      <c r="L661" s="51"/>
      <c r="M661" s="51"/>
      <c r="N661" s="51"/>
      <c r="O661" s="51"/>
      <c r="P661" s="51"/>
      <c r="Q661" s="51"/>
      <c r="R661" s="51"/>
      <c r="S661" s="51"/>
      <c r="T661" s="51"/>
      <c r="U661" s="51"/>
      <c r="V661" s="51"/>
      <c r="W661" s="51"/>
      <c r="X661" s="51"/>
      <c r="Y661" s="51"/>
      <c r="Z661" s="51"/>
      <c r="AA661" s="51"/>
      <c r="AB661" s="51"/>
    </row>
    <row r="662" customFormat="false" ht="15.75" hidden="false" customHeight="false" outlineLevel="0" collapsed="false">
      <c r="A662" s="51"/>
      <c r="B662" s="51"/>
      <c r="C662" s="6"/>
      <c r="D662" s="49"/>
      <c r="E662" s="51"/>
      <c r="F662" s="6"/>
      <c r="G662" s="6"/>
      <c r="H662" s="6"/>
      <c r="I662" s="6"/>
      <c r="J662" s="6"/>
      <c r="K662" s="51"/>
      <c r="L662" s="51"/>
      <c r="M662" s="51"/>
      <c r="N662" s="51"/>
      <c r="O662" s="51"/>
      <c r="P662" s="51"/>
      <c r="Q662" s="51"/>
      <c r="R662" s="51"/>
      <c r="S662" s="51"/>
      <c r="T662" s="51"/>
      <c r="U662" s="51"/>
      <c r="V662" s="51"/>
      <c r="W662" s="51"/>
      <c r="X662" s="51"/>
      <c r="Y662" s="51"/>
      <c r="Z662" s="51"/>
      <c r="AA662" s="51"/>
      <c r="AB662" s="51"/>
    </row>
    <row r="663" customFormat="false" ht="15.75" hidden="false" customHeight="false" outlineLevel="0" collapsed="false">
      <c r="A663" s="51"/>
      <c r="B663" s="51"/>
      <c r="C663" s="6"/>
      <c r="D663" s="49"/>
      <c r="E663" s="51"/>
      <c r="F663" s="6"/>
      <c r="G663" s="6"/>
      <c r="H663" s="6"/>
      <c r="I663" s="6"/>
      <c r="J663" s="6"/>
      <c r="K663" s="51"/>
      <c r="L663" s="51"/>
      <c r="M663" s="51"/>
      <c r="N663" s="51"/>
      <c r="O663" s="51"/>
      <c r="P663" s="51"/>
      <c r="Q663" s="51"/>
      <c r="R663" s="51"/>
      <c r="S663" s="51"/>
      <c r="T663" s="51"/>
      <c r="U663" s="51"/>
      <c r="V663" s="51"/>
      <c r="W663" s="51"/>
      <c r="X663" s="51"/>
      <c r="Y663" s="51"/>
      <c r="Z663" s="51"/>
      <c r="AA663" s="51"/>
      <c r="AB663" s="51"/>
    </row>
    <row r="664" customFormat="false" ht="15.75" hidden="false" customHeight="false" outlineLevel="0" collapsed="false">
      <c r="A664" s="51"/>
      <c r="B664" s="51"/>
      <c r="C664" s="6"/>
      <c r="D664" s="49"/>
      <c r="E664" s="51"/>
      <c r="F664" s="6"/>
      <c r="G664" s="6"/>
      <c r="H664" s="6"/>
      <c r="I664" s="6"/>
      <c r="J664" s="6"/>
      <c r="K664" s="51"/>
      <c r="L664" s="51"/>
      <c r="M664" s="51"/>
      <c r="N664" s="51"/>
      <c r="O664" s="51"/>
      <c r="P664" s="51"/>
      <c r="Q664" s="51"/>
      <c r="R664" s="51"/>
      <c r="S664" s="51"/>
      <c r="T664" s="51"/>
      <c r="U664" s="51"/>
      <c r="V664" s="51"/>
      <c r="W664" s="51"/>
      <c r="X664" s="51"/>
      <c r="Y664" s="51"/>
      <c r="Z664" s="51"/>
      <c r="AA664" s="51"/>
      <c r="AB664" s="51"/>
    </row>
    <row r="665" customFormat="false" ht="15.75" hidden="false" customHeight="false" outlineLevel="0" collapsed="false">
      <c r="A665" s="51"/>
      <c r="B665" s="51"/>
      <c r="C665" s="6"/>
      <c r="D665" s="49"/>
      <c r="E665" s="51"/>
      <c r="F665" s="6"/>
      <c r="G665" s="6"/>
      <c r="H665" s="6"/>
      <c r="I665" s="6"/>
      <c r="J665" s="6"/>
      <c r="K665" s="51"/>
      <c r="L665" s="51"/>
      <c r="M665" s="51"/>
      <c r="N665" s="51"/>
      <c r="O665" s="51"/>
      <c r="P665" s="51"/>
      <c r="Q665" s="51"/>
      <c r="R665" s="51"/>
      <c r="S665" s="51"/>
      <c r="T665" s="51"/>
      <c r="U665" s="51"/>
      <c r="V665" s="51"/>
      <c r="W665" s="51"/>
      <c r="X665" s="51"/>
      <c r="Y665" s="51"/>
      <c r="Z665" s="51"/>
      <c r="AA665" s="51"/>
      <c r="AB665" s="51"/>
    </row>
    <row r="666" customFormat="false" ht="15.75" hidden="false" customHeight="false" outlineLevel="0" collapsed="false">
      <c r="A666" s="51"/>
      <c r="B666" s="51"/>
      <c r="C666" s="6"/>
      <c r="D666" s="49"/>
      <c r="E666" s="51"/>
      <c r="F666" s="6"/>
      <c r="G666" s="6"/>
      <c r="H666" s="6"/>
      <c r="I666" s="6"/>
      <c r="J666" s="6"/>
      <c r="K666" s="51"/>
      <c r="L666" s="51"/>
      <c r="M666" s="51"/>
      <c r="N666" s="51"/>
      <c r="O666" s="51"/>
      <c r="P666" s="51"/>
      <c r="Q666" s="51"/>
      <c r="R666" s="51"/>
      <c r="S666" s="51"/>
      <c r="T666" s="51"/>
      <c r="U666" s="51"/>
      <c r="V666" s="51"/>
      <c r="W666" s="51"/>
      <c r="X666" s="51"/>
      <c r="Y666" s="51"/>
      <c r="Z666" s="51"/>
      <c r="AA666" s="51"/>
      <c r="AB666" s="51"/>
    </row>
    <row r="667" customFormat="false" ht="15.75" hidden="false" customHeight="false" outlineLevel="0" collapsed="false">
      <c r="A667" s="51"/>
      <c r="B667" s="51"/>
      <c r="C667" s="6"/>
      <c r="D667" s="49"/>
      <c r="E667" s="51"/>
      <c r="F667" s="6"/>
      <c r="G667" s="6"/>
      <c r="H667" s="6"/>
      <c r="I667" s="6"/>
      <c r="J667" s="6"/>
      <c r="K667" s="51"/>
      <c r="L667" s="51"/>
      <c r="M667" s="51"/>
      <c r="N667" s="51"/>
      <c r="O667" s="51"/>
      <c r="P667" s="51"/>
      <c r="Q667" s="51"/>
      <c r="R667" s="51"/>
      <c r="S667" s="51"/>
      <c r="T667" s="51"/>
      <c r="U667" s="51"/>
      <c r="V667" s="51"/>
      <c r="W667" s="51"/>
      <c r="X667" s="51"/>
      <c r="Y667" s="51"/>
      <c r="Z667" s="51"/>
      <c r="AA667" s="51"/>
      <c r="AB667" s="51"/>
    </row>
    <row r="668" customFormat="false" ht="15.75" hidden="false" customHeight="false" outlineLevel="0" collapsed="false">
      <c r="A668" s="51"/>
      <c r="B668" s="51"/>
      <c r="C668" s="6"/>
      <c r="D668" s="49"/>
      <c r="E668" s="51"/>
      <c r="F668" s="6"/>
      <c r="G668" s="6"/>
      <c r="H668" s="6"/>
      <c r="I668" s="6"/>
      <c r="J668" s="6"/>
      <c r="K668" s="51"/>
      <c r="L668" s="51"/>
      <c r="M668" s="51"/>
      <c r="N668" s="51"/>
      <c r="O668" s="51"/>
      <c r="P668" s="51"/>
      <c r="Q668" s="51"/>
      <c r="R668" s="51"/>
      <c r="S668" s="51"/>
      <c r="T668" s="51"/>
      <c r="U668" s="51"/>
      <c r="V668" s="51"/>
      <c r="W668" s="51"/>
      <c r="X668" s="51"/>
      <c r="Y668" s="51"/>
      <c r="Z668" s="51"/>
      <c r="AA668" s="51"/>
      <c r="AB668" s="51"/>
    </row>
    <row r="669" customFormat="false" ht="15.75" hidden="false" customHeight="false" outlineLevel="0" collapsed="false">
      <c r="A669" s="51"/>
      <c r="B669" s="51"/>
      <c r="C669" s="6"/>
      <c r="D669" s="49"/>
      <c r="E669" s="51"/>
      <c r="F669" s="6"/>
      <c r="G669" s="6"/>
      <c r="H669" s="6"/>
      <c r="I669" s="6"/>
      <c r="J669" s="6"/>
      <c r="K669" s="51"/>
      <c r="L669" s="51"/>
      <c r="M669" s="51"/>
      <c r="N669" s="51"/>
      <c r="O669" s="51"/>
      <c r="P669" s="51"/>
      <c r="Q669" s="51"/>
      <c r="R669" s="51"/>
      <c r="S669" s="51"/>
      <c r="T669" s="51"/>
      <c r="U669" s="51"/>
      <c r="V669" s="51"/>
      <c r="W669" s="51"/>
      <c r="X669" s="51"/>
      <c r="Y669" s="51"/>
      <c r="Z669" s="51"/>
      <c r="AA669" s="51"/>
      <c r="AB669" s="51"/>
    </row>
    <row r="670" customFormat="false" ht="15.75" hidden="false" customHeight="false" outlineLevel="0" collapsed="false">
      <c r="A670" s="51"/>
      <c r="B670" s="51"/>
      <c r="C670" s="6"/>
      <c r="D670" s="49"/>
      <c r="E670" s="51"/>
      <c r="F670" s="6"/>
      <c r="G670" s="6"/>
      <c r="H670" s="6"/>
      <c r="I670" s="6"/>
      <c r="J670" s="6"/>
      <c r="K670" s="51"/>
      <c r="L670" s="51"/>
      <c r="M670" s="51"/>
      <c r="N670" s="51"/>
      <c r="O670" s="51"/>
      <c r="P670" s="51"/>
      <c r="Q670" s="51"/>
      <c r="R670" s="51"/>
      <c r="S670" s="51"/>
      <c r="T670" s="51"/>
      <c r="U670" s="51"/>
      <c r="V670" s="51"/>
      <c r="W670" s="51"/>
      <c r="X670" s="51"/>
      <c r="Y670" s="51"/>
      <c r="Z670" s="51"/>
      <c r="AA670" s="51"/>
      <c r="AB670" s="51"/>
    </row>
    <row r="671" customFormat="false" ht="15.75" hidden="false" customHeight="false" outlineLevel="0" collapsed="false">
      <c r="A671" s="51"/>
      <c r="B671" s="51"/>
      <c r="C671" s="6"/>
      <c r="D671" s="49"/>
      <c r="E671" s="51"/>
      <c r="F671" s="6"/>
      <c r="G671" s="6"/>
      <c r="H671" s="6"/>
      <c r="I671" s="6"/>
      <c r="J671" s="6"/>
      <c r="K671" s="51"/>
      <c r="L671" s="51"/>
      <c r="M671" s="51"/>
      <c r="N671" s="51"/>
      <c r="O671" s="51"/>
      <c r="P671" s="51"/>
      <c r="Q671" s="51"/>
      <c r="R671" s="51"/>
      <c r="S671" s="51"/>
      <c r="T671" s="51"/>
      <c r="U671" s="51"/>
      <c r="V671" s="51"/>
      <c r="W671" s="51"/>
      <c r="X671" s="51"/>
      <c r="Y671" s="51"/>
      <c r="Z671" s="51"/>
      <c r="AA671" s="51"/>
      <c r="AB671" s="51"/>
    </row>
    <row r="672" customFormat="false" ht="15.75" hidden="false" customHeight="false" outlineLevel="0" collapsed="false">
      <c r="A672" s="51"/>
      <c r="B672" s="51"/>
      <c r="C672" s="6"/>
      <c r="D672" s="49"/>
      <c r="E672" s="51"/>
      <c r="F672" s="6"/>
      <c r="G672" s="6"/>
      <c r="H672" s="6"/>
      <c r="I672" s="6"/>
      <c r="J672" s="6"/>
      <c r="K672" s="51"/>
      <c r="L672" s="51"/>
      <c r="M672" s="51"/>
      <c r="N672" s="51"/>
      <c r="O672" s="51"/>
      <c r="P672" s="51"/>
      <c r="Q672" s="51"/>
      <c r="R672" s="51"/>
      <c r="S672" s="51"/>
      <c r="T672" s="51"/>
      <c r="U672" s="51"/>
      <c r="V672" s="51"/>
      <c r="W672" s="51"/>
      <c r="X672" s="51"/>
      <c r="Y672" s="51"/>
      <c r="Z672" s="51"/>
      <c r="AA672" s="51"/>
      <c r="AB672" s="51"/>
    </row>
    <row r="673" customFormat="false" ht="15.75" hidden="false" customHeight="false" outlineLevel="0" collapsed="false">
      <c r="A673" s="51"/>
      <c r="B673" s="51"/>
      <c r="C673" s="6"/>
      <c r="D673" s="49"/>
      <c r="E673" s="51"/>
      <c r="F673" s="6"/>
      <c r="G673" s="6"/>
      <c r="H673" s="6"/>
      <c r="I673" s="6"/>
      <c r="J673" s="6"/>
      <c r="K673" s="51"/>
      <c r="L673" s="51"/>
      <c r="M673" s="51"/>
      <c r="N673" s="51"/>
      <c r="O673" s="51"/>
      <c r="P673" s="51"/>
      <c r="Q673" s="51"/>
      <c r="R673" s="51"/>
      <c r="S673" s="51"/>
      <c r="T673" s="51"/>
      <c r="U673" s="51"/>
      <c r="V673" s="51"/>
      <c r="W673" s="51"/>
      <c r="X673" s="51"/>
      <c r="Y673" s="51"/>
      <c r="Z673" s="51"/>
      <c r="AA673" s="51"/>
      <c r="AB673" s="51"/>
    </row>
    <row r="674" customFormat="false" ht="15.75" hidden="false" customHeight="false" outlineLevel="0" collapsed="false">
      <c r="A674" s="51"/>
      <c r="B674" s="51"/>
      <c r="C674" s="6"/>
      <c r="D674" s="49"/>
      <c r="E674" s="51"/>
      <c r="F674" s="6"/>
      <c r="G674" s="6"/>
      <c r="H674" s="6"/>
      <c r="I674" s="6"/>
      <c r="J674" s="6"/>
      <c r="K674" s="51"/>
      <c r="L674" s="51"/>
      <c r="M674" s="51"/>
      <c r="N674" s="51"/>
      <c r="O674" s="51"/>
      <c r="P674" s="51"/>
      <c r="Q674" s="51"/>
      <c r="R674" s="51"/>
      <c r="S674" s="51"/>
      <c r="T674" s="51"/>
      <c r="U674" s="51"/>
      <c r="V674" s="51"/>
      <c r="W674" s="51"/>
      <c r="X674" s="51"/>
      <c r="Y674" s="51"/>
      <c r="Z674" s="51"/>
      <c r="AA674" s="51"/>
      <c r="AB674" s="51"/>
    </row>
    <row r="675" customFormat="false" ht="15.75" hidden="false" customHeight="false" outlineLevel="0" collapsed="false">
      <c r="A675" s="51"/>
      <c r="B675" s="51"/>
      <c r="C675" s="6"/>
      <c r="D675" s="49"/>
      <c r="E675" s="51"/>
      <c r="F675" s="6"/>
      <c r="G675" s="6"/>
      <c r="H675" s="6"/>
      <c r="I675" s="6"/>
      <c r="J675" s="6"/>
      <c r="K675" s="51"/>
      <c r="L675" s="51"/>
      <c r="M675" s="51"/>
      <c r="N675" s="51"/>
      <c r="O675" s="51"/>
      <c r="P675" s="51"/>
      <c r="Q675" s="51"/>
      <c r="R675" s="51"/>
      <c r="S675" s="51"/>
      <c r="T675" s="51"/>
      <c r="U675" s="51"/>
      <c r="V675" s="51"/>
      <c r="W675" s="51"/>
      <c r="X675" s="51"/>
      <c r="Y675" s="51"/>
      <c r="Z675" s="51"/>
      <c r="AA675" s="51"/>
      <c r="AB675" s="51"/>
    </row>
    <row r="676" customFormat="false" ht="15.75" hidden="false" customHeight="false" outlineLevel="0" collapsed="false">
      <c r="A676" s="51"/>
      <c r="B676" s="51"/>
      <c r="C676" s="6"/>
      <c r="D676" s="49"/>
      <c r="E676" s="51"/>
      <c r="F676" s="6"/>
      <c r="G676" s="6"/>
      <c r="H676" s="6"/>
      <c r="I676" s="6"/>
      <c r="J676" s="6"/>
      <c r="K676" s="51"/>
      <c r="L676" s="51"/>
      <c r="M676" s="51"/>
      <c r="N676" s="51"/>
      <c r="O676" s="51"/>
      <c r="P676" s="51"/>
      <c r="Q676" s="51"/>
      <c r="R676" s="51"/>
      <c r="S676" s="51"/>
      <c r="T676" s="51"/>
      <c r="U676" s="51"/>
      <c r="V676" s="51"/>
      <c r="W676" s="51"/>
      <c r="X676" s="51"/>
      <c r="Y676" s="51"/>
      <c r="Z676" s="51"/>
      <c r="AA676" s="51"/>
      <c r="AB676" s="51"/>
    </row>
    <row r="677" customFormat="false" ht="15.75" hidden="false" customHeight="false" outlineLevel="0" collapsed="false">
      <c r="A677" s="51"/>
      <c r="B677" s="51"/>
      <c r="C677" s="6"/>
      <c r="D677" s="49"/>
      <c r="E677" s="51"/>
      <c r="F677" s="6"/>
      <c r="G677" s="6"/>
      <c r="H677" s="6"/>
      <c r="I677" s="6"/>
      <c r="J677" s="6"/>
      <c r="K677" s="51"/>
      <c r="L677" s="51"/>
      <c r="M677" s="51"/>
      <c r="N677" s="51"/>
      <c r="O677" s="51"/>
      <c r="P677" s="51"/>
      <c r="Q677" s="51"/>
      <c r="R677" s="51"/>
      <c r="S677" s="51"/>
      <c r="T677" s="51"/>
      <c r="U677" s="51"/>
      <c r="V677" s="51"/>
      <c r="W677" s="51"/>
      <c r="X677" s="51"/>
      <c r="Y677" s="51"/>
      <c r="Z677" s="51"/>
      <c r="AA677" s="51"/>
      <c r="AB677" s="51"/>
    </row>
    <row r="678" customFormat="false" ht="15.75" hidden="false" customHeight="false" outlineLevel="0" collapsed="false">
      <c r="A678" s="51"/>
      <c r="B678" s="51"/>
      <c r="C678" s="6"/>
      <c r="D678" s="49"/>
      <c r="E678" s="51"/>
      <c r="F678" s="6"/>
      <c r="G678" s="6"/>
      <c r="H678" s="6"/>
      <c r="I678" s="6"/>
      <c r="J678" s="6"/>
      <c r="K678" s="51"/>
      <c r="L678" s="51"/>
      <c r="M678" s="51"/>
      <c r="N678" s="51"/>
      <c r="O678" s="51"/>
      <c r="P678" s="51"/>
      <c r="Q678" s="51"/>
      <c r="R678" s="51"/>
      <c r="S678" s="51"/>
      <c r="T678" s="51"/>
      <c r="U678" s="51"/>
      <c r="V678" s="51"/>
      <c r="W678" s="51"/>
      <c r="X678" s="51"/>
      <c r="Y678" s="51"/>
      <c r="Z678" s="51"/>
      <c r="AA678" s="51"/>
      <c r="AB678" s="51"/>
    </row>
    <row r="679" customFormat="false" ht="15.75" hidden="false" customHeight="false" outlineLevel="0" collapsed="false">
      <c r="A679" s="51"/>
      <c r="B679" s="51"/>
      <c r="C679" s="6"/>
      <c r="D679" s="49"/>
      <c r="E679" s="51"/>
      <c r="F679" s="6"/>
      <c r="G679" s="6"/>
      <c r="H679" s="6"/>
      <c r="I679" s="6"/>
      <c r="J679" s="6"/>
      <c r="K679" s="51"/>
      <c r="L679" s="51"/>
      <c r="M679" s="51"/>
      <c r="N679" s="51"/>
      <c r="O679" s="51"/>
      <c r="P679" s="51"/>
      <c r="Q679" s="51"/>
      <c r="R679" s="51"/>
      <c r="S679" s="51"/>
      <c r="T679" s="51"/>
      <c r="U679" s="51"/>
      <c r="V679" s="51"/>
      <c r="W679" s="51"/>
      <c r="X679" s="51"/>
      <c r="Y679" s="51"/>
      <c r="Z679" s="51"/>
      <c r="AA679" s="51"/>
      <c r="AB679" s="51"/>
    </row>
    <row r="680" customFormat="false" ht="15.75" hidden="false" customHeight="false" outlineLevel="0" collapsed="false">
      <c r="A680" s="51"/>
      <c r="B680" s="51"/>
      <c r="C680" s="6"/>
      <c r="D680" s="49"/>
      <c r="E680" s="51"/>
      <c r="F680" s="6"/>
      <c r="G680" s="6"/>
      <c r="H680" s="6"/>
      <c r="I680" s="6"/>
      <c r="J680" s="6"/>
      <c r="K680" s="51"/>
      <c r="L680" s="51"/>
      <c r="M680" s="51"/>
      <c r="N680" s="51"/>
      <c r="O680" s="51"/>
      <c r="P680" s="51"/>
      <c r="Q680" s="51"/>
      <c r="R680" s="51"/>
      <c r="S680" s="51"/>
      <c r="T680" s="51"/>
      <c r="U680" s="51"/>
      <c r="V680" s="51"/>
      <c r="W680" s="51"/>
      <c r="X680" s="51"/>
      <c r="Y680" s="51"/>
      <c r="Z680" s="51"/>
      <c r="AA680" s="51"/>
      <c r="AB680" s="51"/>
    </row>
    <row r="681" customFormat="false" ht="15.75" hidden="false" customHeight="false" outlineLevel="0" collapsed="false">
      <c r="A681" s="51"/>
      <c r="B681" s="51"/>
      <c r="C681" s="6"/>
      <c r="D681" s="49"/>
      <c r="E681" s="51"/>
      <c r="F681" s="6"/>
      <c r="G681" s="6"/>
      <c r="H681" s="6"/>
      <c r="I681" s="6"/>
      <c r="J681" s="6"/>
      <c r="K681" s="51"/>
      <c r="L681" s="51"/>
      <c r="M681" s="51"/>
      <c r="N681" s="51"/>
      <c r="O681" s="51"/>
      <c r="P681" s="51"/>
      <c r="Q681" s="51"/>
      <c r="R681" s="51"/>
      <c r="S681" s="51"/>
      <c r="T681" s="51"/>
      <c r="U681" s="51"/>
      <c r="V681" s="51"/>
      <c r="W681" s="51"/>
      <c r="X681" s="51"/>
      <c r="Y681" s="51"/>
      <c r="Z681" s="51"/>
      <c r="AA681" s="51"/>
      <c r="AB681" s="51"/>
    </row>
    <row r="682" customFormat="false" ht="15.75" hidden="false" customHeight="false" outlineLevel="0" collapsed="false">
      <c r="A682" s="51"/>
      <c r="B682" s="51"/>
      <c r="C682" s="6"/>
      <c r="D682" s="49"/>
      <c r="E682" s="51"/>
      <c r="F682" s="6"/>
      <c r="G682" s="6"/>
      <c r="H682" s="6"/>
      <c r="I682" s="6"/>
      <c r="J682" s="6"/>
      <c r="K682" s="51"/>
      <c r="L682" s="51"/>
      <c r="M682" s="51"/>
      <c r="N682" s="51"/>
      <c r="O682" s="51"/>
      <c r="P682" s="51"/>
      <c r="Q682" s="51"/>
      <c r="R682" s="51"/>
      <c r="S682" s="51"/>
      <c r="T682" s="51"/>
      <c r="U682" s="51"/>
      <c r="V682" s="51"/>
      <c r="W682" s="51"/>
      <c r="X682" s="51"/>
      <c r="Y682" s="51"/>
      <c r="Z682" s="51"/>
      <c r="AA682" s="51"/>
      <c r="AB682" s="51"/>
    </row>
    <row r="683" customFormat="false" ht="15.75" hidden="false" customHeight="false" outlineLevel="0" collapsed="false">
      <c r="A683" s="51"/>
      <c r="B683" s="51"/>
      <c r="C683" s="6"/>
      <c r="D683" s="49"/>
      <c r="E683" s="51"/>
      <c r="F683" s="6"/>
      <c r="G683" s="6"/>
      <c r="H683" s="6"/>
      <c r="I683" s="6"/>
      <c r="J683" s="6"/>
      <c r="K683" s="51"/>
      <c r="L683" s="51"/>
      <c r="M683" s="51"/>
      <c r="N683" s="51"/>
      <c r="O683" s="51"/>
      <c r="P683" s="51"/>
      <c r="Q683" s="51"/>
      <c r="R683" s="51"/>
      <c r="S683" s="51"/>
      <c r="T683" s="51"/>
      <c r="U683" s="51"/>
      <c r="V683" s="51"/>
      <c r="W683" s="51"/>
      <c r="X683" s="51"/>
      <c r="Y683" s="51"/>
      <c r="Z683" s="51"/>
      <c r="AA683" s="51"/>
      <c r="AB683" s="51"/>
    </row>
    <row r="684" customFormat="false" ht="15.75" hidden="false" customHeight="false" outlineLevel="0" collapsed="false">
      <c r="A684" s="51"/>
      <c r="B684" s="51"/>
      <c r="C684" s="6"/>
      <c r="D684" s="49"/>
      <c r="E684" s="51"/>
      <c r="F684" s="6"/>
      <c r="G684" s="6"/>
      <c r="H684" s="6"/>
      <c r="I684" s="6"/>
      <c r="J684" s="6"/>
      <c r="K684" s="51"/>
      <c r="L684" s="51"/>
      <c r="M684" s="51"/>
      <c r="N684" s="51"/>
      <c r="O684" s="51"/>
      <c r="P684" s="51"/>
      <c r="Q684" s="51"/>
      <c r="R684" s="51"/>
      <c r="S684" s="51"/>
      <c r="T684" s="51"/>
      <c r="U684" s="51"/>
      <c r="V684" s="51"/>
      <c r="W684" s="51"/>
      <c r="X684" s="51"/>
      <c r="Y684" s="51"/>
      <c r="Z684" s="51"/>
      <c r="AA684" s="51"/>
      <c r="AB684" s="51"/>
    </row>
    <row r="685" customFormat="false" ht="15.75" hidden="false" customHeight="false" outlineLevel="0" collapsed="false">
      <c r="A685" s="51"/>
      <c r="B685" s="51"/>
      <c r="C685" s="6"/>
      <c r="D685" s="49"/>
      <c r="E685" s="51"/>
      <c r="F685" s="6"/>
      <c r="G685" s="6"/>
      <c r="H685" s="6"/>
      <c r="I685" s="6"/>
      <c r="J685" s="6"/>
      <c r="K685" s="51"/>
      <c r="L685" s="51"/>
      <c r="M685" s="51"/>
      <c r="N685" s="51"/>
      <c r="O685" s="51"/>
      <c r="P685" s="51"/>
      <c r="Q685" s="51"/>
      <c r="R685" s="51"/>
      <c r="S685" s="51"/>
      <c r="T685" s="51"/>
      <c r="U685" s="51"/>
      <c r="V685" s="51"/>
      <c r="W685" s="51"/>
      <c r="X685" s="51"/>
      <c r="Y685" s="51"/>
      <c r="Z685" s="51"/>
      <c r="AA685" s="51"/>
      <c r="AB685" s="51"/>
    </row>
    <row r="686" customFormat="false" ht="15.75" hidden="false" customHeight="false" outlineLevel="0" collapsed="false">
      <c r="A686" s="51"/>
      <c r="B686" s="51"/>
      <c r="C686" s="6"/>
      <c r="D686" s="49"/>
      <c r="E686" s="51"/>
      <c r="F686" s="6"/>
      <c r="G686" s="6"/>
      <c r="H686" s="6"/>
      <c r="I686" s="6"/>
      <c r="J686" s="6"/>
      <c r="K686" s="51"/>
      <c r="L686" s="51"/>
      <c r="M686" s="51"/>
      <c r="N686" s="51"/>
      <c r="O686" s="51"/>
      <c r="P686" s="51"/>
      <c r="Q686" s="51"/>
      <c r="R686" s="51"/>
      <c r="S686" s="51"/>
      <c r="T686" s="51"/>
      <c r="U686" s="51"/>
      <c r="V686" s="51"/>
      <c r="W686" s="51"/>
      <c r="X686" s="51"/>
      <c r="Y686" s="51"/>
      <c r="Z686" s="51"/>
      <c r="AA686" s="51"/>
      <c r="AB686" s="51"/>
    </row>
    <row r="687" customFormat="false" ht="15.75" hidden="false" customHeight="false" outlineLevel="0" collapsed="false">
      <c r="A687" s="51"/>
      <c r="B687" s="51"/>
      <c r="C687" s="6"/>
      <c r="D687" s="49"/>
      <c r="E687" s="51"/>
      <c r="F687" s="6"/>
      <c r="G687" s="6"/>
      <c r="H687" s="6"/>
      <c r="I687" s="6"/>
      <c r="J687" s="6"/>
      <c r="K687" s="51"/>
      <c r="L687" s="51"/>
      <c r="M687" s="51"/>
      <c r="N687" s="51"/>
      <c r="O687" s="51"/>
      <c r="P687" s="51"/>
      <c r="Q687" s="51"/>
      <c r="R687" s="51"/>
      <c r="S687" s="51"/>
      <c r="T687" s="51"/>
      <c r="U687" s="51"/>
      <c r="V687" s="51"/>
      <c r="W687" s="51"/>
      <c r="X687" s="51"/>
      <c r="Y687" s="51"/>
      <c r="Z687" s="51"/>
      <c r="AA687" s="51"/>
      <c r="AB687" s="51"/>
    </row>
    <row r="688" customFormat="false" ht="15.75" hidden="false" customHeight="false" outlineLevel="0" collapsed="false">
      <c r="A688" s="51"/>
      <c r="B688" s="51"/>
      <c r="C688" s="6"/>
      <c r="D688" s="49"/>
      <c r="E688" s="51"/>
      <c r="F688" s="6"/>
      <c r="G688" s="6"/>
      <c r="H688" s="6"/>
      <c r="I688" s="6"/>
      <c r="J688" s="6"/>
      <c r="K688" s="51"/>
      <c r="L688" s="51"/>
      <c r="M688" s="51"/>
      <c r="N688" s="51"/>
      <c r="O688" s="51"/>
      <c r="P688" s="51"/>
      <c r="Q688" s="51"/>
      <c r="R688" s="51"/>
      <c r="S688" s="51"/>
      <c r="T688" s="51"/>
      <c r="U688" s="51"/>
      <c r="V688" s="51"/>
      <c r="W688" s="51"/>
      <c r="X688" s="51"/>
      <c r="Y688" s="51"/>
      <c r="Z688" s="51"/>
      <c r="AA688" s="51"/>
      <c r="AB688" s="51"/>
    </row>
    <row r="689" customFormat="false" ht="15.75" hidden="false" customHeight="false" outlineLevel="0" collapsed="false">
      <c r="A689" s="51"/>
      <c r="B689" s="51"/>
      <c r="C689" s="6"/>
      <c r="D689" s="49"/>
      <c r="E689" s="51"/>
      <c r="F689" s="6"/>
      <c r="G689" s="6"/>
      <c r="H689" s="6"/>
      <c r="I689" s="6"/>
      <c r="J689" s="6"/>
      <c r="K689" s="51"/>
      <c r="L689" s="51"/>
      <c r="M689" s="51"/>
      <c r="N689" s="51"/>
      <c r="O689" s="51"/>
      <c r="P689" s="51"/>
      <c r="Q689" s="51"/>
      <c r="R689" s="51"/>
      <c r="S689" s="51"/>
      <c r="T689" s="51"/>
      <c r="U689" s="51"/>
      <c r="V689" s="51"/>
      <c r="W689" s="51"/>
      <c r="X689" s="51"/>
      <c r="Y689" s="51"/>
      <c r="Z689" s="51"/>
      <c r="AA689" s="51"/>
      <c r="AB689" s="51"/>
    </row>
    <row r="690" customFormat="false" ht="15.75" hidden="false" customHeight="false" outlineLevel="0" collapsed="false">
      <c r="A690" s="51"/>
      <c r="B690" s="51"/>
      <c r="C690" s="6"/>
      <c r="D690" s="49"/>
      <c r="E690" s="51"/>
      <c r="F690" s="6"/>
      <c r="G690" s="6"/>
      <c r="H690" s="6"/>
      <c r="I690" s="6"/>
      <c r="J690" s="6"/>
      <c r="K690" s="51"/>
      <c r="L690" s="51"/>
      <c r="M690" s="51"/>
      <c r="N690" s="51"/>
      <c r="O690" s="51"/>
      <c r="P690" s="51"/>
      <c r="Q690" s="51"/>
      <c r="R690" s="51"/>
      <c r="S690" s="51"/>
      <c r="T690" s="51"/>
      <c r="U690" s="51"/>
      <c r="V690" s="51"/>
      <c r="W690" s="51"/>
      <c r="X690" s="51"/>
      <c r="Y690" s="51"/>
      <c r="Z690" s="51"/>
      <c r="AA690" s="51"/>
      <c r="AB690" s="51"/>
    </row>
    <row r="691" customFormat="false" ht="15.75" hidden="false" customHeight="false" outlineLevel="0" collapsed="false">
      <c r="A691" s="51"/>
      <c r="B691" s="51"/>
      <c r="C691" s="6"/>
      <c r="D691" s="49"/>
      <c r="E691" s="51"/>
      <c r="F691" s="6"/>
      <c r="G691" s="6"/>
      <c r="H691" s="6"/>
      <c r="I691" s="6"/>
      <c r="J691" s="6"/>
      <c r="K691" s="51"/>
      <c r="L691" s="51"/>
      <c r="M691" s="51"/>
      <c r="N691" s="51"/>
      <c r="O691" s="51"/>
      <c r="P691" s="51"/>
      <c r="Q691" s="51"/>
      <c r="R691" s="51"/>
      <c r="S691" s="51"/>
      <c r="T691" s="51"/>
      <c r="U691" s="51"/>
      <c r="V691" s="51"/>
      <c r="W691" s="51"/>
      <c r="X691" s="51"/>
      <c r="Y691" s="51"/>
      <c r="Z691" s="51"/>
      <c r="AA691" s="51"/>
      <c r="AB691" s="51"/>
    </row>
    <row r="692" customFormat="false" ht="15.75" hidden="false" customHeight="false" outlineLevel="0" collapsed="false">
      <c r="A692" s="51"/>
      <c r="B692" s="51"/>
      <c r="C692" s="6"/>
      <c r="D692" s="49"/>
      <c r="E692" s="51"/>
      <c r="F692" s="6"/>
      <c r="G692" s="6"/>
      <c r="H692" s="6"/>
      <c r="I692" s="6"/>
      <c r="J692" s="6"/>
      <c r="K692" s="51"/>
      <c r="L692" s="51"/>
      <c r="M692" s="51"/>
      <c r="N692" s="51"/>
      <c r="O692" s="51"/>
      <c r="P692" s="51"/>
      <c r="Q692" s="51"/>
      <c r="R692" s="51"/>
      <c r="S692" s="51"/>
      <c r="T692" s="51"/>
      <c r="U692" s="51"/>
      <c r="V692" s="51"/>
      <c r="W692" s="51"/>
      <c r="X692" s="51"/>
      <c r="Y692" s="51"/>
      <c r="Z692" s="51"/>
      <c r="AA692" s="51"/>
      <c r="AB692" s="51"/>
    </row>
    <row r="693" customFormat="false" ht="15.75" hidden="false" customHeight="false" outlineLevel="0" collapsed="false">
      <c r="A693" s="51"/>
      <c r="B693" s="51"/>
      <c r="C693" s="6"/>
      <c r="D693" s="49"/>
      <c r="E693" s="51"/>
      <c r="F693" s="6"/>
      <c r="G693" s="6"/>
      <c r="H693" s="6"/>
      <c r="I693" s="6"/>
      <c r="J693" s="6"/>
      <c r="K693" s="51"/>
      <c r="L693" s="51"/>
      <c r="M693" s="51"/>
      <c r="N693" s="51"/>
      <c r="O693" s="51"/>
      <c r="P693" s="51"/>
      <c r="Q693" s="51"/>
      <c r="R693" s="51"/>
      <c r="S693" s="51"/>
      <c r="T693" s="51"/>
      <c r="U693" s="51"/>
      <c r="V693" s="51"/>
      <c r="W693" s="51"/>
      <c r="X693" s="51"/>
      <c r="Y693" s="51"/>
      <c r="Z693" s="51"/>
      <c r="AA693" s="51"/>
      <c r="AB693" s="51"/>
    </row>
    <row r="694" customFormat="false" ht="15.75" hidden="false" customHeight="false" outlineLevel="0" collapsed="false">
      <c r="A694" s="51"/>
      <c r="B694" s="51"/>
      <c r="C694" s="6"/>
      <c r="D694" s="49"/>
      <c r="E694" s="51"/>
      <c r="F694" s="6"/>
      <c r="G694" s="6"/>
      <c r="H694" s="6"/>
      <c r="I694" s="6"/>
      <c r="J694" s="6"/>
      <c r="K694" s="51"/>
      <c r="L694" s="51"/>
      <c r="M694" s="51"/>
      <c r="N694" s="51"/>
      <c r="O694" s="51"/>
      <c r="P694" s="51"/>
      <c r="Q694" s="51"/>
      <c r="R694" s="51"/>
      <c r="S694" s="51"/>
      <c r="T694" s="51"/>
      <c r="U694" s="51"/>
      <c r="V694" s="51"/>
      <c r="W694" s="51"/>
      <c r="X694" s="51"/>
      <c r="Y694" s="51"/>
      <c r="Z694" s="51"/>
      <c r="AA694" s="51"/>
      <c r="AB694" s="51"/>
    </row>
    <row r="695" customFormat="false" ht="15.75" hidden="false" customHeight="false" outlineLevel="0" collapsed="false">
      <c r="A695" s="51"/>
      <c r="B695" s="51"/>
      <c r="C695" s="6"/>
      <c r="D695" s="49"/>
      <c r="E695" s="51"/>
      <c r="F695" s="6"/>
      <c r="G695" s="6"/>
      <c r="H695" s="6"/>
      <c r="I695" s="6"/>
      <c r="J695" s="6"/>
      <c r="K695" s="51"/>
      <c r="L695" s="51"/>
      <c r="M695" s="51"/>
      <c r="N695" s="51"/>
      <c r="O695" s="51"/>
      <c r="P695" s="51"/>
      <c r="Q695" s="51"/>
      <c r="R695" s="51"/>
      <c r="S695" s="51"/>
      <c r="T695" s="51"/>
      <c r="U695" s="51"/>
      <c r="V695" s="51"/>
      <c r="W695" s="51"/>
      <c r="X695" s="51"/>
      <c r="Y695" s="51"/>
      <c r="Z695" s="51"/>
      <c r="AA695" s="51"/>
      <c r="AB695" s="51"/>
    </row>
    <row r="696" customFormat="false" ht="15.75" hidden="false" customHeight="false" outlineLevel="0" collapsed="false">
      <c r="A696" s="51"/>
      <c r="B696" s="51"/>
      <c r="C696" s="6"/>
      <c r="D696" s="49"/>
      <c r="E696" s="51"/>
      <c r="F696" s="6"/>
      <c r="G696" s="6"/>
      <c r="H696" s="6"/>
      <c r="I696" s="6"/>
      <c r="J696" s="6"/>
      <c r="K696" s="51"/>
      <c r="L696" s="51"/>
      <c r="M696" s="51"/>
      <c r="N696" s="51"/>
      <c r="O696" s="51"/>
      <c r="P696" s="51"/>
      <c r="Q696" s="51"/>
      <c r="R696" s="51"/>
      <c r="S696" s="51"/>
      <c r="T696" s="51"/>
      <c r="U696" s="51"/>
      <c r="V696" s="51"/>
      <c r="W696" s="51"/>
      <c r="X696" s="51"/>
      <c r="Y696" s="51"/>
      <c r="Z696" s="51"/>
      <c r="AA696" s="51"/>
      <c r="AB696" s="51"/>
    </row>
    <row r="697" customFormat="false" ht="15.75" hidden="false" customHeight="false" outlineLevel="0" collapsed="false">
      <c r="A697" s="51"/>
      <c r="B697" s="51"/>
      <c r="C697" s="6"/>
      <c r="D697" s="49"/>
      <c r="E697" s="51"/>
      <c r="F697" s="6"/>
      <c r="G697" s="6"/>
      <c r="H697" s="6"/>
      <c r="I697" s="6"/>
      <c r="J697" s="6"/>
      <c r="K697" s="51"/>
      <c r="L697" s="51"/>
      <c r="M697" s="51"/>
      <c r="N697" s="51"/>
      <c r="O697" s="51"/>
      <c r="P697" s="51"/>
      <c r="Q697" s="51"/>
      <c r="R697" s="51"/>
      <c r="S697" s="51"/>
      <c r="T697" s="51"/>
      <c r="U697" s="51"/>
      <c r="V697" s="51"/>
      <c r="W697" s="51"/>
      <c r="X697" s="51"/>
      <c r="Y697" s="51"/>
      <c r="Z697" s="51"/>
      <c r="AA697" s="51"/>
      <c r="AB697" s="51"/>
    </row>
    <row r="698" customFormat="false" ht="15.75" hidden="false" customHeight="false" outlineLevel="0" collapsed="false">
      <c r="A698" s="51"/>
      <c r="B698" s="51"/>
      <c r="C698" s="6"/>
      <c r="D698" s="49"/>
      <c r="E698" s="51"/>
      <c r="F698" s="6"/>
      <c r="G698" s="6"/>
      <c r="H698" s="6"/>
      <c r="I698" s="6"/>
      <c r="J698" s="6"/>
      <c r="K698" s="51"/>
      <c r="L698" s="51"/>
      <c r="M698" s="51"/>
      <c r="N698" s="51"/>
      <c r="O698" s="51"/>
      <c r="P698" s="51"/>
      <c r="Q698" s="51"/>
      <c r="R698" s="51"/>
      <c r="S698" s="51"/>
      <c r="T698" s="51"/>
      <c r="U698" s="51"/>
      <c r="V698" s="51"/>
      <c r="W698" s="51"/>
      <c r="X698" s="51"/>
      <c r="Y698" s="51"/>
      <c r="Z698" s="51"/>
      <c r="AA698" s="51"/>
      <c r="AB698" s="51"/>
    </row>
    <row r="699" customFormat="false" ht="15.75" hidden="false" customHeight="false" outlineLevel="0" collapsed="false">
      <c r="A699" s="51"/>
      <c r="B699" s="51"/>
      <c r="C699" s="6"/>
      <c r="D699" s="49"/>
      <c r="E699" s="51"/>
      <c r="F699" s="6"/>
      <c r="G699" s="6"/>
      <c r="H699" s="6"/>
      <c r="I699" s="6"/>
      <c r="J699" s="6"/>
      <c r="K699" s="51"/>
      <c r="L699" s="51"/>
      <c r="M699" s="51"/>
      <c r="N699" s="51"/>
      <c r="O699" s="51"/>
      <c r="P699" s="51"/>
      <c r="Q699" s="51"/>
      <c r="R699" s="51"/>
      <c r="S699" s="51"/>
      <c r="T699" s="51"/>
      <c r="U699" s="51"/>
      <c r="V699" s="51"/>
      <c r="W699" s="51"/>
      <c r="X699" s="51"/>
      <c r="Y699" s="51"/>
      <c r="Z699" s="51"/>
      <c r="AA699" s="51"/>
      <c r="AB699" s="51"/>
    </row>
    <row r="700" customFormat="false" ht="15.75" hidden="false" customHeight="false" outlineLevel="0" collapsed="false">
      <c r="A700" s="51"/>
      <c r="B700" s="51"/>
      <c r="C700" s="6"/>
      <c r="D700" s="49"/>
      <c r="E700" s="51"/>
      <c r="F700" s="6"/>
      <c r="G700" s="6"/>
      <c r="H700" s="6"/>
      <c r="I700" s="6"/>
      <c r="J700" s="6"/>
      <c r="K700" s="51"/>
      <c r="L700" s="51"/>
      <c r="M700" s="51"/>
      <c r="N700" s="51"/>
      <c r="O700" s="51"/>
      <c r="P700" s="51"/>
      <c r="Q700" s="51"/>
      <c r="R700" s="51"/>
      <c r="S700" s="51"/>
      <c r="T700" s="51"/>
      <c r="U700" s="51"/>
      <c r="V700" s="51"/>
      <c r="W700" s="51"/>
      <c r="X700" s="51"/>
      <c r="Y700" s="51"/>
      <c r="Z700" s="51"/>
      <c r="AA700" s="51"/>
      <c r="AB700" s="51"/>
    </row>
    <row r="701" customFormat="false" ht="15.75" hidden="false" customHeight="false" outlineLevel="0" collapsed="false">
      <c r="A701" s="51"/>
      <c r="B701" s="51"/>
      <c r="C701" s="6"/>
      <c r="D701" s="49"/>
      <c r="E701" s="51"/>
      <c r="F701" s="6"/>
      <c r="G701" s="6"/>
      <c r="H701" s="6"/>
      <c r="I701" s="6"/>
      <c r="J701" s="6"/>
      <c r="K701" s="51"/>
      <c r="L701" s="51"/>
      <c r="M701" s="51"/>
      <c r="N701" s="51"/>
      <c r="O701" s="51"/>
      <c r="P701" s="51"/>
      <c r="Q701" s="51"/>
      <c r="R701" s="51"/>
      <c r="S701" s="51"/>
      <c r="T701" s="51"/>
      <c r="U701" s="51"/>
      <c r="V701" s="51"/>
      <c r="W701" s="51"/>
      <c r="X701" s="51"/>
      <c r="Y701" s="51"/>
      <c r="Z701" s="51"/>
      <c r="AA701" s="51"/>
      <c r="AB701" s="51"/>
    </row>
    <row r="702" customFormat="false" ht="15.75" hidden="false" customHeight="false" outlineLevel="0" collapsed="false">
      <c r="A702" s="51"/>
      <c r="B702" s="51"/>
      <c r="C702" s="6"/>
      <c r="D702" s="49"/>
      <c r="E702" s="51"/>
      <c r="F702" s="6"/>
      <c r="G702" s="6"/>
      <c r="H702" s="6"/>
      <c r="I702" s="6"/>
      <c r="J702" s="6"/>
      <c r="K702" s="51"/>
      <c r="L702" s="51"/>
      <c r="M702" s="51"/>
      <c r="N702" s="51"/>
      <c r="O702" s="51"/>
      <c r="P702" s="51"/>
      <c r="Q702" s="51"/>
      <c r="R702" s="51"/>
      <c r="S702" s="51"/>
      <c r="T702" s="51"/>
      <c r="U702" s="51"/>
      <c r="V702" s="51"/>
      <c r="W702" s="51"/>
      <c r="X702" s="51"/>
      <c r="Y702" s="51"/>
      <c r="Z702" s="51"/>
      <c r="AA702" s="51"/>
      <c r="AB702" s="51"/>
    </row>
    <row r="703" customFormat="false" ht="15.75" hidden="false" customHeight="false" outlineLevel="0" collapsed="false">
      <c r="A703" s="51"/>
      <c r="B703" s="51"/>
      <c r="C703" s="6"/>
      <c r="D703" s="49"/>
      <c r="E703" s="51"/>
      <c r="F703" s="6"/>
      <c r="G703" s="6"/>
      <c r="H703" s="6"/>
      <c r="I703" s="6"/>
      <c r="J703" s="6"/>
      <c r="K703" s="51"/>
      <c r="L703" s="51"/>
      <c r="M703" s="51"/>
      <c r="N703" s="51"/>
      <c r="O703" s="51"/>
      <c r="P703" s="51"/>
      <c r="Q703" s="51"/>
      <c r="R703" s="51"/>
      <c r="S703" s="51"/>
      <c r="T703" s="51"/>
      <c r="U703" s="51"/>
      <c r="V703" s="51"/>
      <c r="W703" s="51"/>
      <c r="X703" s="51"/>
      <c r="Y703" s="51"/>
      <c r="Z703" s="51"/>
      <c r="AA703" s="51"/>
      <c r="AB703" s="51"/>
    </row>
    <row r="704" customFormat="false" ht="15.75" hidden="false" customHeight="false" outlineLevel="0" collapsed="false">
      <c r="A704" s="51"/>
      <c r="B704" s="51"/>
      <c r="C704" s="6"/>
      <c r="D704" s="49"/>
      <c r="E704" s="51"/>
      <c r="F704" s="6"/>
      <c r="G704" s="6"/>
      <c r="H704" s="6"/>
      <c r="I704" s="6"/>
      <c r="J704" s="6"/>
      <c r="K704" s="51"/>
      <c r="L704" s="51"/>
      <c r="M704" s="51"/>
      <c r="N704" s="51"/>
      <c r="O704" s="51"/>
      <c r="P704" s="51"/>
      <c r="Q704" s="51"/>
      <c r="R704" s="51"/>
      <c r="S704" s="51"/>
      <c r="T704" s="51"/>
      <c r="U704" s="51"/>
      <c r="V704" s="51"/>
      <c r="W704" s="51"/>
      <c r="X704" s="51"/>
      <c r="Y704" s="51"/>
      <c r="Z704" s="51"/>
      <c r="AA704" s="51"/>
      <c r="AB704" s="51"/>
    </row>
    <row r="705" customFormat="false" ht="15.75" hidden="false" customHeight="false" outlineLevel="0" collapsed="false">
      <c r="A705" s="51"/>
      <c r="B705" s="51"/>
      <c r="C705" s="6"/>
      <c r="D705" s="49"/>
      <c r="E705" s="51"/>
      <c r="F705" s="6"/>
      <c r="G705" s="6"/>
      <c r="H705" s="6"/>
      <c r="I705" s="6"/>
      <c r="J705" s="6"/>
      <c r="K705" s="51"/>
      <c r="L705" s="51"/>
      <c r="M705" s="51"/>
      <c r="N705" s="51"/>
      <c r="O705" s="51"/>
      <c r="P705" s="51"/>
      <c r="Q705" s="51"/>
      <c r="R705" s="51"/>
      <c r="S705" s="51"/>
      <c r="T705" s="51"/>
      <c r="U705" s="51"/>
      <c r="V705" s="51"/>
      <c r="W705" s="51"/>
      <c r="X705" s="51"/>
      <c r="Y705" s="51"/>
      <c r="Z705" s="51"/>
      <c r="AA705" s="51"/>
      <c r="AB705" s="51"/>
    </row>
    <row r="706" customFormat="false" ht="15.75" hidden="false" customHeight="false" outlineLevel="0" collapsed="false">
      <c r="A706" s="51"/>
      <c r="B706" s="51"/>
      <c r="C706" s="6"/>
      <c r="D706" s="49"/>
      <c r="E706" s="51"/>
      <c r="F706" s="6"/>
      <c r="G706" s="6"/>
      <c r="H706" s="6"/>
      <c r="I706" s="6"/>
      <c r="J706" s="6"/>
      <c r="K706" s="51"/>
      <c r="L706" s="51"/>
      <c r="M706" s="51"/>
      <c r="N706" s="51"/>
      <c r="O706" s="51"/>
      <c r="P706" s="51"/>
      <c r="Q706" s="51"/>
      <c r="R706" s="51"/>
      <c r="S706" s="51"/>
      <c r="T706" s="51"/>
      <c r="U706" s="51"/>
      <c r="V706" s="51"/>
      <c r="W706" s="51"/>
      <c r="X706" s="51"/>
      <c r="Y706" s="51"/>
      <c r="Z706" s="51"/>
      <c r="AA706" s="51"/>
      <c r="AB706" s="51"/>
    </row>
    <row r="707" customFormat="false" ht="15.75" hidden="false" customHeight="false" outlineLevel="0" collapsed="false">
      <c r="A707" s="51"/>
      <c r="B707" s="51"/>
      <c r="C707" s="6"/>
      <c r="D707" s="49"/>
      <c r="E707" s="51"/>
      <c r="F707" s="6"/>
      <c r="G707" s="6"/>
      <c r="H707" s="6"/>
      <c r="I707" s="6"/>
      <c r="J707" s="6"/>
      <c r="K707" s="51"/>
      <c r="L707" s="51"/>
      <c r="M707" s="51"/>
      <c r="N707" s="51"/>
      <c r="O707" s="51"/>
      <c r="P707" s="51"/>
      <c r="Q707" s="51"/>
      <c r="R707" s="51"/>
      <c r="S707" s="51"/>
      <c r="T707" s="51"/>
      <c r="U707" s="51"/>
      <c r="V707" s="51"/>
      <c r="W707" s="51"/>
      <c r="X707" s="51"/>
      <c r="Y707" s="51"/>
      <c r="Z707" s="51"/>
      <c r="AA707" s="51"/>
      <c r="AB707" s="51"/>
    </row>
    <row r="708" customFormat="false" ht="15.75" hidden="false" customHeight="false" outlineLevel="0" collapsed="false">
      <c r="A708" s="51"/>
      <c r="B708" s="51"/>
      <c r="C708" s="6"/>
      <c r="D708" s="49"/>
      <c r="E708" s="51"/>
      <c r="F708" s="6"/>
      <c r="G708" s="6"/>
      <c r="H708" s="6"/>
      <c r="I708" s="6"/>
      <c r="J708" s="6"/>
      <c r="K708" s="51"/>
      <c r="L708" s="51"/>
      <c r="M708" s="51"/>
      <c r="N708" s="51"/>
      <c r="O708" s="51"/>
      <c r="P708" s="51"/>
      <c r="Q708" s="51"/>
      <c r="R708" s="51"/>
      <c r="S708" s="51"/>
      <c r="T708" s="51"/>
      <c r="U708" s="51"/>
      <c r="V708" s="51"/>
      <c r="W708" s="51"/>
      <c r="X708" s="51"/>
      <c r="Y708" s="51"/>
      <c r="Z708" s="51"/>
      <c r="AA708" s="51"/>
      <c r="AB708" s="51"/>
    </row>
    <row r="709" customFormat="false" ht="15.75" hidden="false" customHeight="false" outlineLevel="0" collapsed="false">
      <c r="A709" s="51"/>
      <c r="B709" s="51"/>
      <c r="C709" s="6"/>
      <c r="D709" s="49"/>
      <c r="E709" s="51"/>
      <c r="F709" s="6"/>
      <c r="G709" s="6"/>
      <c r="H709" s="6"/>
      <c r="I709" s="6"/>
      <c r="J709" s="6"/>
      <c r="K709" s="51"/>
      <c r="L709" s="51"/>
      <c r="M709" s="51"/>
      <c r="N709" s="51"/>
      <c r="O709" s="51"/>
      <c r="P709" s="51"/>
      <c r="Q709" s="51"/>
      <c r="R709" s="51"/>
      <c r="S709" s="51"/>
      <c r="T709" s="51"/>
      <c r="U709" s="51"/>
      <c r="V709" s="51"/>
      <c r="W709" s="51"/>
      <c r="X709" s="51"/>
      <c r="Y709" s="51"/>
      <c r="Z709" s="51"/>
      <c r="AA709" s="51"/>
      <c r="AB709" s="51"/>
    </row>
    <row r="710" customFormat="false" ht="15.75" hidden="false" customHeight="false" outlineLevel="0" collapsed="false">
      <c r="A710" s="51"/>
      <c r="B710" s="51"/>
      <c r="C710" s="6"/>
      <c r="D710" s="49"/>
      <c r="E710" s="51"/>
      <c r="F710" s="6"/>
      <c r="G710" s="6"/>
      <c r="H710" s="6"/>
      <c r="I710" s="6"/>
      <c r="J710" s="6"/>
      <c r="K710" s="51"/>
      <c r="L710" s="51"/>
      <c r="M710" s="51"/>
      <c r="N710" s="51"/>
      <c r="O710" s="51"/>
      <c r="P710" s="51"/>
      <c r="Q710" s="51"/>
      <c r="R710" s="51"/>
      <c r="S710" s="51"/>
      <c r="T710" s="51"/>
      <c r="U710" s="51"/>
      <c r="V710" s="51"/>
      <c r="W710" s="51"/>
      <c r="X710" s="51"/>
      <c r="Y710" s="51"/>
      <c r="Z710" s="51"/>
      <c r="AA710" s="51"/>
      <c r="AB710" s="51"/>
    </row>
    <row r="711" customFormat="false" ht="15.75" hidden="false" customHeight="false" outlineLevel="0" collapsed="false">
      <c r="A711" s="51"/>
      <c r="B711" s="51"/>
      <c r="C711" s="6"/>
      <c r="D711" s="49"/>
      <c r="E711" s="51"/>
      <c r="F711" s="6"/>
      <c r="G711" s="6"/>
      <c r="H711" s="6"/>
      <c r="I711" s="6"/>
      <c r="J711" s="6"/>
      <c r="K711" s="51"/>
      <c r="L711" s="51"/>
      <c r="M711" s="51"/>
      <c r="N711" s="51"/>
      <c r="O711" s="51"/>
      <c r="P711" s="51"/>
      <c r="Q711" s="51"/>
      <c r="R711" s="51"/>
      <c r="S711" s="51"/>
      <c r="T711" s="51"/>
      <c r="U711" s="51"/>
      <c r="V711" s="51"/>
      <c r="W711" s="51"/>
      <c r="X711" s="51"/>
      <c r="Y711" s="51"/>
      <c r="Z711" s="51"/>
      <c r="AA711" s="51"/>
      <c r="AB711" s="51"/>
    </row>
    <row r="712" customFormat="false" ht="15.75" hidden="false" customHeight="false" outlineLevel="0" collapsed="false">
      <c r="A712" s="51"/>
      <c r="B712" s="51"/>
      <c r="C712" s="6"/>
      <c r="D712" s="49"/>
      <c r="E712" s="51"/>
      <c r="F712" s="6"/>
      <c r="G712" s="6"/>
      <c r="H712" s="6"/>
      <c r="I712" s="6"/>
      <c r="J712" s="6"/>
      <c r="K712" s="51"/>
      <c r="L712" s="51"/>
      <c r="M712" s="51"/>
      <c r="N712" s="51"/>
      <c r="O712" s="51"/>
      <c r="P712" s="51"/>
      <c r="Q712" s="51"/>
      <c r="R712" s="51"/>
      <c r="S712" s="51"/>
      <c r="T712" s="51"/>
      <c r="U712" s="51"/>
      <c r="V712" s="51"/>
      <c r="W712" s="51"/>
      <c r="X712" s="51"/>
      <c r="Y712" s="51"/>
      <c r="Z712" s="51"/>
      <c r="AA712" s="51"/>
      <c r="AB712" s="51"/>
    </row>
    <row r="713" customFormat="false" ht="15.75" hidden="false" customHeight="false" outlineLevel="0" collapsed="false">
      <c r="A713" s="51"/>
      <c r="B713" s="51"/>
      <c r="C713" s="6"/>
      <c r="D713" s="49"/>
      <c r="E713" s="51"/>
      <c r="F713" s="6"/>
      <c r="G713" s="6"/>
      <c r="H713" s="6"/>
      <c r="I713" s="6"/>
      <c r="J713" s="6"/>
      <c r="K713" s="51"/>
      <c r="L713" s="51"/>
      <c r="M713" s="51"/>
      <c r="N713" s="51"/>
      <c r="O713" s="51"/>
      <c r="P713" s="51"/>
      <c r="Q713" s="51"/>
      <c r="R713" s="51"/>
      <c r="S713" s="51"/>
      <c r="T713" s="51"/>
      <c r="U713" s="51"/>
      <c r="V713" s="51"/>
      <c r="W713" s="51"/>
      <c r="X713" s="51"/>
      <c r="Y713" s="51"/>
      <c r="Z713" s="51"/>
      <c r="AA713" s="51"/>
      <c r="AB713" s="51"/>
    </row>
    <row r="714" customFormat="false" ht="15.75" hidden="false" customHeight="false" outlineLevel="0" collapsed="false">
      <c r="A714" s="51"/>
      <c r="B714" s="51"/>
      <c r="C714" s="6"/>
      <c r="D714" s="49"/>
      <c r="E714" s="51"/>
      <c r="F714" s="6"/>
      <c r="G714" s="6"/>
      <c r="H714" s="6"/>
      <c r="I714" s="6"/>
      <c r="J714" s="6"/>
      <c r="K714" s="51"/>
      <c r="L714" s="51"/>
      <c r="M714" s="51"/>
      <c r="N714" s="51"/>
      <c r="O714" s="51"/>
      <c r="P714" s="51"/>
      <c r="Q714" s="51"/>
      <c r="R714" s="51"/>
      <c r="S714" s="51"/>
      <c r="T714" s="51"/>
      <c r="U714" s="51"/>
      <c r="V714" s="51"/>
      <c r="W714" s="51"/>
      <c r="X714" s="51"/>
      <c r="Y714" s="51"/>
      <c r="Z714" s="51"/>
      <c r="AA714" s="51"/>
      <c r="AB714" s="51"/>
    </row>
    <row r="715" customFormat="false" ht="15.75" hidden="false" customHeight="false" outlineLevel="0" collapsed="false">
      <c r="A715" s="51"/>
      <c r="B715" s="51"/>
      <c r="C715" s="6"/>
      <c r="D715" s="49"/>
      <c r="E715" s="51"/>
      <c r="F715" s="6"/>
      <c r="G715" s="6"/>
      <c r="H715" s="6"/>
      <c r="I715" s="6"/>
      <c r="J715" s="6"/>
      <c r="K715" s="51"/>
      <c r="L715" s="51"/>
      <c r="M715" s="51"/>
      <c r="N715" s="51"/>
      <c r="O715" s="51"/>
      <c r="P715" s="51"/>
      <c r="Q715" s="51"/>
      <c r="R715" s="51"/>
      <c r="S715" s="51"/>
      <c r="T715" s="51"/>
      <c r="U715" s="51"/>
      <c r="V715" s="51"/>
      <c r="W715" s="51"/>
      <c r="X715" s="51"/>
      <c r="Y715" s="51"/>
      <c r="Z715" s="51"/>
      <c r="AA715" s="51"/>
      <c r="AB715" s="51"/>
    </row>
    <row r="716" customFormat="false" ht="15.75" hidden="false" customHeight="false" outlineLevel="0" collapsed="false">
      <c r="A716" s="51"/>
      <c r="B716" s="51"/>
      <c r="C716" s="6"/>
      <c r="D716" s="49"/>
      <c r="E716" s="51"/>
      <c r="F716" s="6"/>
      <c r="G716" s="6"/>
      <c r="H716" s="6"/>
      <c r="I716" s="6"/>
      <c r="J716" s="6"/>
      <c r="K716" s="51"/>
      <c r="L716" s="51"/>
      <c r="M716" s="51"/>
      <c r="N716" s="51"/>
      <c r="O716" s="51"/>
      <c r="P716" s="51"/>
      <c r="Q716" s="51"/>
      <c r="R716" s="51"/>
      <c r="S716" s="51"/>
      <c r="T716" s="51"/>
      <c r="U716" s="51"/>
      <c r="V716" s="51"/>
      <c r="W716" s="51"/>
      <c r="X716" s="51"/>
      <c r="Y716" s="51"/>
      <c r="Z716" s="51"/>
      <c r="AA716" s="51"/>
      <c r="AB716" s="51"/>
    </row>
    <row r="717" customFormat="false" ht="15.75" hidden="false" customHeight="false" outlineLevel="0" collapsed="false">
      <c r="A717" s="51"/>
      <c r="B717" s="51"/>
      <c r="C717" s="6"/>
      <c r="D717" s="49"/>
      <c r="E717" s="51"/>
      <c r="F717" s="6"/>
      <c r="G717" s="6"/>
      <c r="H717" s="6"/>
      <c r="I717" s="6"/>
      <c r="J717" s="6"/>
      <c r="K717" s="51"/>
      <c r="L717" s="51"/>
      <c r="M717" s="51"/>
      <c r="N717" s="51"/>
      <c r="O717" s="51"/>
      <c r="P717" s="51"/>
      <c r="Q717" s="51"/>
      <c r="R717" s="51"/>
      <c r="S717" s="51"/>
      <c r="T717" s="51"/>
      <c r="U717" s="51"/>
      <c r="V717" s="51"/>
      <c r="W717" s="51"/>
      <c r="X717" s="51"/>
      <c r="Y717" s="51"/>
      <c r="Z717" s="51"/>
      <c r="AA717" s="51"/>
      <c r="AB717" s="51"/>
    </row>
    <row r="718" customFormat="false" ht="15.75" hidden="false" customHeight="false" outlineLevel="0" collapsed="false">
      <c r="A718" s="51"/>
      <c r="B718" s="51"/>
      <c r="C718" s="6"/>
      <c r="D718" s="49"/>
      <c r="E718" s="51"/>
      <c r="F718" s="6"/>
      <c r="G718" s="6"/>
      <c r="H718" s="6"/>
      <c r="I718" s="6"/>
      <c r="J718" s="6"/>
      <c r="K718" s="51"/>
      <c r="L718" s="51"/>
      <c r="M718" s="51"/>
      <c r="N718" s="51"/>
      <c r="O718" s="51"/>
      <c r="P718" s="51"/>
      <c r="Q718" s="51"/>
      <c r="R718" s="51"/>
      <c r="S718" s="51"/>
      <c r="T718" s="51"/>
      <c r="U718" s="51"/>
      <c r="V718" s="51"/>
      <c r="W718" s="51"/>
      <c r="X718" s="51"/>
      <c r="Y718" s="51"/>
      <c r="Z718" s="51"/>
      <c r="AA718" s="51"/>
      <c r="AB718" s="51"/>
    </row>
    <row r="719" customFormat="false" ht="15.75" hidden="false" customHeight="false" outlineLevel="0" collapsed="false">
      <c r="A719" s="51"/>
      <c r="B719" s="51"/>
      <c r="C719" s="6"/>
      <c r="D719" s="49"/>
      <c r="E719" s="51"/>
      <c r="F719" s="6"/>
      <c r="G719" s="6"/>
      <c r="H719" s="6"/>
      <c r="I719" s="6"/>
      <c r="J719" s="6"/>
      <c r="K719" s="51"/>
      <c r="L719" s="51"/>
      <c r="M719" s="51"/>
      <c r="N719" s="51"/>
      <c r="O719" s="51"/>
      <c r="P719" s="51"/>
      <c r="Q719" s="51"/>
      <c r="R719" s="51"/>
      <c r="S719" s="51"/>
      <c r="T719" s="51"/>
      <c r="U719" s="51"/>
      <c r="V719" s="51"/>
      <c r="W719" s="51"/>
      <c r="X719" s="51"/>
      <c r="Y719" s="51"/>
      <c r="Z719" s="51"/>
      <c r="AA719" s="51"/>
      <c r="AB719" s="51"/>
    </row>
    <row r="720" customFormat="false" ht="15.75" hidden="false" customHeight="false" outlineLevel="0" collapsed="false">
      <c r="A720" s="51"/>
      <c r="B720" s="51"/>
      <c r="C720" s="6"/>
      <c r="D720" s="49"/>
      <c r="E720" s="51"/>
      <c r="F720" s="6"/>
      <c r="G720" s="6"/>
      <c r="H720" s="6"/>
      <c r="I720" s="6"/>
      <c r="J720" s="6"/>
      <c r="K720" s="51"/>
      <c r="L720" s="51"/>
      <c r="M720" s="51"/>
      <c r="N720" s="51"/>
      <c r="O720" s="51"/>
      <c r="P720" s="51"/>
      <c r="Q720" s="51"/>
      <c r="R720" s="51"/>
      <c r="S720" s="51"/>
      <c r="T720" s="51"/>
      <c r="U720" s="51"/>
      <c r="V720" s="51"/>
      <c r="W720" s="51"/>
      <c r="X720" s="51"/>
      <c r="Y720" s="51"/>
      <c r="Z720" s="51"/>
      <c r="AA720" s="51"/>
      <c r="AB720" s="51"/>
    </row>
    <row r="721" customFormat="false" ht="15.75" hidden="false" customHeight="false" outlineLevel="0" collapsed="false">
      <c r="A721" s="51"/>
      <c r="B721" s="51"/>
      <c r="C721" s="6"/>
      <c r="D721" s="49"/>
      <c r="E721" s="51"/>
      <c r="F721" s="6"/>
      <c r="G721" s="6"/>
      <c r="H721" s="6"/>
      <c r="I721" s="6"/>
      <c r="J721" s="6"/>
      <c r="K721" s="51"/>
      <c r="L721" s="51"/>
      <c r="M721" s="51"/>
      <c r="N721" s="51"/>
      <c r="O721" s="51"/>
      <c r="P721" s="51"/>
      <c r="Q721" s="51"/>
      <c r="R721" s="51"/>
      <c r="S721" s="51"/>
      <c r="T721" s="51"/>
      <c r="U721" s="51"/>
      <c r="V721" s="51"/>
      <c r="W721" s="51"/>
      <c r="X721" s="51"/>
      <c r="Y721" s="51"/>
      <c r="Z721" s="51"/>
      <c r="AA721" s="51"/>
      <c r="AB721" s="51"/>
    </row>
    <row r="722" customFormat="false" ht="15.75" hidden="false" customHeight="false" outlineLevel="0" collapsed="false">
      <c r="A722" s="51"/>
      <c r="B722" s="51"/>
      <c r="C722" s="6"/>
      <c r="D722" s="49"/>
      <c r="E722" s="51"/>
      <c r="F722" s="6"/>
      <c r="G722" s="6"/>
      <c r="H722" s="6"/>
      <c r="I722" s="6"/>
      <c r="J722" s="6"/>
      <c r="K722" s="51"/>
      <c r="L722" s="51"/>
      <c r="M722" s="51"/>
      <c r="N722" s="51"/>
      <c r="O722" s="51"/>
      <c r="P722" s="51"/>
      <c r="Q722" s="51"/>
      <c r="R722" s="51"/>
      <c r="S722" s="51"/>
      <c r="T722" s="51"/>
      <c r="U722" s="51"/>
      <c r="V722" s="51"/>
      <c r="W722" s="51"/>
      <c r="X722" s="51"/>
      <c r="Y722" s="51"/>
      <c r="Z722" s="51"/>
      <c r="AA722" s="51"/>
      <c r="AB722" s="51"/>
    </row>
    <row r="723" customFormat="false" ht="15.75" hidden="false" customHeight="false" outlineLevel="0" collapsed="false">
      <c r="A723" s="51"/>
      <c r="B723" s="51"/>
      <c r="C723" s="6"/>
      <c r="D723" s="49"/>
      <c r="E723" s="51"/>
      <c r="F723" s="6"/>
      <c r="G723" s="6"/>
      <c r="H723" s="6"/>
      <c r="I723" s="6"/>
      <c r="J723" s="6"/>
      <c r="K723" s="51"/>
      <c r="L723" s="51"/>
      <c r="M723" s="51"/>
      <c r="N723" s="51"/>
      <c r="O723" s="51"/>
      <c r="P723" s="51"/>
      <c r="Q723" s="51"/>
      <c r="R723" s="51"/>
      <c r="S723" s="51"/>
      <c r="T723" s="51"/>
      <c r="U723" s="51"/>
      <c r="V723" s="51"/>
      <c r="W723" s="51"/>
      <c r="X723" s="51"/>
      <c r="Y723" s="51"/>
      <c r="Z723" s="51"/>
      <c r="AA723" s="51"/>
      <c r="AB723" s="51"/>
    </row>
    <row r="724" customFormat="false" ht="15.75" hidden="false" customHeight="false" outlineLevel="0" collapsed="false">
      <c r="A724" s="51"/>
      <c r="B724" s="51"/>
      <c r="C724" s="6"/>
      <c r="D724" s="49"/>
      <c r="E724" s="51"/>
      <c r="F724" s="6"/>
      <c r="G724" s="6"/>
      <c r="H724" s="6"/>
      <c r="I724" s="6"/>
      <c r="J724" s="6"/>
      <c r="K724" s="51"/>
      <c r="L724" s="51"/>
      <c r="M724" s="51"/>
      <c r="N724" s="51"/>
      <c r="O724" s="51"/>
      <c r="P724" s="51"/>
      <c r="Q724" s="51"/>
      <c r="R724" s="51"/>
      <c r="S724" s="51"/>
      <c r="T724" s="51"/>
      <c r="U724" s="51"/>
      <c r="V724" s="51"/>
      <c r="W724" s="51"/>
      <c r="X724" s="51"/>
      <c r="Y724" s="51"/>
      <c r="Z724" s="51"/>
      <c r="AA724" s="51"/>
      <c r="AB724" s="51"/>
    </row>
    <row r="725" customFormat="false" ht="15.75" hidden="false" customHeight="false" outlineLevel="0" collapsed="false">
      <c r="A725" s="51"/>
      <c r="B725" s="51"/>
      <c r="C725" s="6"/>
      <c r="D725" s="49"/>
      <c r="E725" s="51"/>
      <c r="F725" s="6"/>
      <c r="G725" s="6"/>
      <c r="H725" s="6"/>
      <c r="I725" s="6"/>
      <c r="J725" s="6"/>
      <c r="K725" s="51"/>
      <c r="L725" s="51"/>
      <c r="M725" s="51"/>
      <c r="N725" s="51"/>
      <c r="O725" s="51"/>
      <c r="P725" s="51"/>
      <c r="Q725" s="51"/>
      <c r="R725" s="51"/>
      <c r="S725" s="51"/>
      <c r="T725" s="51"/>
      <c r="U725" s="51"/>
      <c r="V725" s="51"/>
      <c r="W725" s="51"/>
      <c r="X725" s="51"/>
      <c r="Y725" s="51"/>
      <c r="Z725" s="51"/>
      <c r="AA725" s="51"/>
      <c r="AB725" s="51"/>
    </row>
    <row r="726" customFormat="false" ht="15.75" hidden="false" customHeight="false" outlineLevel="0" collapsed="false">
      <c r="A726" s="51"/>
      <c r="B726" s="51"/>
      <c r="C726" s="6"/>
      <c r="D726" s="49"/>
      <c r="E726" s="51"/>
      <c r="F726" s="6"/>
      <c r="G726" s="6"/>
      <c r="H726" s="6"/>
      <c r="I726" s="6"/>
      <c r="J726" s="6"/>
      <c r="K726" s="51"/>
      <c r="L726" s="51"/>
      <c r="M726" s="51"/>
      <c r="N726" s="51"/>
      <c r="O726" s="51"/>
      <c r="P726" s="51"/>
      <c r="Q726" s="51"/>
      <c r="R726" s="51"/>
      <c r="S726" s="51"/>
      <c r="T726" s="51"/>
      <c r="U726" s="51"/>
      <c r="V726" s="51"/>
      <c r="W726" s="51"/>
      <c r="X726" s="51"/>
      <c r="Y726" s="51"/>
      <c r="Z726" s="51"/>
      <c r="AA726" s="51"/>
      <c r="AB726" s="51"/>
    </row>
    <row r="727" customFormat="false" ht="15.75" hidden="false" customHeight="false" outlineLevel="0" collapsed="false">
      <c r="A727" s="51"/>
      <c r="B727" s="51"/>
      <c r="C727" s="6"/>
      <c r="D727" s="49"/>
      <c r="E727" s="51"/>
      <c r="F727" s="6"/>
      <c r="G727" s="6"/>
      <c r="H727" s="6"/>
      <c r="I727" s="6"/>
      <c r="J727" s="6"/>
      <c r="K727" s="51"/>
      <c r="L727" s="51"/>
      <c r="M727" s="51"/>
      <c r="N727" s="51"/>
      <c r="O727" s="51"/>
      <c r="P727" s="51"/>
      <c r="Q727" s="51"/>
      <c r="R727" s="51"/>
      <c r="S727" s="51"/>
      <c r="T727" s="51"/>
      <c r="U727" s="51"/>
      <c r="V727" s="51"/>
      <c r="W727" s="51"/>
      <c r="X727" s="51"/>
      <c r="Y727" s="51"/>
      <c r="Z727" s="51"/>
      <c r="AA727" s="51"/>
      <c r="AB727" s="51"/>
    </row>
    <row r="728" customFormat="false" ht="15.75" hidden="false" customHeight="false" outlineLevel="0" collapsed="false">
      <c r="A728" s="51"/>
      <c r="B728" s="51"/>
      <c r="C728" s="6"/>
      <c r="D728" s="49"/>
      <c r="E728" s="51"/>
      <c r="F728" s="6"/>
      <c r="G728" s="6"/>
      <c r="H728" s="6"/>
      <c r="I728" s="6"/>
      <c r="J728" s="6"/>
      <c r="K728" s="51"/>
      <c r="L728" s="51"/>
      <c r="M728" s="51"/>
      <c r="N728" s="51"/>
      <c r="O728" s="51"/>
      <c r="P728" s="51"/>
      <c r="Q728" s="51"/>
      <c r="R728" s="51"/>
      <c r="S728" s="51"/>
      <c r="T728" s="51"/>
      <c r="U728" s="51"/>
      <c r="V728" s="51"/>
      <c r="W728" s="51"/>
      <c r="X728" s="51"/>
      <c r="Y728" s="51"/>
      <c r="Z728" s="51"/>
      <c r="AA728" s="51"/>
      <c r="AB728" s="51"/>
    </row>
    <row r="729" customFormat="false" ht="15.75" hidden="false" customHeight="false" outlineLevel="0" collapsed="false">
      <c r="A729" s="51"/>
      <c r="B729" s="51"/>
      <c r="C729" s="6"/>
      <c r="D729" s="49"/>
      <c r="E729" s="51"/>
      <c r="F729" s="6"/>
      <c r="G729" s="6"/>
      <c r="H729" s="6"/>
      <c r="I729" s="6"/>
      <c r="J729" s="6"/>
      <c r="K729" s="51"/>
      <c r="L729" s="51"/>
      <c r="M729" s="51"/>
      <c r="N729" s="51"/>
      <c r="O729" s="51"/>
      <c r="P729" s="51"/>
      <c r="Q729" s="51"/>
      <c r="R729" s="51"/>
      <c r="S729" s="51"/>
      <c r="T729" s="51"/>
      <c r="U729" s="51"/>
      <c r="V729" s="51"/>
      <c r="W729" s="51"/>
      <c r="X729" s="51"/>
      <c r="Y729" s="51"/>
      <c r="Z729" s="51"/>
      <c r="AA729" s="51"/>
      <c r="AB729" s="51"/>
    </row>
    <row r="730" customFormat="false" ht="15.75" hidden="false" customHeight="false" outlineLevel="0" collapsed="false">
      <c r="A730" s="51"/>
      <c r="B730" s="51"/>
      <c r="C730" s="6"/>
      <c r="D730" s="49"/>
      <c r="E730" s="51"/>
      <c r="F730" s="6"/>
      <c r="G730" s="6"/>
      <c r="H730" s="6"/>
      <c r="I730" s="6"/>
      <c r="J730" s="6"/>
      <c r="K730" s="51"/>
      <c r="L730" s="51"/>
      <c r="M730" s="51"/>
      <c r="N730" s="51"/>
      <c r="O730" s="51"/>
      <c r="P730" s="51"/>
      <c r="Q730" s="51"/>
      <c r="R730" s="51"/>
      <c r="S730" s="51"/>
      <c r="T730" s="51"/>
      <c r="U730" s="51"/>
      <c r="V730" s="51"/>
      <c r="W730" s="51"/>
      <c r="X730" s="51"/>
      <c r="Y730" s="51"/>
      <c r="Z730" s="51"/>
      <c r="AA730" s="51"/>
      <c r="AB730" s="51"/>
    </row>
    <row r="731" customFormat="false" ht="15.75" hidden="false" customHeight="false" outlineLevel="0" collapsed="false">
      <c r="A731" s="51"/>
      <c r="B731" s="51"/>
      <c r="C731" s="6"/>
      <c r="D731" s="49"/>
      <c r="E731" s="51"/>
      <c r="F731" s="6"/>
      <c r="G731" s="6"/>
      <c r="H731" s="6"/>
      <c r="I731" s="6"/>
      <c r="J731" s="6"/>
      <c r="K731" s="51"/>
      <c r="L731" s="51"/>
      <c r="M731" s="51"/>
      <c r="N731" s="51"/>
      <c r="O731" s="51"/>
      <c r="P731" s="51"/>
      <c r="Q731" s="51"/>
      <c r="R731" s="51"/>
      <c r="S731" s="51"/>
      <c r="T731" s="51"/>
      <c r="U731" s="51"/>
      <c r="V731" s="51"/>
      <c r="W731" s="51"/>
      <c r="X731" s="51"/>
      <c r="Y731" s="51"/>
      <c r="Z731" s="51"/>
      <c r="AA731" s="51"/>
      <c r="AB731" s="51"/>
    </row>
    <row r="732" customFormat="false" ht="15.75" hidden="false" customHeight="false" outlineLevel="0" collapsed="false">
      <c r="A732" s="51"/>
      <c r="B732" s="51"/>
      <c r="C732" s="6"/>
      <c r="D732" s="49"/>
      <c r="E732" s="51"/>
      <c r="F732" s="6"/>
      <c r="G732" s="6"/>
      <c r="H732" s="6"/>
      <c r="I732" s="6"/>
      <c r="J732" s="6"/>
      <c r="K732" s="51"/>
      <c r="L732" s="51"/>
      <c r="M732" s="51"/>
      <c r="N732" s="51"/>
      <c r="O732" s="51"/>
      <c r="P732" s="51"/>
      <c r="Q732" s="51"/>
      <c r="R732" s="51"/>
      <c r="S732" s="51"/>
      <c r="T732" s="51"/>
      <c r="U732" s="51"/>
      <c r="V732" s="51"/>
      <c r="W732" s="51"/>
      <c r="X732" s="51"/>
      <c r="Y732" s="51"/>
      <c r="Z732" s="51"/>
      <c r="AA732" s="51"/>
      <c r="AB732" s="51"/>
    </row>
    <row r="733" customFormat="false" ht="15.75" hidden="false" customHeight="false" outlineLevel="0" collapsed="false">
      <c r="A733" s="51"/>
      <c r="B733" s="51"/>
      <c r="C733" s="6"/>
      <c r="D733" s="49"/>
      <c r="E733" s="51"/>
      <c r="F733" s="6"/>
      <c r="G733" s="6"/>
      <c r="H733" s="6"/>
      <c r="I733" s="6"/>
      <c r="J733" s="6"/>
      <c r="K733" s="51"/>
      <c r="L733" s="51"/>
      <c r="M733" s="51"/>
      <c r="N733" s="51"/>
      <c r="O733" s="51"/>
      <c r="P733" s="51"/>
      <c r="Q733" s="51"/>
      <c r="R733" s="51"/>
      <c r="S733" s="51"/>
      <c r="T733" s="51"/>
      <c r="U733" s="51"/>
      <c r="V733" s="51"/>
      <c r="W733" s="51"/>
      <c r="X733" s="51"/>
      <c r="Y733" s="51"/>
      <c r="Z733" s="51"/>
      <c r="AA733" s="51"/>
      <c r="AB733" s="51"/>
    </row>
    <row r="734" customFormat="false" ht="15.75" hidden="false" customHeight="false" outlineLevel="0" collapsed="false">
      <c r="A734" s="51"/>
      <c r="B734" s="51"/>
      <c r="C734" s="6"/>
      <c r="D734" s="49"/>
      <c r="E734" s="51"/>
      <c r="F734" s="6"/>
      <c r="G734" s="6"/>
      <c r="H734" s="6"/>
      <c r="I734" s="6"/>
      <c r="J734" s="6"/>
      <c r="K734" s="51"/>
      <c r="L734" s="51"/>
      <c r="M734" s="51"/>
      <c r="N734" s="51"/>
      <c r="O734" s="51"/>
      <c r="P734" s="51"/>
      <c r="Q734" s="51"/>
      <c r="R734" s="51"/>
      <c r="S734" s="51"/>
      <c r="T734" s="51"/>
      <c r="U734" s="51"/>
      <c r="V734" s="51"/>
      <c r="W734" s="51"/>
      <c r="X734" s="51"/>
      <c r="Y734" s="51"/>
      <c r="Z734" s="51"/>
      <c r="AA734" s="51"/>
      <c r="AB734" s="51"/>
    </row>
    <row r="735" customFormat="false" ht="15.75" hidden="false" customHeight="false" outlineLevel="0" collapsed="false">
      <c r="A735" s="51"/>
      <c r="B735" s="51"/>
      <c r="C735" s="6"/>
      <c r="D735" s="49"/>
      <c r="E735" s="51"/>
      <c r="F735" s="6"/>
      <c r="G735" s="6"/>
      <c r="H735" s="6"/>
      <c r="I735" s="6"/>
      <c r="J735" s="6"/>
      <c r="K735" s="51"/>
      <c r="L735" s="51"/>
      <c r="M735" s="51"/>
      <c r="N735" s="51"/>
      <c r="O735" s="51"/>
      <c r="P735" s="51"/>
      <c r="Q735" s="51"/>
      <c r="R735" s="51"/>
      <c r="S735" s="51"/>
      <c r="T735" s="51"/>
      <c r="U735" s="51"/>
      <c r="V735" s="51"/>
      <c r="W735" s="51"/>
      <c r="X735" s="51"/>
      <c r="Y735" s="51"/>
      <c r="Z735" s="51"/>
      <c r="AA735" s="51"/>
      <c r="AB735" s="51"/>
    </row>
    <row r="736" customFormat="false" ht="15.75" hidden="false" customHeight="false" outlineLevel="0" collapsed="false">
      <c r="A736" s="51"/>
      <c r="B736" s="51"/>
      <c r="C736" s="6"/>
      <c r="D736" s="49"/>
      <c r="E736" s="51"/>
      <c r="F736" s="6"/>
      <c r="G736" s="6"/>
      <c r="H736" s="6"/>
      <c r="I736" s="6"/>
      <c r="J736" s="6"/>
      <c r="K736" s="51"/>
      <c r="L736" s="51"/>
      <c r="M736" s="51"/>
      <c r="N736" s="51"/>
      <c r="O736" s="51"/>
      <c r="P736" s="51"/>
      <c r="Q736" s="51"/>
      <c r="R736" s="51"/>
      <c r="S736" s="51"/>
      <c r="T736" s="51"/>
      <c r="U736" s="51"/>
      <c r="V736" s="51"/>
      <c r="W736" s="51"/>
      <c r="X736" s="51"/>
      <c r="Y736" s="51"/>
      <c r="Z736" s="51"/>
      <c r="AA736" s="51"/>
      <c r="AB736" s="51"/>
    </row>
    <row r="737" customFormat="false" ht="15.75" hidden="false" customHeight="false" outlineLevel="0" collapsed="false">
      <c r="A737" s="51"/>
      <c r="B737" s="51"/>
      <c r="C737" s="6"/>
      <c r="D737" s="49"/>
      <c r="E737" s="51"/>
      <c r="F737" s="6"/>
      <c r="G737" s="6"/>
      <c r="H737" s="6"/>
      <c r="I737" s="6"/>
      <c r="J737" s="6"/>
      <c r="K737" s="51"/>
      <c r="L737" s="51"/>
      <c r="M737" s="51"/>
      <c r="N737" s="51"/>
      <c r="O737" s="51"/>
      <c r="P737" s="51"/>
      <c r="Q737" s="51"/>
      <c r="R737" s="51"/>
      <c r="S737" s="51"/>
      <c r="T737" s="51"/>
      <c r="U737" s="51"/>
      <c r="V737" s="51"/>
      <c r="W737" s="51"/>
      <c r="X737" s="51"/>
      <c r="Y737" s="51"/>
      <c r="Z737" s="51"/>
      <c r="AA737" s="51"/>
      <c r="AB737" s="51"/>
    </row>
    <row r="738" customFormat="false" ht="15.75" hidden="false" customHeight="false" outlineLevel="0" collapsed="false">
      <c r="A738" s="51"/>
      <c r="B738" s="51"/>
      <c r="C738" s="6"/>
      <c r="D738" s="49"/>
      <c r="E738" s="51"/>
      <c r="F738" s="6"/>
      <c r="G738" s="6"/>
      <c r="H738" s="6"/>
      <c r="I738" s="6"/>
      <c r="J738" s="6"/>
      <c r="K738" s="51"/>
      <c r="L738" s="51"/>
      <c r="M738" s="51"/>
      <c r="N738" s="51"/>
      <c r="O738" s="51"/>
      <c r="P738" s="51"/>
      <c r="Q738" s="51"/>
      <c r="R738" s="51"/>
      <c r="S738" s="51"/>
      <c r="T738" s="51"/>
      <c r="U738" s="51"/>
      <c r="V738" s="51"/>
      <c r="W738" s="51"/>
      <c r="X738" s="51"/>
      <c r="Y738" s="51"/>
      <c r="Z738" s="51"/>
      <c r="AA738" s="51"/>
      <c r="AB738" s="51"/>
    </row>
    <row r="739" customFormat="false" ht="15.75" hidden="false" customHeight="false" outlineLevel="0" collapsed="false">
      <c r="A739" s="51"/>
      <c r="B739" s="51"/>
      <c r="C739" s="6"/>
      <c r="D739" s="49"/>
      <c r="E739" s="51"/>
      <c r="F739" s="6"/>
      <c r="G739" s="6"/>
      <c r="H739" s="6"/>
      <c r="I739" s="6"/>
      <c r="J739" s="6"/>
      <c r="K739" s="51"/>
      <c r="L739" s="51"/>
      <c r="M739" s="51"/>
      <c r="N739" s="51"/>
      <c r="O739" s="51"/>
      <c r="P739" s="51"/>
      <c r="Q739" s="51"/>
      <c r="R739" s="51"/>
      <c r="S739" s="51"/>
      <c r="T739" s="51"/>
      <c r="U739" s="51"/>
      <c r="V739" s="51"/>
      <c r="W739" s="51"/>
      <c r="X739" s="51"/>
      <c r="Y739" s="51"/>
      <c r="Z739" s="51"/>
      <c r="AA739" s="51"/>
      <c r="AB739" s="51"/>
    </row>
    <row r="740" customFormat="false" ht="15.75" hidden="false" customHeight="false" outlineLevel="0" collapsed="false">
      <c r="A740" s="51"/>
      <c r="B740" s="51"/>
      <c r="C740" s="6"/>
      <c r="D740" s="49"/>
      <c r="E740" s="51"/>
      <c r="F740" s="6"/>
      <c r="G740" s="6"/>
      <c r="H740" s="6"/>
      <c r="I740" s="6"/>
      <c r="J740" s="6"/>
      <c r="K740" s="51"/>
      <c r="L740" s="51"/>
      <c r="M740" s="51"/>
      <c r="N740" s="51"/>
      <c r="O740" s="51"/>
      <c r="P740" s="51"/>
      <c r="Q740" s="51"/>
      <c r="R740" s="51"/>
      <c r="S740" s="51"/>
      <c r="T740" s="51"/>
      <c r="U740" s="51"/>
      <c r="V740" s="51"/>
      <c r="W740" s="51"/>
      <c r="X740" s="51"/>
      <c r="Y740" s="51"/>
      <c r="Z740" s="51"/>
      <c r="AA740" s="51"/>
      <c r="AB740" s="51"/>
    </row>
    <row r="741" customFormat="false" ht="15.75" hidden="false" customHeight="false" outlineLevel="0" collapsed="false">
      <c r="A741" s="51"/>
      <c r="B741" s="51"/>
      <c r="C741" s="6"/>
      <c r="D741" s="49"/>
      <c r="E741" s="51"/>
      <c r="F741" s="6"/>
      <c r="G741" s="6"/>
      <c r="H741" s="6"/>
      <c r="I741" s="6"/>
      <c r="J741" s="6"/>
      <c r="K741" s="51"/>
      <c r="L741" s="51"/>
      <c r="M741" s="51"/>
      <c r="N741" s="51"/>
      <c r="O741" s="51"/>
      <c r="P741" s="51"/>
      <c r="Q741" s="51"/>
      <c r="R741" s="51"/>
      <c r="S741" s="51"/>
      <c r="T741" s="51"/>
      <c r="U741" s="51"/>
      <c r="V741" s="51"/>
      <c r="W741" s="51"/>
      <c r="X741" s="51"/>
      <c r="Y741" s="51"/>
      <c r="Z741" s="51"/>
      <c r="AA741" s="51"/>
      <c r="AB741" s="51"/>
    </row>
    <row r="742" customFormat="false" ht="15.75" hidden="false" customHeight="false" outlineLevel="0" collapsed="false">
      <c r="A742" s="51"/>
      <c r="B742" s="51"/>
      <c r="C742" s="6"/>
      <c r="D742" s="49"/>
      <c r="E742" s="51"/>
      <c r="F742" s="6"/>
      <c r="G742" s="6"/>
      <c r="H742" s="6"/>
      <c r="I742" s="6"/>
      <c r="J742" s="6"/>
      <c r="K742" s="51"/>
      <c r="L742" s="51"/>
      <c r="M742" s="51"/>
      <c r="N742" s="51"/>
      <c r="O742" s="51"/>
      <c r="P742" s="51"/>
      <c r="Q742" s="51"/>
      <c r="R742" s="51"/>
      <c r="S742" s="51"/>
      <c r="T742" s="51"/>
      <c r="U742" s="51"/>
      <c r="V742" s="51"/>
      <c r="W742" s="51"/>
      <c r="X742" s="51"/>
      <c r="Y742" s="51"/>
      <c r="Z742" s="51"/>
      <c r="AA742" s="51"/>
      <c r="AB742" s="51"/>
    </row>
    <row r="743" customFormat="false" ht="15.75" hidden="false" customHeight="false" outlineLevel="0" collapsed="false">
      <c r="A743" s="51"/>
      <c r="B743" s="51"/>
      <c r="C743" s="6"/>
      <c r="D743" s="49"/>
      <c r="E743" s="51"/>
      <c r="F743" s="6"/>
      <c r="G743" s="6"/>
      <c r="H743" s="6"/>
      <c r="I743" s="6"/>
      <c r="J743" s="6"/>
      <c r="K743" s="51"/>
      <c r="L743" s="51"/>
      <c r="M743" s="51"/>
      <c r="N743" s="51"/>
      <c r="O743" s="51"/>
      <c r="P743" s="51"/>
      <c r="Q743" s="51"/>
      <c r="R743" s="51"/>
      <c r="S743" s="51"/>
      <c r="T743" s="51"/>
      <c r="U743" s="51"/>
      <c r="V743" s="51"/>
      <c r="W743" s="51"/>
      <c r="X743" s="51"/>
      <c r="Y743" s="51"/>
      <c r="Z743" s="51"/>
      <c r="AA743" s="51"/>
      <c r="AB743" s="51"/>
    </row>
    <row r="744" customFormat="false" ht="15.75" hidden="false" customHeight="false" outlineLevel="0" collapsed="false">
      <c r="A744" s="51"/>
      <c r="B744" s="51"/>
      <c r="C744" s="6"/>
      <c r="D744" s="49"/>
      <c r="E744" s="51"/>
      <c r="F744" s="6"/>
      <c r="G744" s="6"/>
      <c r="H744" s="6"/>
      <c r="I744" s="6"/>
      <c r="J744" s="6"/>
      <c r="K744" s="51"/>
      <c r="L744" s="51"/>
      <c r="M744" s="51"/>
      <c r="N744" s="51"/>
      <c r="O744" s="51"/>
      <c r="P744" s="51"/>
      <c r="Q744" s="51"/>
      <c r="R744" s="51"/>
      <c r="S744" s="51"/>
      <c r="T744" s="51"/>
      <c r="U744" s="51"/>
      <c r="V744" s="51"/>
      <c r="W744" s="51"/>
      <c r="X744" s="51"/>
      <c r="Y744" s="51"/>
      <c r="Z744" s="51"/>
      <c r="AA744" s="51"/>
      <c r="AB744" s="51"/>
    </row>
    <row r="745" customFormat="false" ht="15.75" hidden="false" customHeight="false" outlineLevel="0" collapsed="false">
      <c r="A745" s="51"/>
      <c r="B745" s="51"/>
      <c r="C745" s="6"/>
      <c r="D745" s="49"/>
      <c r="E745" s="51"/>
      <c r="F745" s="6"/>
      <c r="G745" s="6"/>
      <c r="H745" s="6"/>
      <c r="I745" s="6"/>
      <c r="J745" s="6"/>
      <c r="K745" s="51"/>
      <c r="L745" s="51"/>
      <c r="M745" s="51"/>
      <c r="N745" s="51"/>
      <c r="O745" s="51"/>
      <c r="P745" s="51"/>
      <c r="Q745" s="51"/>
      <c r="R745" s="51"/>
      <c r="S745" s="51"/>
      <c r="T745" s="51"/>
      <c r="U745" s="51"/>
      <c r="V745" s="51"/>
      <c r="W745" s="51"/>
      <c r="X745" s="51"/>
      <c r="Y745" s="51"/>
      <c r="Z745" s="51"/>
      <c r="AA745" s="51"/>
      <c r="AB745" s="51"/>
    </row>
    <row r="746" customFormat="false" ht="15.75" hidden="false" customHeight="false" outlineLevel="0" collapsed="false">
      <c r="A746" s="51"/>
      <c r="B746" s="51"/>
      <c r="C746" s="6"/>
      <c r="D746" s="49"/>
      <c r="E746" s="51"/>
      <c r="F746" s="6"/>
      <c r="G746" s="6"/>
      <c r="H746" s="6"/>
      <c r="I746" s="6"/>
      <c r="J746" s="6"/>
      <c r="K746" s="51"/>
      <c r="L746" s="51"/>
      <c r="M746" s="51"/>
      <c r="N746" s="51"/>
      <c r="O746" s="51"/>
      <c r="P746" s="51"/>
      <c r="Q746" s="51"/>
      <c r="R746" s="51"/>
      <c r="S746" s="51"/>
      <c r="T746" s="51"/>
      <c r="U746" s="51"/>
      <c r="V746" s="51"/>
      <c r="W746" s="51"/>
      <c r="X746" s="51"/>
      <c r="Y746" s="51"/>
      <c r="Z746" s="51"/>
      <c r="AA746" s="51"/>
      <c r="AB746" s="51"/>
    </row>
    <row r="747" customFormat="false" ht="15.75" hidden="false" customHeight="false" outlineLevel="0" collapsed="false">
      <c r="A747" s="51"/>
      <c r="B747" s="51"/>
      <c r="C747" s="6"/>
      <c r="D747" s="49"/>
      <c r="E747" s="51"/>
      <c r="F747" s="6"/>
      <c r="G747" s="6"/>
      <c r="H747" s="6"/>
      <c r="I747" s="6"/>
      <c r="J747" s="6"/>
      <c r="K747" s="51"/>
      <c r="L747" s="51"/>
      <c r="M747" s="51"/>
      <c r="N747" s="51"/>
      <c r="O747" s="51"/>
      <c r="P747" s="51"/>
      <c r="Q747" s="51"/>
      <c r="R747" s="51"/>
      <c r="S747" s="51"/>
      <c r="T747" s="51"/>
      <c r="U747" s="51"/>
      <c r="V747" s="51"/>
      <c r="W747" s="51"/>
      <c r="X747" s="51"/>
      <c r="Y747" s="51"/>
      <c r="Z747" s="51"/>
      <c r="AA747" s="51"/>
      <c r="AB747" s="51"/>
    </row>
    <row r="748" customFormat="false" ht="15.75" hidden="false" customHeight="false" outlineLevel="0" collapsed="false">
      <c r="A748" s="51"/>
      <c r="B748" s="51"/>
      <c r="C748" s="6"/>
      <c r="D748" s="49"/>
      <c r="E748" s="51"/>
      <c r="F748" s="6"/>
      <c r="G748" s="6"/>
      <c r="H748" s="6"/>
      <c r="I748" s="6"/>
      <c r="J748" s="6"/>
      <c r="K748" s="51"/>
      <c r="L748" s="51"/>
      <c r="M748" s="51"/>
      <c r="N748" s="51"/>
      <c r="O748" s="51"/>
      <c r="P748" s="51"/>
      <c r="Q748" s="51"/>
      <c r="R748" s="51"/>
      <c r="S748" s="51"/>
      <c r="T748" s="51"/>
      <c r="U748" s="51"/>
      <c r="V748" s="51"/>
      <c r="W748" s="51"/>
      <c r="X748" s="51"/>
      <c r="Y748" s="51"/>
      <c r="Z748" s="51"/>
      <c r="AA748" s="51"/>
      <c r="AB748" s="51"/>
    </row>
    <row r="749" customFormat="false" ht="15.75" hidden="false" customHeight="false" outlineLevel="0" collapsed="false">
      <c r="A749" s="51"/>
      <c r="B749" s="51"/>
      <c r="C749" s="6"/>
      <c r="D749" s="49"/>
      <c r="E749" s="51"/>
      <c r="F749" s="6"/>
      <c r="G749" s="6"/>
      <c r="H749" s="6"/>
      <c r="I749" s="6"/>
      <c r="J749" s="6"/>
      <c r="K749" s="51"/>
      <c r="L749" s="51"/>
      <c r="M749" s="51"/>
      <c r="N749" s="51"/>
      <c r="O749" s="51"/>
      <c r="P749" s="51"/>
      <c r="Q749" s="51"/>
      <c r="R749" s="51"/>
      <c r="S749" s="51"/>
      <c r="T749" s="51"/>
      <c r="U749" s="51"/>
      <c r="V749" s="51"/>
      <c r="W749" s="51"/>
      <c r="X749" s="51"/>
      <c r="Y749" s="51"/>
      <c r="Z749" s="51"/>
      <c r="AA749" s="51"/>
      <c r="AB749" s="51"/>
    </row>
    <row r="750" customFormat="false" ht="15.75" hidden="false" customHeight="false" outlineLevel="0" collapsed="false">
      <c r="A750" s="51"/>
      <c r="B750" s="51"/>
      <c r="C750" s="6"/>
      <c r="D750" s="49"/>
      <c r="E750" s="51"/>
      <c r="F750" s="6"/>
      <c r="G750" s="6"/>
      <c r="H750" s="6"/>
      <c r="I750" s="6"/>
      <c r="J750" s="6"/>
      <c r="K750" s="51"/>
      <c r="L750" s="51"/>
      <c r="M750" s="51"/>
      <c r="N750" s="51"/>
      <c r="O750" s="51"/>
      <c r="P750" s="51"/>
      <c r="Q750" s="51"/>
      <c r="R750" s="51"/>
      <c r="S750" s="51"/>
      <c r="T750" s="51"/>
      <c r="U750" s="51"/>
      <c r="V750" s="51"/>
      <c r="W750" s="51"/>
      <c r="X750" s="51"/>
      <c r="Y750" s="51"/>
      <c r="Z750" s="51"/>
      <c r="AA750" s="51"/>
      <c r="AB750" s="51"/>
    </row>
    <row r="751" customFormat="false" ht="15.75" hidden="false" customHeight="false" outlineLevel="0" collapsed="false">
      <c r="A751" s="51"/>
      <c r="B751" s="51"/>
      <c r="C751" s="6"/>
      <c r="D751" s="49"/>
      <c r="E751" s="51"/>
      <c r="F751" s="6"/>
      <c r="G751" s="6"/>
      <c r="H751" s="6"/>
      <c r="I751" s="6"/>
      <c r="J751" s="6"/>
      <c r="K751" s="51"/>
      <c r="L751" s="51"/>
      <c r="M751" s="51"/>
      <c r="N751" s="51"/>
      <c r="O751" s="51"/>
      <c r="P751" s="51"/>
      <c r="Q751" s="51"/>
      <c r="R751" s="51"/>
      <c r="S751" s="51"/>
      <c r="T751" s="51"/>
      <c r="U751" s="51"/>
      <c r="V751" s="51"/>
      <c r="W751" s="51"/>
      <c r="X751" s="51"/>
      <c r="Y751" s="51"/>
      <c r="Z751" s="51"/>
      <c r="AA751" s="51"/>
      <c r="AB751" s="51"/>
    </row>
    <row r="752" customFormat="false" ht="15.75" hidden="false" customHeight="false" outlineLevel="0" collapsed="false">
      <c r="A752" s="51"/>
      <c r="B752" s="51"/>
      <c r="C752" s="6"/>
      <c r="D752" s="49"/>
      <c r="E752" s="51"/>
      <c r="F752" s="6"/>
      <c r="G752" s="6"/>
      <c r="H752" s="6"/>
      <c r="I752" s="6"/>
      <c r="J752" s="6"/>
      <c r="K752" s="51"/>
      <c r="L752" s="51"/>
      <c r="M752" s="51"/>
      <c r="N752" s="51"/>
      <c r="O752" s="51"/>
      <c r="P752" s="51"/>
      <c r="Q752" s="51"/>
      <c r="R752" s="51"/>
      <c r="S752" s="51"/>
      <c r="T752" s="51"/>
      <c r="U752" s="51"/>
      <c r="V752" s="51"/>
      <c r="W752" s="51"/>
      <c r="X752" s="51"/>
      <c r="Y752" s="51"/>
      <c r="Z752" s="51"/>
      <c r="AA752" s="51"/>
      <c r="AB752" s="51"/>
    </row>
    <row r="753" customFormat="false" ht="15.75" hidden="false" customHeight="false" outlineLevel="0" collapsed="false">
      <c r="A753" s="51"/>
      <c r="B753" s="51"/>
      <c r="C753" s="6"/>
      <c r="D753" s="49"/>
      <c r="E753" s="51"/>
      <c r="F753" s="6"/>
      <c r="G753" s="6"/>
      <c r="H753" s="6"/>
      <c r="I753" s="6"/>
      <c r="J753" s="6"/>
      <c r="K753" s="51"/>
      <c r="L753" s="51"/>
      <c r="M753" s="51"/>
      <c r="N753" s="51"/>
      <c r="O753" s="51"/>
      <c r="P753" s="51"/>
      <c r="Q753" s="51"/>
      <c r="R753" s="51"/>
      <c r="S753" s="51"/>
      <c r="T753" s="51"/>
      <c r="U753" s="51"/>
      <c r="V753" s="51"/>
      <c r="W753" s="51"/>
      <c r="X753" s="51"/>
      <c r="Y753" s="51"/>
      <c r="Z753" s="51"/>
      <c r="AA753" s="51"/>
      <c r="AB753" s="51"/>
    </row>
    <row r="754" customFormat="false" ht="15.75" hidden="false" customHeight="false" outlineLevel="0" collapsed="false">
      <c r="A754" s="51"/>
      <c r="B754" s="51"/>
      <c r="C754" s="6"/>
      <c r="D754" s="49"/>
      <c r="E754" s="51"/>
      <c r="F754" s="6"/>
      <c r="G754" s="6"/>
      <c r="H754" s="6"/>
      <c r="I754" s="6"/>
      <c r="J754" s="6"/>
      <c r="K754" s="51"/>
      <c r="L754" s="51"/>
      <c r="M754" s="51"/>
      <c r="N754" s="51"/>
      <c r="O754" s="51"/>
      <c r="P754" s="51"/>
      <c r="Q754" s="51"/>
      <c r="R754" s="51"/>
      <c r="S754" s="51"/>
      <c r="T754" s="51"/>
      <c r="U754" s="51"/>
      <c r="V754" s="51"/>
      <c r="W754" s="51"/>
      <c r="X754" s="51"/>
      <c r="Y754" s="51"/>
      <c r="Z754" s="51"/>
      <c r="AA754" s="51"/>
      <c r="AB754" s="51"/>
    </row>
    <row r="755" customFormat="false" ht="15.75" hidden="false" customHeight="false" outlineLevel="0" collapsed="false">
      <c r="A755" s="51"/>
      <c r="B755" s="51"/>
      <c r="C755" s="6"/>
      <c r="D755" s="49"/>
      <c r="E755" s="51"/>
      <c r="F755" s="6"/>
      <c r="G755" s="6"/>
      <c r="H755" s="6"/>
      <c r="I755" s="6"/>
      <c r="J755" s="6"/>
      <c r="K755" s="51"/>
      <c r="L755" s="51"/>
      <c r="M755" s="51"/>
      <c r="N755" s="51"/>
      <c r="O755" s="51"/>
      <c r="P755" s="51"/>
      <c r="Q755" s="51"/>
      <c r="R755" s="51"/>
      <c r="S755" s="51"/>
      <c r="T755" s="51"/>
      <c r="U755" s="51"/>
      <c r="V755" s="51"/>
      <c r="W755" s="51"/>
      <c r="X755" s="51"/>
      <c r="Y755" s="51"/>
      <c r="Z755" s="51"/>
      <c r="AA755" s="51"/>
      <c r="AB755" s="51"/>
    </row>
    <row r="756" customFormat="false" ht="15.75" hidden="false" customHeight="false" outlineLevel="0" collapsed="false">
      <c r="A756" s="51"/>
      <c r="B756" s="51"/>
      <c r="C756" s="6"/>
      <c r="D756" s="49"/>
      <c r="E756" s="51"/>
      <c r="F756" s="6"/>
      <c r="G756" s="6"/>
      <c r="H756" s="6"/>
      <c r="I756" s="6"/>
      <c r="J756" s="6"/>
      <c r="K756" s="51"/>
      <c r="L756" s="51"/>
      <c r="M756" s="51"/>
      <c r="N756" s="51"/>
      <c r="O756" s="51"/>
      <c r="P756" s="51"/>
      <c r="Q756" s="51"/>
      <c r="R756" s="51"/>
      <c r="S756" s="51"/>
      <c r="T756" s="51"/>
      <c r="U756" s="51"/>
      <c r="V756" s="51"/>
      <c r="W756" s="51"/>
      <c r="X756" s="51"/>
      <c r="Y756" s="51"/>
      <c r="Z756" s="51"/>
      <c r="AA756" s="51"/>
      <c r="AB756" s="51"/>
    </row>
    <row r="757" customFormat="false" ht="15.75" hidden="false" customHeight="false" outlineLevel="0" collapsed="false">
      <c r="A757" s="51"/>
      <c r="B757" s="51"/>
      <c r="C757" s="6"/>
      <c r="D757" s="49"/>
      <c r="E757" s="51"/>
      <c r="F757" s="6"/>
      <c r="G757" s="6"/>
      <c r="H757" s="6"/>
      <c r="I757" s="6"/>
      <c r="J757" s="6"/>
      <c r="K757" s="51"/>
      <c r="L757" s="51"/>
      <c r="M757" s="51"/>
      <c r="N757" s="51"/>
      <c r="O757" s="51"/>
      <c r="P757" s="51"/>
      <c r="Q757" s="51"/>
      <c r="R757" s="51"/>
      <c r="S757" s="51"/>
      <c r="T757" s="51"/>
      <c r="U757" s="51"/>
      <c r="V757" s="51"/>
      <c r="W757" s="51"/>
      <c r="X757" s="51"/>
      <c r="Y757" s="51"/>
      <c r="Z757" s="51"/>
      <c r="AA757" s="51"/>
      <c r="AB757" s="51"/>
    </row>
    <row r="758" customFormat="false" ht="15.75" hidden="false" customHeight="false" outlineLevel="0" collapsed="false">
      <c r="A758" s="51"/>
      <c r="B758" s="51"/>
      <c r="C758" s="6"/>
      <c r="D758" s="49"/>
      <c r="E758" s="51"/>
      <c r="F758" s="6"/>
      <c r="G758" s="6"/>
      <c r="H758" s="6"/>
      <c r="I758" s="6"/>
      <c r="J758" s="6"/>
      <c r="K758" s="51"/>
      <c r="L758" s="51"/>
      <c r="M758" s="51"/>
      <c r="N758" s="51"/>
      <c r="O758" s="51"/>
      <c r="P758" s="51"/>
      <c r="Q758" s="51"/>
      <c r="R758" s="51"/>
      <c r="S758" s="51"/>
      <c r="T758" s="51"/>
      <c r="U758" s="51"/>
      <c r="V758" s="51"/>
      <c r="W758" s="51"/>
      <c r="X758" s="51"/>
      <c r="Y758" s="51"/>
      <c r="Z758" s="51"/>
      <c r="AA758" s="51"/>
      <c r="AB758" s="51"/>
    </row>
    <row r="759" customFormat="false" ht="15.75" hidden="false" customHeight="false" outlineLevel="0" collapsed="false">
      <c r="A759" s="51"/>
      <c r="B759" s="51"/>
      <c r="C759" s="6"/>
      <c r="D759" s="49"/>
      <c r="E759" s="51"/>
      <c r="F759" s="6"/>
      <c r="G759" s="6"/>
      <c r="H759" s="6"/>
      <c r="I759" s="6"/>
      <c r="J759" s="6"/>
      <c r="K759" s="51"/>
      <c r="L759" s="51"/>
      <c r="M759" s="51"/>
      <c r="N759" s="51"/>
      <c r="O759" s="51"/>
      <c r="P759" s="51"/>
      <c r="Q759" s="51"/>
      <c r="R759" s="51"/>
      <c r="S759" s="51"/>
      <c r="T759" s="51"/>
      <c r="U759" s="51"/>
      <c r="V759" s="51"/>
      <c r="W759" s="51"/>
      <c r="X759" s="51"/>
      <c r="Y759" s="51"/>
      <c r="Z759" s="51"/>
      <c r="AA759" s="51"/>
      <c r="AB759" s="51"/>
    </row>
    <row r="760" customFormat="false" ht="15.75" hidden="false" customHeight="false" outlineLevel="0" collapsed="false">
      <c r="A760" s="51"/>
      <c r="B760" s="51"/>
      <c r="C760" s="6"/>
      <c r="D760" s="49"/>
      <c r="E760" s="51"/>
      <c r="F760" s="6"/>
      <c r="G760" s="6"/>
      <c r="H760" s="6"/>
      <c r="I760" s="6"/>
      <c r="J760" s="6"/>
      <c r="K760" s="51"/>
      <c r="L760" s="51"/>
      <c r="M760" s="51"/>
      <c r="N760" s="51"/>
      <c r="O760" s="51"/>
      <c r="P760" s="51"/>
      <c r="Q760" s="51"/>
      <c r="R760" s="51"/>
      <c r="S760" s="51"/>
      <c r="T760" s="51"/>
      <c r="U760" s="51"/>
      <c r="V760" s="51"/>
      <c r="W760" s="51"/>
      <c r="X760" s="51"/>
      <c r="Y760" s="51"/>
      <c r="Z760" s="51"/>
      <c r="AA760" s="51"/>
      <c r="AB760" s="51"/>
    </row>
    <row r="761" customFormat="false" ht="15.75" hidden="false" customHeight="false" outlineLevel="0" collapsed="false">
      <c r="A761" s="51"/>
      <c r="B761" s="51"/>
      <c r="C761" s="6"/>
      <c r="D761" s="49"/>
      <c r="E761" s="51"/>
      <c r="F761" s="6"/>
      <c r="G761" s="6"/>
      <c r="H761" s="6"/>
      <c r="I761" s="6"/>
      <c r="J761" s="6"/>
      <c r="K761" s="51"/>
      <c r="L761" s="51"/>
      <c r="M761" s="51"/>
      <c r="N761" s="51"/>
      <c r="O761" s="51"/>
      <c r="P761" s="51"/>
      <c r="Q761" s="51"/>
      <c r="R761" s="51"/>
      <c r="S761" s="51"/>
      <c r="T761" s="51"/>
      <c r="U761" s="51"/>
      <c r="V761" s="51"/>
      <c r="W761" s="51"/>
      <c r="X761" s="51"/>
      <c r="Y761" s="51"/>
      <c r="Z761" s="51"/>
      <c r="AA761" s="51"/>
      <c r="AB761" s="51"/>
    </row>
    <row r="762" customFormat="false" ht="15.75" hidden="false" customHeight="false" outlineLevel="0" collapsed="false">
      <c r="A762" s="51"/>
      <c r="B762" s="51"/>
      <c r="C762" s="6"/>
      <c r="D762" s="49"/>
      <c r="E762" s="51"/>
      <c r="F762" s="6"/>
      <c r="G762" s="6"/>
      <c r="H762" s="6"/>
      <c r="I762" s="6"/>
      <c r="J762" s="6"/>
      <c r="K762" s="51"/>
      <c r="L762" s="51"/>
      <c r="M762" s="51"/>
      <c r="N762" s="51"/>
      <c r="O762" s="51"/>
      <c r="P762" s="51"/>
      <c r="Q762" s="51"/>
      <c r="R762" s="51"/>
      <c r="S762" s="51"/>
      <c r="T762" s="51"/>
      <c r="U762" s="51"/>
      <c r="V762" s="51"/>
      <c r="W762" s="51"/>
      <c r="X762" s="51"/>
      <c r="Y762" s="51"/>
      <c r="Z762" s="51"/>
      <c r="AA762" s="51"/>
      <c r="AB762" s="51"/>
    </row>
    <row r="763" customFormat="false" ht="15.75" hidden="false" customHeight="false" outlineLevel="0" collapsed="false">
      <c r="A763" s="51"/>
      <c r="B763" s="51"/>
      <c r="C763" s="6"/>
      <c r="D763" s="49"/>
      <c r="E763" s="51"/>
      <c r="F763" s="6"/>
      <c r="G763" s="6"/>
      <c r="H763" s="6"/>
      <c r="I763" s="6"/>
      <c r="J763" s="6"/>
      <c r="K763" s="51"/>
      <c r="L763" s="51"/>
      <c r="M763" s="51"/>
      <c r="N763" s="51"/>
      <c r="O763" s="51"/>
      <c r="P763" s="51"/>
      <c r="Q763" s="51"/>
      <c r="R763" s="51"/>
      <c r="S763" s="51"/>
      <c r="T763" s="51"/>
      <c r="U763" s="51"/>
      <c r="V763" s="51"/>
      <c r="W763" s="51"/>
      <c r="X763" s="51"/>
      <c r="Y763" s="51"/>
      <c r="Z763" s="51"/>
      <c r="AA763" s="51"/>
      <c r="AB763" s="51"/>
    </row>
    <row r="764" customFormat="false" ht="15.75" hidden="false" customHeight="false" outlineLevel="0" collapsed="false">
      <c r="A764" s="51"/>
      <c r="B764" s="51"/>
      <c r="C764" s="6"/>
      <c r="D764" s="49"/>
      <c r="E764" s="51"/>
      <c r="F764" s="6"/>
      <c r="G764" s="6"/>
      <c r="H764" s="6"/>
      <c r="I764" s="6"/>
      <c r="J764" s="6"/>
      <c r="K764" s="51"/>
      <c r="L764" s="51"/>
      <c r="M764" s="51"/>
      <c r="N764" s="51"/>
      <c r="O764" s="51"/>
      <c r="P764" s="51"/>
      <c r="Q764" s="51"/>
      <c r="R764" s="51"/>
      <c r="S764" s="51"/>
      <c r="T764" s="51"/>
      <c r="U764" s="51"/>
      <c r="V764" s="51"/>
      <c r="W764" s="51"/>
      <c r="X764" s="51"/>
      <c r="Y764" s="51"/>
      <c r="Z764" s="51"/>
      <c r="AA764" s="51"/>
      <c r="AB764" s="51"/>
    </row>
    <row r="765" customFormat="false" ht="15.75" hidden="false" customHeight="false" outlineLevel="0" collapsed="false">
      <c r="A765" s="51"/>
      <c r="B765" s="51"/>
      <c r="C765" s="6"/>
      <c r="D765" s="49"/>
      <c r="E765" s="51"/>
      <c r="F765" s="6"/>
      <c r="G765" s="6"/>
      <c r="H765" s="6"/>
      <c r="I765" s="6"/>
      <c r="J765" s="6"/>
      <c r="K765" s="51"/>
      <c r="L765" s="51"/>
      <c r="M765" s="51"/>
      <c r="N765" s="51"/>
      <c r="O765" s="51"/>
      <c r="P765" s="51"/>
      <c r="Q765" s="51"/>
      <c r="R765" s="51"/>
      <c r="S765" s="51"/>
      <c r="T765" s="51"/>
      <c r="U765" s="51"/>
      <c r="V765" s="51"/>
      <c r="W765" s="51"/>
      <c r="X765" s="51"/>
      <c r="Y765" s="51"/>
      <c r="Z765" s="51"/>
      <c r="AA765" s="51"/>
      <c r="AB765" s="51"/>
    </row>
    <row r="766" customFormat="false" ht="15.75" hidden="false" customHeight="false" outlineLevel="0" collapsed="false">
      <c r="A766" s="51"/>
      <c r="B766" s="51"/>
      <c r="C766" s="6"/>
      <c r="D766" s="49"/>
      <c r="E766" s="51"/>
      <c r="F766" s="6"/>
      <c r="G766" s="6"/>
      <c r="H766" s="6"/>
      <c r="I766" s="6"/>
      <c r="J766" s="6"/>
      <c r="K766" s="51"/>
      <c r="L766" s="51"/>
      <c r="M766" s="51"/>
      <c r="N766" s="51"/>
      <c r="O766" s="51"/>
      <c r="P766" s="51"/>
      <c r="Q766" s="51"/>
      <c r="R766" s="51"/>
      <c r="S766" s="51"/>
      <c r="T766" s="51"/>
      <c r="U766" s="51"/>
      <c r="V766" s="51"/>
      <c r="W766" s="51"/>
      <c r="X766" s="51"/>
      <c r="Y766" s="51"/>
      <c r="Z766" s="51"/>
      <c r="AA766" s="51"/>
      <c r="AB766" s="51"/>
    </row>
    <row r="767" customFormat="false" ht="15.75" hidden="false" customHeight="false" outlineLevel="0" collapsed="false">
      <c r="A767" s="51"/>
      <c r="B767" s="51"/>
      <c r="C767" s="6"/>
      <c r="D767" s="49"/>
      <c r="E767" s="51"/>
      <c r="F767" s="6"/>
      <c r="G767" s="6"/>
      <c r="H767" s="6"/>
      <c r="I767" s="6"/>
      <c r="J767" s="6"/>
      <c r="K767" s="51"/>
      <c r="L767" s="51"/>
      <c r="M767" s="51"/>
      <c r="N767" s="51"/>
      <c r="O767" s="51"/>
      <c r="P767" s="51"/>
      <c r="Q767" s="51"/>
      <c r="R767" s="51"/>
      <c r="S767" s="51"/>
      <c r="T767" s="51"/>
      <c r="U767" s="51"/>
      <c r="V767" s="51"/>
      <c r="W767" s="51"/>
      <c r="X767" s="51"/>
      <c r="Y767" s="51"/>
      <c r="Z767" s="51"/>
      <c r="AA767" s="51"/>
      <c r="AB767" s="51"/>
    </row>
    <row r="768" customFormat="false" ht="15.75" hidden="false" customHeight="false" outlineLevel="0" collapsed="false">
      <c r="A768" s="51"/>
      <c r="B768" s="51"/>
      <c r="C768" s="6"/>
      <c r="D768" s="49"/>
      <c r="E768" s="51"/>
      <c r="F768" s="6"/>
      <c r="G768" s="6"/>
      <c r="H768" s="6"/>
      <c r="I768" s="6"/>
      <c r="J768" s="6"/>
      <c r="K768" s="51"/>
      <c r="L768" s="51"/>
      <c r="M768" s="51"/>
      <c r="N768" s="51"/>
      <c r="O768" s="51"/>
      <c r="P768" s="51"/>
      <c r="Q768" s="51"/>
      <c r="R768" s="51"/>
      <c r="S768" s="51"/>
      <c r="T768" s="51"/>
      <c r="U768" s="51"/>
      <c r="V768" s="51"/>
      <c r="W768" s="51"/>
      <c r="X768" s="51"/>
      <c r="Y768" s="51"/>
      <c r="Z768" s="51"/>
      <c r="AA768" s="51"/>
      <c r="AB768" s="51"/>
    </row>
    <row r="769" customFormat="false" ht="15.75" hidden="false" customHeight="false" outlineLevel="0" collapsed="false">
      <c r="A769" s="51"/>
      <c r="B769" s="51"/>
      <c r="C769" s="6"/>
      <c r="D769" s="49"/>
      <c r="E769" s="51"/>
      <c r="F769" s="6"/>
      <c r="G769" s="6"/>
      <c r="H769" s="6"/>
      <c r="I769" s="6"/>
      <c r="J769" s="6"/>
      <c r="K769" s="51"/>
      <c r="L769" s="51"/>
      <c r="M769" s="51"/>
      <c r="N769" s="51"/>
      <c r="O769" s="51"/>
      <c r="P769" s="51"/>
      <c r="Q769" s="51"/>
      <c r="R769" s="51"/>
      <c r="S769" s="51"/>
      <c r="T769" s="51"/>
      <c r="U769" s="51"/>
      <c r="V769" s="51"/>
      <c r="W769" s="51"/>
      <c r="X769" s="51"/>
      <c r="Y769" s="51"/>
      <c r="Z769" s="51"/>
      <c r="AA769" s="51"/>
      <c r="AB769" s="51"/>
    </row>
    <row r="770" customFormat="false" ht="15.75" hidden="false" customHeight="false" outlineLevel="0" collapsed="false">
      <c r="A770" s="51"/>
      <c r="B770" s="51"/>
      <c r="C770" s="6"/>
      <c r="D770" s="49"/>
      <c r="E770" s="51"/>
      <c r="F770" s="6"/>
      <c r="G770" s="6"/>
      <c r="H770" s="6"/>
      <c r="I770" s="6"/>
      <c r="J770" s="6"/>
      <c r="K770" s="51"/>
      <c r="L770" s="51"/>
      <c r="M770" s="51"/>
      <c r="N770" s="51"/>
      <c r="O770" s="51"/>
      <c r="P770" s="51"/>
      <c r="Q770" s="51"/>
      <c r="R770" s="51"/>
      <c r="S770" s="51"/>
      <c r="T770" s="51"/>
      <c r="U770" s="51"/>
      <c r="V770" s="51"/>
      <c r="W770" s="51"/>
      <c r="X770" s="51"/>
      <c r="Y770" s="51"/>
      <c r="Z770" s="51"/>
      <c r="AA770" s="51"/>
      <c r="AB770" s="51"/>
    </row>
    <row r="771" customFormat="false" ht="15.75" hidden="false" customHeight="false" outlineLevel="0" collapsed="false">
      <c r="A771" s="51"/>
      <c r="B771" s="51"/>
      <c r="C771" s="6"/>
      <c r="D771" s="49"/>
      <c r="E771" s="51"/>
      <c r="F771" s="6"/>
      <c r="G771" s="6"/>
      <c r="H771" s="6"/>
      <c r="I771" s="6"/>
      <c r="J771" s="6"/>
      <c r="K771" s="51"/>
      <c r="L771" s="51"/>
      <c r="M771" s="51"/>
      <c r="N771" s="51"/>
      <c r="O771" s="51"/>
      <c r="P771" s="51"/>
      <c r="Q771" s="51"/>
      <c r="R771" s="51"/>
      <c r="S771" s="51"/>
      <c r="T771" s="51"/>
      <c r="U771" s="51"/>
      <c r="V771" s="51"/>
      <c r="W771" s="51"/>
      <c r="X771" s="51"/>
      <c r="Y771" s="51"/>
      <c r="Z771" s="51"/>
      <c r="AA771" s="51"/>
      <c r="AB771" s="51"/>
    </row>
    <row r="772" customFormat="false" ht="15.75" hidden="false" customHeight="false" outlineLevel="0" collapsed="false">
      <c r="A772" s="51"/>
      <c r="B772" s="51"/>
      <c r="C772" s="6"/>
      <c r="D772" s="49"/>
      <c r="E772" s="51"/>
      <c r="F772" s="6"/>
      <c r="G772" s="6"/>
      <c r="H772" s="6"/>
      <c r="I772" s="6"/>
      <c r="J772" s="6"/>
      <c r="K772" s="51"/>
      <c r="L772" s="51"/>
      <c r="M772" s="51"/>
      <c r="N772" s="51"/>
      <c r="O772" s="51"/>
      <c r="P772" s="51"/>
      <c r="Q772" s="51"/>
      <c r="R772" s="51"/>
      <c r="S772" s="51"/>
      <c r="T772" s="51"/>
      <c r="U772" s="51"/>
      <c r="V772" s="51"/>
      <c r="W772" s="51"/>
      <c r="X772" s="51"/>
      <c r="Y772" s="51"/>
      <c r="Z772" s="51"/>
      <c r="AA772" s="51"/>
      <c r="AB772" s="51"/>
    </row>
    <row r="773" customFormat="false" ht="15.75" hidden="false" customHeight="false" outlineLevel="0" collapsed="false">
      <c r="A773" s="51"/>
      <c r="B773" s="51"/>
      <c r="C773" s="6"/>
      <c r="D773" s="49"/>
      <c r="E773" s="51"/>
      <c r="F773" s="6"/>
      <c r="G773" s="6"/>
      <c r="H773" s="6"/>
      <c r="I773" s="6"/>
      <c r="J773" s="6"/>
      <c r="K773" s="51"/>
      <c r="L773" s="51"/>
      <c r="M773" s="51"/>
      <c r="N773" s="51"/>
      <c r="O773" s="51"/>
      <c r="P773" s="51"/>
      <c r="Q773" s="51"/>
      <c r="R773" s="51"/>
      <c r="S773" s="51"/>
      <c r="T773" s="51"/>
      <c r="U773" s="51"/>
      <c r="V773" s="51"/>
      <c r="W773" s="51"/>
      <c r="X773" s="51"/>
      <c r="Y773" s="51"/>
      <c r="Z773" s="51"/>
      <c r="AA773" s="51"/>
      <c r="AB773" s="51"/>
    </row>
    <row r="774" customFormat="false" ht="15.75" hidden="false" customHeight="false" outlineLevel="0" collapsed="false">
      <c r="A774" s="51"/>
      <c r="B774" s="51"/>
      <c r="C774" s="6"/>
      <c r="D774" s="49"/>
      <c r="E774" s="51"/>
      <c r="F774" s="6"/>
      <c r="G774" s="6"/>
      <c r="H774" s="6"/>
      <c r="I774" s="6"/>
      <c r="J774" s="6"/>
      <c r="K774" s="51"/>
      <c r="L774" s="51"/>
      <c r="M774" s="51"/>
      <c r="N774" s="51"/>
      <c r="O774" s="51"/>
      <c r="P774" s="51"/>
      <c r="Q774" s="51"/>
      <c r="R774" s="51"/>
      <c r="S774" s="51"/>
      <c r="T774" s="51"/>
      <c r="U774" s="51"/>
      <c r="V774" s="51"/>
      <c r="W774" s="51"/>
      <c r="X774" s="51"/>
      <c r="Y774" s="51"/>
      <c r="Z774" s="51"/>
      <c r="AA774" s="51"/>
      <c r="AB774" s="51"/>
    </row>
    <row r="775" customFormat="false" ht="15.75" hidden="false" customHeight="false" outlineLevel="0" collapsed="false">
      <c r="A775" s="51"/>
      <c r="B775" s="51"/>
      <c r="C775" s="6"/>
      <c r="D775" s="49"/>
      <c r="E775" s="51"/>
      <c r="F775" s="6"/>
      <c r="G775" s="6"/>
      <c r="H775" s="6"/>
      <c r="I775" s="6"/>
      <c r="J775" s="6"/>
      <c r="K775" s="51"/>
      <c r="L775" s="51"/>
      <c r="M775" s="51"/>
      <c r="N775" s="51"/>
      <c r="O775" s="51"/>
      <c r="P775" s="51"/>
      <c r="Q775" s="51"/>
      <c r="R775" s="51"/>
      <c r="S775" s="51"/>
      <c r="T775" s="51"/>
      <c r="U775" s="51"/>
      <c r="V775" s="51"/>
      <c r="W775" s="51"/>
      <c r="X775" s="51"/>
      <c r="Y775" s="51"/>
      <c r="Z775" s="51"/>
      <c r="AA775" s="51"/>
      <c r="AB775" s="51"/>
    </row>
    <row r="776" customFormat="false" ht="15.75" hidden="false" customHeight="false" outlineLevel="0" collapsed="false">
      <c r="A776" s="51"/>
      <c r="B776" s="51"/>
      <c r="C776" s="6"/>
      <c r="D776" s="49"/>
      <c r="E776" s="51"/>
      <c r="F776" s="6"/>
      <c r="G776" s="6"/>
      <c r="H776" s="6"/>
      <c r="I776" s="6"/>
      <c r="J776" s="6"/>
      <c r="K776" s="51"/>
      <c r="L776" s="51"/>
      <c r="M776" s="51"/>
      <c r="N776" s="51"/>
      <c r="O776" s="51"/>
      <c r="P776" s="51"/>
      <c r="Q776" s="51"/>
      <c r="R776" s="51"/>
      <c r="S776" s="51"/>
      <c r="T776" s="51"/>
      <c r="U776" s="51"/>
      <c r="V776" s="51"/>
      <c r="W776" s="51"/>
      <c r="X776" s="51"/>
      <c r="Y776" s="51"/>
      <c r="Z776" s="51"/>
      <c r="AA776" s="51"/>
      <c r="AB776" s="51"/>
    </row>
    <row r="777" customFormat="false" ht="15.75" hidden="false" customHeight="false" outlineLevel="0" collapsed="false">
      <c r="A777" s="51"/>
      <c r="B777" s="51"/>
      <c r="C777" s="6"/>
      <c r="D777" s="49"/>
      <c r="E777" s="51"/>
      <c r="F777" s="6"/>
      <c r="G777" s="6"/>
      <c r="H777" s="6"/>
      <c r="I777" s="6"/>
      <c r="J777" s="6"/>
      <c r="K777" s="51"/>
      <c r="L777" s="51"/>
      <c r="M777" s="51"/>
      <c r="N777" s="51"/>
      <c r="O777" s="51"/>
      <c r="P777" s="51"/>
      <c r="Q777" s="51"/>
      <c r="R777" s="51"/>
      <c r="S777" s="51"/>
      <c r="T777" s="51"/>
      <c r="U777" s="51"/>
      <c r="V777" s="51"/>
      <c r="W777" s="51"/>
      <c r="X777" s="51"/>
      <c r="Y777" s="51"/>
      <c r="Z777" s="51"/>
      <c r="AA777" s="51"/>
      <c r="AB777" s="51"/>
    </row>
    <row r="778" customFormat="false" ht="15.75" hidden="false" customHeight="false" outlineLevel="0" collapsed="false">
      <c r="A778" s="51"/>
      <c r="B778" s="51"/>
      <c r="C778" s="6"/>
      <c r="D778" s="49"/>
      <c r="E778" s="51"/>
      <c r="F778" s="6"/>
      <c r="G778" s="6"/>
      <c r="H778" s="6"/>
      <c r="I778" s="6"/>
      <c r="J778" s="6"/>
      <c r="K778" s="51"/>
      <c r="L778" s="51"/>
      <c r="M778" s="51"/>
      <c r="N778" s="51"/>
      <c r="O778" s="51"/>
      <c r="P778" s="51"/>
      <c r="Q778" s="51"/>
      <c r="R778" s="51"/>
      <c r="S778" s="51"/>
      <c r="T778" s="51"/>
      <c r="U778" s="51"/>
      <c r="V778" s="51"/>
      <c r="W778" s="51"/>
      <c r="X778" s="51"/>
      <c r="Y778" s="51"/>
      <c r="Z778" s="51"/>
      <c r="AA778" s="51"/>
      <c r="AB778" s="51"/>
    </row>
    <row r="779" customFormat="false" ht="15.75" hidden="false" customHeight="false" outlineLevel="0" collapsed="false">
      <c r="A779" s="51"/>
      <c r="B779" s="51"/>
      <c r="C779" s="6"/>
      <c r="D779" s="49"/>
      <c r="E779" s="51"/>
      <c r="F779" s="6"/>
      <c r="G779" s="6"/>
      <c r="H779" s="6"/>
      <c r="I779" s="6"/>
      <c r="J779" s="6"/>
      <c r="K779" s="51"/>
      <c r="L779" s="51"/>
      <c r="M779" s="51"/>
      <c r="N779" s="51"/>
      <c r="O779" s="51"/>
      <c r="P779" s="51"/>
      <c r="Q779" s="51"/>
      <c r="R779" s="51"/>
      <c r="S779" s="51"/>
      <c r="T779" s="51"/>
      <c r="U779" s="51"/>
      <c r="V779" s="51"/>
      <c r="W779" s="51"/>
      <c r="X779" s="51"/>
      <c r="Y779" s="51"/>
      <c r="Z779" s="51"/>
      <c r="AA779" s="51"/>
      <c r="AB779" s="51"/>
    </row>
    <row r="780" customFormat="false" ht="15.75" hidden="false" customHeight="false" outlineLevel="0" collapsed="false">
      <c r="A780" s="51"/>
      <c r="B780" s="51"/>
      <c r="C780" s="6"/>
      <c r="D780" s="49"/>
      <c r="E780" s="51"/>
      <c r="F780" s="6"/>
      <c r="G780" s="6"/>
      <c r="H780" s="6"/>
      <c r="I780" s="6"/>
      <c r="J780" s="6"/>
      <c r="K780" s="51"/>
      <c r="L780" s="51"/>
      <c r="M780" s="51"/>
      <c r="N780" s="51"/>
      <c r="O780" s="51"/>
      <c r="P780" s="51"/>
      <c r="Q780" s="51"/>
      <c r="R780" s="51"/>
      <c r="S780" s="51"/>
      <c r="T780" s="51"/>
      <c r="U780" s="51"/>
      <c r="V780" s="51"/>
      <c r="W780" s="51"/>
      <c r="X780" s="51"/>
      <c r="Y780" s="51"/>
      <c r="Z780" s="51"/>
      <c r="AA780" s="51"/>
      <c r="AB780" s="51"/>
    </row>
    <row r="781" customFormat="false" ht="15.75" hidden="false" customHeight="false" outlineLevel="0" collapsed="false">
      <c r="A781" s="51"/>
      <c r="B781" s="51"/>
      <c r="C781" s="6"/>
      <c r="D781" s="49"/>
      <c r="E781" s="51"/>
      <c r="F781" s="6"/>
      <c r="G781" s="6"/>
      <c r="H781" s="6"/>
      <c r="I781" s="6"/>
      <c r="J781" s="6"/>
      <c r="K781" s="51"/>
      <c r="L781" s="51"/>
      <c r="M781" s="51"/>
      <c r="N781" s="51"/>
      <c r="O781" s="51"/>
      <c r="P781" s="51"/>
      <c r="Q781" s="51"/>
      <c r="R781" s="51"/>
      <c r="S781" s="51"/>
      <c r="T781" s="51"/>
      <c r="U781" s="51"/>
      <c r="V781" s="51"/>
      <c r="W781" s="51"/>
      <c r="X781" s="51"/>
      <c r="Y781" s="51"/>
      <c r="Z781" s="51"/>
      <c r="AA781" s="51"/>
      <c r="AB781" s="51"/>
    </row>
    <row r="782" customFormat="false" ht="15.75" hidden="false" customHeight="false" outlineLevel="0" collapsed="false">
      <c r="A782" s="51"/>
      <c r="B782" s="51"/>
      <c r="C782" s="6"/>
      <c r="D782" s="49"/>
      <c r="E782" s="51"/>
      <c r="F782" s="6"/>
      <c r="G782" s="6"/>
      <c r="H782" s="6"/>
      <c r="I782" s="6"/>
      <c r="J782" s="6"/>
      <c r="K782" s="51"/>
      <c r="L782" s="51"/>
      <c r="M782" s="51"/>
      <c r="N782" s="51"/>
      <c r="O782" s="51"/>
      <c r="P782" s="51"/>
      <c r="Q782" s="51"/>
      <c r="R782" s="51"/>
      <c r="S782" s="51"/>
      <c r="T782" s="51"/>
      <c r="U782" s="51"/>
      <c r="V782" s="51"/>
      <c r="W782" s="51"/>
      <c r="X782" s="51"/>
      <c r="Y782" s="51"/>
      <c r="Z782" s="51"/>
      <c r="AA782" s="51"/>
      <c r="AB782" s="51"/>
    </row>
    <row r="783" customFormat="false" ht="15.75" hidden="false" customHeight="false" outlineLevel="0" collapsed="false">
      <c r="A783" s="51"/>
      <c r="B783" s="51"/>
      <c r="C783" s="6"/>
      <c r="D783" s="49"/>
      <c r="E783" s="51"/>
      <c r="F783" s="6"/>
      <c r="G783" s="6"/>
      <c r="H783" s="6"/>
      <c r="I783" s="6"/>
      <c r="J783" s="6"/>
      <c r="K783" s="51"/>
      <c r="L783" s="51"/>
      <c r="M783" s="51"/>
      <c r="N783" s="51"/>
      <c r="O783" s="51"/>
      <c r="P783" s="51"/>
      <c r="Q783" s="51"/>
      <c r="R783" s="51"/>
      <c r="S783" s="51"/>
      <c r="T783" s="51"/>
      <c r="U783" s="51"/>
      <c r="V783" s="51"/>
      <c r="W783" s="51"/>
      <c r="X783" s="51"/>
      <c r="Y783" s="51"/>
      <c r="Z783" s="51"/>
      <c r="AA783" s="51"/>
      <c r="AB783" s="51"/>
    </row>
    <row r="784" customFormat="false" ht="15.75" hidden="false" customHeight="false" outlineLevel="0" collapsed="false">
      <c r="A784" s="51"/>
      <c r="B784" s="51"/>
      <c r="C784" s="6"/>
      <c r="D784" s="49"/>
      <c r="E784" s="51"/>
      <c r="F784" s="6"/>
      <c r="G784" s="6"/>
      <c r="H784" s="6"/>
      <c r="I784" s="6"/>
      <c r="J784" s="6"/>
      <c r="K784" s="51"/>
      <c r="L784" s="51"/>
      <c r="M784" s="51"/>
      <c r="N784" s="51"/>
      <c r="O784" s="51"/>
      <c r="P784" s="51"/>
      <c r="Q784" s="51"/>
      <c r="R784" s="51"/>
      <c r="S784" s="51"/>
      <c r="T784" s="51"/>
      <c r="U784" s="51"/>
      <c r="V784" s="51"/>
      <c r="W784" s="51"/>
      <c r="X784" s="51"/>
      <c r="Y784" s="51"/>
      <c r="Z784" s="51"/>
      <c r="AA784" s="51"/>
      <c r="AB784" s="51"/>
    </row>
    <row r="785" customFormat="false" ht="15.75" hidden="false" customHeight="false" outlineLevel="0" collapsed="false">
      <c r="A785" s="51"/>
      <c r="B785" s="51"/>
      <c r="C785" s="6"/>
      <c r="D785" s="49"/>
      <c r="E785" s="51"/>
      <c r="F785" s="6"/>
      <c r="G785" s="6"/>
      <c r="H785" s="6"/>
      <c r="I785" s="6"/>
      <c r="J785" s="6"/>
      <c r="K785" s="51"/>
      <c r="L785" s="51"/>
      <c r="M785" s="51"/>
      <c r="N785" s="51"/>
      <c r="O785" s="51"/>
      <c r="P785" s="51"/>
      <c r="Q785" s="51"/>
      <c r="R785" s="51"/>
      <c r="S785" s="51"/>
      <c r="T785" s="51"/>
      <c r="U785" s="51"/>
      <c r="V785" s="51"/>
      <c r="W785" s="51"/>
      <c r="X785" s="51"/>
      <c r="Y785" s="51"/>
      <c r="Z785" s="51"/>
      <c r="AA785" s="51"/>
      <c r="AB785" s="51"/>
    </row>
    <row r="786" customFormat="false" ht="15.75" hidden="false" customHeight="false" outlineLevel="0" collapsed="false">
      <c r="A786" s="51"/>
      <c r="B786" s="51"/>
      <c r="C786" s="6"/>
      <c r="D786" s="49"/>
      <c r="E786" s="51"/>
      <c r="F786" s="6"/>
      <c r="G786" s="6"/>
      <c r="H786" s="6"/>
      <c r="I786" s="6"/>
      <c r="J786" s="6"/>
      <c r="K786" s="51"/>
      <c r="L786" s="51"/>
      <c r="M786" s="51"/>
      <c r="N786" s="51"/>
      <c r="O786" s="51"/>
      <c r="P786" s="51"/>
      <c r="Q786" s="51"/>
      <c r="R786" s="51"/>
      <c r="S786" s="51"/>
      <c r="T786" s="51"/>
      <c r="U786" s="51"/>
      <c r="V786" s="51"/>
      <c r="W786" s="51"/>
      <c r="X786" s="51"/>
      <c r="Y786" s="51"/>
      <c r="Z786" s="51"/>
      <c r="AA786" s="51"/>
      <c r="AB786" s="51"/>
    </row>
    <row r="787" customFormat="false" ht="15.75" hidden="false" customHeight="false" outlineLevel="0" collapsed="false">
      <c r="A787" s="51"/>
      <c r="B787" s="51"/>
      <c r="C787" s="6"/>
      <c r="D787" s="49"/>
      <c r="E787" s="51"/>
      <c r="F787" s="6"/>
      <c r="G787" s="6"/>
      <c r="H787" s="6"/>
      <c r="I787" s="6"/>
      <c r="J787" s="6"/>
      <c r="K787" s="51"/>
      <c r="L787" s="51"/>
      <c r="M787" s="51"/>
      <c r="N787" s="51"/>
      <c r="O787" s="51"/>
      <c r="P787" s="51"/>
      <c r="Q787" s="51"/>
      <c r="R787" s="51"/>
      <c r="S787" s="51"/>
      <c r="T787" s="51"/>
      <c r="U787" s="51"/>
      <c r="V787" s="51"/>
      <c r="W787" s="51"/>
      <c r="X787" s="51"/>
      <c r="Y787" s="51"/>
      <c r="Z787" s="51"/>
      <c r="AA787" s="51"/>
      <c r="AB787" s="51"/>
    </row>
    <row r="788" customFormat="false" ht="15.75" hidden="false" customHeight="false" outlineLevel="0" collapsed="false">
      <c r="A788" s="51"/>
      <c r="B788" s="51"/>
      <c r="C788" s="6"/>
      <c r="D788" s="49"/>
      <c r="E788" s="51"/>
      <c r="F788" s="6"/>
      <c r="G788" s="6"/>
      <c r="H788" s="6"/>
      <c r="I788" s="6"/>
      <c r="J788" s="6"/>
      <c r="K788" s="51"/>
      <c r="L788" s="51"/>
      <c r="M788" s="51"/>
      <c r="N788" s="51"/>
      <c r="O788" s="51"/>
      <c r="P788" s="51"/>
      <c r="Q788" s="51"/>
      <c r="R788" s="51"/>
      <c r="S788" s="51"/>
      <c r="T788" s="51"/>
      <c r="U788" s="51"/>
      <c r="V788" s="51"/>
      <c r="W788" s="51"/>
      <c r="X788" s="51"/>
      <c r="Y788" s="51"/>
      <c r="Z788" s="51"/>
      <c r="AA788" s="51"/>
      <c r="AB788" s="51"/>
    </row>
    <row r="789" customFormat="false" ht="15.75" hidden="false" customHeight="false" outlineLevel="0" collapsed="false">
      <c r="A789" s="51"/>
      <c r="B789" s="51"/>
      <c r="C789" s="6"/>
      <c r="D789" s="49"/>
      <c r="E789" s="51"/>
      <c r="F789" s="6"/>
      <c r="G789" s="6"/>
      <c r="H789" s="6"/>
      <c r="I789" s="6"/>
      <c r="J789" s="6"/>
      <c r="K789" s="51"/>
      <c r="L789" s="51"/>
      <c r="M789" s="51"/>
      <c r="N789" s="51"/>
      <c r="O789" s="51"/>
      <c r="P789" s="51"/>
      <c r="Q789" s="51"/>
      <c r="R789" s="51"/>
      <c r="S789" s="51"/>
      <c r="T789" s="51"/>
      <c r="U789" s="51"/>
      <c r="V789" s="51"/>
      <c r="W789" s="51"/>
      <c r="X789" s="51"/>
      <c r="Y789" s="51"/>
      <c r="Z789" s="51"/>
      <c r="AA789" s="51"/>
      <c r="AB789" s="51"/>
    </row>
    <row r="790" customFormat="false" ht="15.75" hidden="false" customHeight="false" outlineLevel="0" collapsed="false">
      <c r="A790" s="51"/>
      <c r="B790" s="51"/>
      <c r="C790" s="6"/>
      <c r="D790" s="49"/>
      <c r="E790" s="51"/>
      <c r="F790" s="6"/>
      <c r="G790" s="6"/>
      <c r="H790" s="6"/>
      <c r="I790" s="6"/>
      <c r="J790" s="6"/>
      <c r="K790" s="51"/>
      <c r="L790" s="51"/>
      <c r="M790" s="51"/>
      <c r="N790" s="51"/>
      <c r="O790" s="51"/>
      <c r="P790" s="51"/>
      <c r="Q790" s="51"/>
      <c r="R790" s="51"/>
      <c r="S790" s="51"/>
      <c r="T790" s="51"/>
      <c r="U790" s="51"/>
      <c r="V790" s="51"/>
      <c r="W790" s="51"/>
      <c r="X790" s="51"/>
      <c r="Y790" s="51"/>
      <c r="Z790" s="51"/>
      <c r="AA790" s="51"/>
      <c r="AB790" s="51"/>
    </row>
    <row r="791" customFormat="false" ht="15.75" hidden="false" customHeight="false" outlineLevel="0" collapsed="false">
      <c r="A791" s="51"/>
      <c r="B791" s="51"/>
      <c r="C791" s="6"/>
      <c r="D791" s="49"/>
      <c r="E791" s="51"/>
      <c r="F791" s="6"/>
      <c r="G791" s="6"/>
      <c r="H791" s="6"/>
      <c r="I791" s="6"/>
      <c r="J791" s="6"/>
      <c r="K791" s="51"/>
      <c r="L791" s="51"/>
      <c r="M791" s="51"/>
      <c r="N791" s="51"/>
      <c r="O791" s="51"/>
      <c r="P791" s="51"/>
      <c r="Q791" s="51"/>
      <c r="R791" s="51"/>
      <c r="S791" s="51"/>
      <c r="T791" s="51"/>
      <c r="U791" s="51"/>
      <c r="V791" s="51"/>
      <c r="W791" s="51"/>
      <c r="X791" s="51"/>
      <c r="Y791" s="51"/>
      <c r="Z791" s="51"/>
      <c r="AA791" s="51"/>
      <c r="AB791" s="51"/>
    </row>
    <row r="792" customFormat="false" ht="15.75" hidden="false" customHeight="false" outlineLevel="0" collapsed="false">
      <c r="A792" s="51"/>
      <c r="B792" s="51"/>
      <c r="C792" s="6"/>
      <c r="D792" s="49"/>
      <c r="E792" s="51"/>
      <c r="F792" s="6"/>
      <c r="G792" s="6"/>
      <c r="H792" s="6"/>
      <c r="I792" s="6"/>
      <c r="J792" s="6"/>
      <c r="K792" s="51"/>
      <c r="L792" s="51"/>
      <c r="M792" s="51"/>
      <c r="N792" s="51"/>
      <c r="O792" s="51"/>
      <c r="P792" s="51"/>
      <c r="Q792" s="51"/>
      <c r="R792" s="51"/>
      <c r="S792" s="51"/>
      <c r="T792" s="51"/>
      <c r="U792" s="51"/>
      <c r="V792" s="51"/>
      <c r="W792" s="51"/>
      <c r="X792" s="51"/>
      <c r="Y792" s="51"/>
      <c r="Z792" s="51"/>
      <c r="AA792" s="51"/>
      <c r="AB792" s="51"/>
    </row>
    <row r="793" customFormat="false" ht="15.75" hidden="false" customHeight="false" outlineLevel="0" collapsed="false">
      <c r="A793" s="51"/>
      <c r="B793" s="51"/>
      <c r="C793" s="6"/>
      <c r="D793" s="49"/>
      <c r="E793" s="51"/>
      <c r="F793" s="6"/>
      <c r="G793" s="6"/>
      <c r="H793" s="6"/>
      <c r="I793" s="6"/>
      <c r="J793" s="6"/>
      <c r="K793" s="51"/>
      <c r="L793" s="51"/>
      <c r="M793" s="51"/>
      <c r="N793" s="51"/>
      <c r="O793" s="51"/>
      <c r="P793" s="51"/>
      <c r="Q793" s="51"/>
      <c r="R793" s="51"/>
      <c r="S793" s="51"/>
      <c r="T793" s="51"/>
      <c r="U793" s="51"/>
      <c r="V793" s="51"/>
      <c r="W793" s="51"/>
      <c r="X793" s="51"/>
      <c r="Y793" s="51"/>
      <c r="Z793" s="51"/>
      <c r="AA793" s="51"/>
      <c r="AB793" s="51"/>
    </row>
    <row r="794" customFormat="false" ht="15.75" hidden="false" customHeight="false" outlineLevel="0" collapsed="false">
      <c r="A794" s="51"/>
      <c r="B794" s="51"/>
      <c r="C794" s="6"/>
      <c r="D794" s="49"/>
      <c r="E794" s="51"/>
      <c r="F794" s="6"/>
      <c r="G794" s="6"/>
      <c r="H794" s="6"/>
      <c r="I794" s="6"/>
      <c r="J794" s="6"/>
      <c r="K794" s="51"/>
      <c r="L794" s="51"/>
      <c r="M794" s="51"/>
      <c r="N794" s="51"/>
      <c r="O794" s="51"/>
      <c r="P794" s="51"/>
      <c r="Q794" s="51"/>
      <c r="R794" s="51"/>
      <c r="S794" s="51"/>
      <c r="T794" s="51"/>
      <c r="U794" s="51"/>
      <c r="V794" s="51"/>
      <c r="W794" s="51"/>
      <c r="X794" s="51"/>
      <c r="Y794" s="51"/>
      <c r="Z794" s="51"/>
      <c r="AA794" s="51"/>
      <c r="AB794" s="51"/>
    </row>
    <row r="795" customFormat="false" ht="15.75" hidden="false" customHeight="false" outlineLevel="0" collapsed="false">
      <c r="A795" s="51"/>
      <c r="B795" s="51"/>
      <c r="C795" s="6"/>
      <c r="D795" s="49"/>
      <c r="E795" s="51"/>
      <c r="F795" s="6"/>
      <c r="G795" s="6"/>
      <c r="H795" s="6"/>
      <c r="I795" s="6"/>
      <c r="J795" s="6"/>
      <c r="K795" s="51"/>
      <c r="L795" s="51"/>
      <c r="M795" s="51"/>
      <c r="N795" s="51"/>
      <c r="O795" s="51"/>
      <c r="P795" s="51"/>
      <c r="Q795" s="51"/>
      <c r="R795" s="51"/>
      <c r="S795" s="51"/>
      <c r="T795" s="51"/>
      <c r="U795" s="51"/>
      <c r="V795" s="51"/>
      <c r="W795" s="51"/>
      <c r="X795" s="51"/>
      <c r="Y795" s="51"/>
      <c r="Z795" s="51"/>
      <c r="AA795" s="51"/>
      <c r="AB795" s="51"/>
    </row>
    <row r="796" customFormat="false" ht="15.75" hidden="false" customHeight="false" outlineLevel="0" collapsed="false">
      <c r="A796" s="51"/>
      <c r="B796" s="51"/>
      <c r="C796" s="6"/>
      <c r="D796" s="49"/>
      <c r="E796" s="51"/>
      <c r="F796" s="6"/>
      <c r="G796" s="6"/>
      <c r="H796" s="6"/>
      <c r="I796" s="6"/>
      <c r="J796" s="6"/>
      <c r="K796" s="51"/>
      <c r="L796" s="51"/>
      <c r="M796" s="51"/>
      <c r="N796" s="51"/>
      <c r="O796" s="51"/>
      <c r="P796" s="51"/>
      <c r="Q796" s="51"/>
      <c r="R796" s="51"/>
      <c r="S796" s="51"/>
      <c r="T796" s="51"/>
      <c r="U796" s="51"/>
      <c r="V796" s="51"/>
      <c r="W796" s="51"/>
      <c r="X796" s="51"/>
      <c r="Y796" s="51"/>
      <c r="Z796" s="51"/>
      <c r="AA796" s="51"/>
      <c r="AB796" s="51"/>
    </row>
    <row r="797" customFormat="false" ht="15.75" hidden="false" customHeight="false" outlineLevel="0" collapsed="false">
      <c r="A797" s="51"/>
      <c r="B797" s="51"/>
      <c r="C797" s="6"/>
      <c r="D797" s="49"/>
      <c r="E797" s="51"/>
      <c r="F797" s="6"/>
      <c r="G797" s="6"/>
      <c r="H797" s="6"/>
      <c r="I797" s="6"/>
      <c r="J797" s="6"/>
      <c r="K797" s="51"/>
      <c r="L797" s="51"/>
      <c r="M797" s="51"/>
      <c r="N797" s="51"/>
      <c r="O797" s="51"/>
      <c r="P797" s="51"/>
      <c r="Q797" s="51"/>
      <c r="R797" s="51"/>
      <c r="S797" s="51"/>
      <c r="T797" s="51"/>
      <c r="U797" s="51"/>
      <c r="V797" s="51"/>
      <c r="W797" s="51"/>
      <c r="X797" s="51"/>
      <c r="Y797" s="51"/>
      <c r="Z797" s="51"/>
      <c r="AA797" s="51"/>
      <c r="AB797" s="51"/>
    </row>
    <row r="798" customFormat="false" ht="15.75" hidden="false" customHeight="false" outlineLevel="0" collapsed="false">
      <c r="A798" s="51"/>
      <c r="B798" s="51"/>
      <c r="C798" s="6"/>
      <c r="D798" s="49"/>
      <c r="E798" s="51"/>
      <c r="F798" s="6"/>
      <c r="G798" s="6"/>
      <c r="H798" s="6"/>
      <c r="I798" s="6"/>
      <c r="J798" s="6"/>
      <c r="K798" s="51"/>
      <c r="L798" s="51"/>
      <c r="M798" s="51"/>
      <c r="N798" s="51"/>
      <c r="O798" s="51"/>
      <c r="P798" s="51"/>
      <c r="Q798" s="51"/>
      <c r="R798" s="51"/>
      <c r="S798" s="51"/>
      <c r="T798" s="51"/>
      <c r="U798" s="51"/>
      <c r="V798" s="51"/>
      <c r="W798" s="51"/>
      <c r="X798" s="51"/>
      <c r="Y798" s="51"/>
      <c r="Z798" s="51"/>
      <c r="AA798" s="51"/>
      <c r="AB798" s="51"/>
    </row>
    <row r="799" customFormat="false" ht="15.75" hidden="false" customHeight="false" outlineLevel="0" collapsed="false">
      <c r="A799" s="51"/>
      <c r="B799" s="51"/>
      <c r="C799" s="6"/>
      <c r="D799" s="49"/>
      <c r="E799" s="51"/>
      <c r="F799" s="6"/>
      <c r="G799" s="6"/>
      <c r="H799" s="6"/>
      <c r="I799" s="6"/>
      <c r="J799" s="6"/>
      <c r="K799" s="51"/>
      <c r="L799" s="51"/>
      <c r="M799" s="51"/>
      <c r="N799" s="51"/>
      <c r="O799" s="51"/>
      <c r="P799" s="51"/>
      <c r="Q799" s="51"/>
      <c r="R799" s="51"/>
      <c r="S799" s="51"/>
      <c r="T799" s="51"/>
      <c r="U799" s="51"/>
      <c r="V799" s="51"/>
      <c r="W799" s="51"/>
      <c r="X799" s="51"/>
      <c r="Y799" s="51"/>
      <c r="Z799" s="51"/>
      <c r="AA799" s="51"/>
      <c r="AB799" s="51"/>
    </row>
    <row r="800" customFormat="false" ht="15.75" hidden="false" customHeight="false" outlineLevel="0" collapsed="false">
      <c r="A800" s="51"/>
      <c r="B800" s="51"/>
      <c r="C800" s="6"/>
      <c r="D800" s="49"/>
      <c r="E800" s="51"/>
      <c r="F800" s="6"/>
      <c r="G800" s="6"/>
      <c r="H800" s="6"/>
      <c r="I800" s="6"/>
      <c r="J800" s="6"/>
      <c r="K800" s="51"/>
      <c r="L800" s="51"/>
      <c r="M800" s="51"/>
      <c r="N800" s="51"/>
      <c r="O800" s="51"/>
      <c r="P800" s="51"/>
      <c r="Q800" s="51"/>
      <c r="R800" s="51"/>
      <c r="S800" s="51"/>
      <c r="T800" s="51"/>
      <c r="U800" s="51"/>
      <c r="V800" s="51"/>
      <c r="W800" s="51"/>
      <c r="X800" s="51"/>
      <c r="Y800" s="51"/>
      <c r="Z800" s="51"/>
      <c r="AA800" s="51"/>
      <c r="AB800" s="51"/>
    </row>
    <row r="801" customFormat="false" ht="15.75" hidden="false" customHeight="false" outlineLevel="0" collapsed="false">
      <c r="A801" s="51"/>
      <c r="B801" s="51"/>
      <c r="C801" s="6"/>
      <c r="D801" s="49"/>
      <c r="E801" s="51"/>
      <c r="F801" s="6"/>
      <c r="G801" s="6"/>
      <c r="H801" s="6"/>
      <c r="I801" s="6"/>
      <c r="J801" s="6"/>
      <c r="K801" s="51"/>
      <c r="L801" s="51"/>
      <c r="M801" s="51"/>
      <c r="N801" s="51"/>
      <c r="O801" s="51"/>
      <c r="P801" s="51"/>
      <c r="Q801" s="51"/>
      <c r="R801" s="51"/>
      <c r="S801" s="51"/>
      <c r="T801" s="51"/>
      <c r="U801" s="51"/>
      <c r="V801" s="51"/>
      <c r="W801" s="51"/>
      <c r="X801" s="51"/>
      <c r="Y801" s="51"/>
      <c r="Z801" s="51"/>
      <c r="AA801" s="51"/>
      <c r="AB801" s="51"/>
    </row>
    <row r="802" customFormat="false" ht="15.75" hidden="false" customHeight="false" outlineLevel="0" collapsed="false">
      <c r="A802" s="51"/>
      <c r="B802" s="51"/>
      <c r="C802" s="6"/>
      <c r="D802" s="49"/>
      <c r="E802" s="51"/>
      <c r="F802" s="6"/>
      <c r="G802" s="6"/>
      <c r="H802" s="6"/>
      <c r="I802" s="6"/>
      <c r="J802" s="6"/>
      <c r="K802" s="51"/>
      <c r="L802" s="51"/>
      <c r="M802" s="51"/>
      <c r="N802" s="51"/>
      <c r="O802" s="51"/>
      <c r="P802" s="51"/>
      <c r="Q802" s="51"/>
      <c r="R802" s="51"/>
      <c r="S802" s="51"/>
      <c r="T802" s="51"/>
      <c r="U802" s="51"/>
      <c r="V802" s="51"/>
      <c r="W802" s="51"/>
      <c r="X802" s="51"/>
      <c r="Y802" s="51"/>
      <c r="Z802" s="51"/>
      <c r="AA802" s="51"/>
      <c r="AB802" s="51"/>
    </row>
    <row r="803" customFormat="false" ht="15.75" hidden="false" customHeight="false" outlineLevel="0" collapsed="false">
      <c r="A803" s="51"/>
      <c r="B803" s="51"/>
      <c r="C803" s="6"/>
      <c r="D803" s="49"/>
      <c r="E803" s="51"/>
      <c r="F803" s="6"/>
      <c r="G803" s="6"/>
      <c r="H803" s="6"/>
      <c r="I803" s="6"/>
      <c r="J803" s="6"/>
      <c r="K803" s="51"/>
      <c r="L803" s="51"/>
      <c r="M803" s="51"/>
      <c r="N803" s="51"/>
      <c r="O803" s="51"/>
      <c r="P803" s="51"/>
      <c r="Q803" s="51"/>
      <c r="R803" s="51"/>
      <c r="S803" s="51"/>
      <c r="T803" s="51"/>
      <c r="U803" s="51"/>
      <c r="V803" s="51"/>
      <c r="W803" s="51"/>
      <c r="X803" s="51"/>
      <c r="Y803" s="51"/>
      <c r="Z803" s="51"/>
      <c r="AA803" s="51"/>
      <c r="AB803" s="51"/>
    </row>
    <row r="804" customFormat="false" ht="15.75" hidden="false" customHeight="false" outlineLevel="0" collapsed="false">
      <c r="A804" s="51"/>
      <c r="B804" s="51"/>
      <c r="C804" s="6"/>
      <c r="D804" s="49"/>
      <c r="E804" s="51"/>
      <c r="F804" s="6"/>
      <c r="G804" s="6"/>
      <c r="H804" s="6"/>
      <c r="I804" s="6"/>
      <c r="J804" s="6"/>
      <c r="K804" s="51"/>
      <c r="L804" s="51"/>
      <c r="M804" s="51"/>
      <c r="N804" s="51"/>
      <c r="O804" s="51"/>
      <c r="P804" s="51"/>
      <c r="Q804" s="51"/>
      <c r="R804" s="51"/>
      <c r="S804" s="51"/>
      <c r="T804" s="51"/>
      <c r="U804" s="51"/>
      <c r="V804" s="51"/>
      <c r="W804" s="51"/>
      <c r="X804" s="51"/>
      <c r="Y804" s="51"/>
      <c r="Z804" s="51"/>
      <c r="AA804" s="51"/>
      <c r="AB804" s="51"/>
    </row>
    <row r="805" customFormat="false" ht="15.75" hidden="false" customHeight="false" outlineLevel="0" collapsed="false">
      <c r="A805" s="51"/>
      <c r="B805" s="51"/>
      <c r="C805" s="6"/>
      <c r="D805" s="49"/>
      <c r="E805" s="51"/>
      <c r="F805" s="6"/>
      <c r="G805" s="6"/>
      <c r="H805" s="6"/>
      <c r="I805" s="6"/>
      <c r="J805" s="6"/>
      <c r="K805" s="51"/>
      <c r="L805" s="51"/>
      <c r="M805" s="51"/>
      <c r="N805" s="51"/>
      <c r="O805" s="51"/>
      <c r="P805" s="51"/>
      <c r="Q805" s="51"/>
      <c r="R805" s="51"/>
      <c r="S805" s="51"/>
      <c r="T805" s="51"/>
      <c r="U805" s="51"/>
      <c r="V805" s="51"/>
      <c r="W805" s="51"/>
      <c r="X805" s="51"/>
      <c r="Y805" s="51"/>
      <c r="Z805" s="51"/>
      <c r="AA805" s="51"/>
      <c r="AB805" s="51"/>
    </row>
    <row r="806" customFormat="false" ht="15.75" hidden="false" customHeight="false" outlineLevel="0" collapsed="false">
      <c r="A806" s="51"/>
      <c r="B806" s="51"/>
      <c r="C806" s="6"/>
      <c r="D806" s="49"/>
      <c r="E806" s="51"/>
      <c r="F806" s="6"/>
      <c r="G806" s="6"/>
      <c r="H806" s="6"/>
      <c r="I806" s="6"/>
      <c r="J806" s="6"/>
      <c r="K806" s="51"/>
      <c r="L806" s="51"/>
      <c r="M806" s="51"/>
      <c r="N806" s="51"/>
      <c r="O806" s="51"/>
      <c r="P806" s="51"/>
      <c r="Q806" s="51"/>
      <c r="R806" s="51"/>
      <c r="S806" s="51"/>
      <c r="T806" s="51"/>
      <c r="U806" s="51"/>
      <c r="V806" s="51"/>
      <c r="W806" s="51"/>
      <c r="X806" s="51"/>
      <c r="Y806" s="51"/>
      <c r="Z806" s="51"/>
      <c r="AA806" s="51"/>
      <c r="AB806" s="51"/>
    </row>
    <row r="807" customFormat="false" ht="15.75" hidden="false" customHeight="false" outlineLevel="0" collapsed="false">
      <c r="A807" s="51"/>
      <c r="B807" s="51"/>
      <c r="C807" s="6"/>
      <c r="D807" s="49"/>
      <c r="E807" s="51"/>
      <c r="F807" s="6"/>
      <c r="G807" s="6"/>
      <c r="H807" s="6"/>
      <c r="I807" s="6"/>
      <c r="J807" s="6"/>
      <c r="K807" s="51"/>
      <c r="L807" s="51"/>
      <c r="M807" s="51"/>
      <c r="N807" s="51"/>
      <c r="O807" s="51"/>
      <c r="P807" s="51"/>
      <c r="Q807" s="51"/>
      <c r="R807" s="51"/>
      <c r="S807" s="51"/>
      <c r="T807" s="51"/>
      <c r="U807" s="51"/>
      <c r="V807" s="51"/>
      <c r="W807" s="51"/>
      <c r="X807" s="51"/>
      <c r="Y807" s="51"/>
      <c r="Z807" s="51"/>
      <c r="AA807" s="51"/>
      <c r="AB807" s="51"/>
    </row>
    <row r="808" customFormat="false" ht="15.75" hidden="false" customHeight="false" outlineLevel="0" collapsed="false">
      <c r="A808" s="51"/>
      <c r="B808" s="51"/>
      <c r="C808" s="6"/>
      <c r="D808" s="49"/>
      <c r="E808" s="51"/>
      <c r="F808" s="6"/>
      <c r="G808" s="6"/>
      <c r="H808" s="6"/>
      <c r="I808" s="6"/>
      <c r="J808" s="6"/>
      <c r="K808" s="51"/>
      <c r="L808" s="51"/>
      <c r="M808" s="51"/>
      <c r="N808" s="51"/>
      <c r="O808" s="51"/>
      <c r="P808" s="51"/>
      <c r="Q808" s="51"/>
      <c r="R808" s="51"/>
      <c r="S808" s="51"/>
      <c r="T808" s="51"/>
      <c r="U808" s="51"/>
      <c r="V808" s="51"/>
      <c r="W808" s="51"/>
      <c r="X808" s="51"/>
      <c r="Y808" s="51"/>
      <c r="Z808" s="51"/>
      <c r="AA808" s="51"/>
      <c r="AB808" s="51"/>
    </row>
    <row r="809" customFormat="false" ht="15.75" hidden="false" customHeight="false" outlineLevel="0" collapsed="false">
      <c r="A809" s="51"/>
      <c r="B809" s="51"/>
      <c r="C809" s="6"/>
      <c r="D809" s="49"/>
      <c r="E809" s="51"/>
      <c r="F809" s="6"/>
      <c r="G809" s="6"/>
      <c r="H809" s="6"/>
      <c r="I809" s="6"/>
      <c r="J809" s="6"/>
      <c r="K809" s="51"/>
      <c r="L809" s="51"/>
      <c r="M809" s="51"/>
      <c r="N809" s="51"/>
      <c r="O809" s="51"/>
      <c r="P809" s="51"/>
      <c r="Q809" s="51"/>
      <c r="R809" s="51"/>
      <c r="S809" s="51"/>
      <c r="T809" s="51"/>
      <c r="U809" s="51"/>
      <c r="V809" s="51"/>
      <c r="W809" s="51"/>
      <c r="X809" s="51"/>
      <c r="Y809" s="51"/>
      <c r="Z809" s="51"/>
      <c r="AA809" s="51"/>
      <c r="AB809" s="51"/>
    </row>
    <row r="810" customFormat="false" ht="15.75" hidden="false" customHeight="false" outlineLevel="0" collapsed="false">
      <c r="A810" s="51"/>
      <c r="B810" s="51"/>
      <c r="C810" s="6"/>
      <c r="D810" s="49"/>
      <c r="E810" s="51"/>
      <c r="F810" s="6"/>
      <c r="G810" s="6"/>
      <c r="H810" s="6"/>
      <c r="I810" s="6"/>
      <c r="J810" s="6"/>
      <c r="K810" s="51"/>
      <c r="L810" s="51"/>
      <c r="M810" s="51"/>
      <c r="N810" s="51"/>
      <c r="O810" s="51"/>
      <c r="P810" s="51"/>
      <c r="Q810" s="51"/>
      <c r="R810" s="51"/>
      <c r="S810" s="51"/>
      <c r="T810" s="51"/>
      <c r="U810" s="51"/>
      <c r="V810" s="51"/>
      <c r="W810" s="51"/>
      <c r="X810" s="51"/>
      <c r="Y810" s="51"/>
      <c r="Z810" s="51"/>
      <c r="AA810" s="51"/>
      <c r="AB810" s="51"/>
    </row>
    <row r="811" customFormat="false" ht="15.75" hidden="false" customHeight="false" outlineLevel="0" collapsed="false">
      <c r="A811" s="51"/>
      <c r="B811" s="51"/>
      <c r="C811" s="6"/>
      <c r="D811" s="49"/>
      <c r="E811" s="51"/>
      <c r="F811" s="6"/>
      <c r="G811" s="6"/>
      <c r="H811" s="6"/>
      <c r="I811" s="6"/>
      <c r="J811" s="6"/>
      <c r="K811" s="51"/>
      <c r="L811" s="51"/>
      <c r="M811" s="51"/>
      <c r="N811" s="51"/>
      <c r="O811" s="51"/>
      <c r="P811" s="51"/>
      <c r="Q811" s="51"/>
      <c r="R811" s="51"/>
      <c r="S811" s="51"/>
      <c r="T811" s="51"/>
      <c r="U811" s="51"/>
      <c r="V811" s="51"/>
      <c r="W811" s="51"/>
      <c r="X811" s="51"/>
      <c r="Y811" s="51"/>
      <c r="Z811" s="51"/>
      <c r="AA811" s="51"/>
      <c r="AB811" s="51"/>
    </row>
    <row r="812" customFormat="false" ht="15.75" hidden="false" customHeight="false" outlineLevel="0" collapsed="false">
      <c r="A812" s="51"/>
      <c r="B812" s="51"/>
      <c r="C812" s="6"/>
      <c r="D812" s="49"/>
      <c r="E812" s="51"/>
      <c r="F812" s="6"/>
      <c r="G812" s="6"/>
      <c r="H812" s="6"/>
      <c r="I812" s="6"/>
      <c r="J812" s="6"/>
      <c r="K812" s="51"/>
      <c r="L812" s="51"/>
      <c r="M812" s="51"/>
      <c r="N812" s="51"/>
      <c r="O812" s="51"/>
      <c r="P812" s="51"/>
      <c r="Q812" s="51"/>
      <c r="R812" s="51"/>
      <c r="S812" s="51"/>
      <c r="T812" s="51"/>
      <c r="U812" s="51"/>
      <c r="V812" s="51"/>
      <c r="W812" s="51"/>
      <c r="X812" s="51"/>
      <c r="Y812" s="51"/>
      <c r="Z812" s="51"/>
      <c r="AA812" s="51"/>
      <c r="AB812" s="51"/>
    </row>
    <row r="813" customFormat="false" ht="15.75" hidden="false" customHeight="false" outlineLevel="0" collapsed="false">
      <c r="A813" s="51"/>
      <c r="B813" s="51"/>
      <c r="C813" s="6"/>
      <c r="D813" s="49"/>
      <c r="E813" s="51"/>
      <c r="F813" s="6"/>
      <c r="G813" s="6"/>
      <c r="H813" s="6"/>
      <c r="I813" s="6"/>
      <c r="J813" s="6"/>
      <c r="K813" s="51"/>
      <c r="L813" s="51"/>
      <c r="M813" s="51"/>
      <c r="N813" s="51"/>
      <c r="O813" s="51"/>
      <c r="P813" s="51"/>
      <c r="Q813" s="51"/>
      <c r="R813" s="51"/>
      <c r="S813" s="51"/>
      <c r="T813" s="51"/>
      <c r="U813" s="51"/>
      <c r="V813" s="51"/>
      <c r="W813" s="51"/>
      <c r="X813" s="51"/>
      <c r="Y813" s="51"/>
      <c r="Z813" s="51"/>
      <c r="AA813" s="51"/>
      <c r="AB813" s="51"/>
    </row>
    <row r="814" customFormat="false" ht="15.75" hidden="false" customHeight="false" outlineLevel="0" collapsed="false">
      <c r="A814" s="51"/>
      <c r="B814" s="51"/>
      <c r="C814" s="6"/>
      <c r="D814" s="49"/>
      <c r="E814" s="51"/>
      <c r="F814" s="6"/>
      <c r="G814" s="6"/>
      <c r="H814" s="6"/>
      <c r="I814" s="6"/>
      <c r="J814" s="6"/>
      <c r="K814" s="51"/>
      <c r="L814" s="51"/>
      <c r="M814" s="51"/>
      <c r="N814" s="51"/>
      <c r="O814" s="51"/>
      <c r="P814" s="51"/>
      <c r="Q814" s="51"/>
      <c r="R814" s="51"/>
      <c r="S814" s="51"/>
      <c r="T814" s="51"/>
      <c r="U814" s="51"/>
      <c r="V814" s="51"/>
      <c r="W814" s="51"/>
      <c r="X814" s="51"/>
      <c r="Y814" s="51"/>
      <c r="Z814" s="51"/>
      <c r="AA814" s="51"/>
      <c r="AB814" s="51"/>
    </row>
    <row r="815" customFormat="false" ht="15.75" hidden="false" customHeight="false" outlineLevel="0" collapsed="false">
      <c r="A815" s="51"/>
      <c r="B815" s="51"/>
      <c r="C815" s="6"/>
      <c r="D815" s="49"/>
      <c r="E815" s="51"/>
      <c r="F815" s="6"/>
      <c r="G815" s="6"/>
      <c r="H815" s="6"/>
      <c r="I815" s="6"/>
      <c r="J815" s="6"/>
      <c r="K815" s="51"/>
      <c r="L815" s="51"/>
      <c r="M815" s="51"/>
      <c r="N815" s="51"/>
      <c r="O815" s="51"/>
      <c r="P815" s="51"/>
      <c r="Q815" s="51"/>
      <c r="R815" s="51"/>
      <c r="S815" s="51"/>
      <c r="T815" s="51"/>
      <c r="U815" s="51"/>
      <c r="V815" s="51"/>
      <c r="W815" s="51"/>
      <c r="X815" s="51"/>
      <c r="Y815" s="51"/>
      <c r="Z815" s="51"/>
      <c r="AA815" s="51"/>
      <c r="AB815" s="51"/>
    </row>
    <row r="816" customFormat="false" ht="15.75" hidden="false" customHeight="false" outlineLevel="0" collapsed="false">
      <c r="A816" s="51"/>
      <c r="B816" s="51"/>
      <c r="C816" s="6"/>
      <c r="D816" s="49"/>
      <c r="E816" s="51"/>
      <c r="F816" s="6"/>
      <c r="G816" s="6"/>
      <c r="H816" s="6"/>
      <c r="I816" s="6"/>
      <c r="J816" s="6"/>
      <c r="K816" s="51"/>
      <c r="L816" s="51"/>
      <c r="M816" s="51"/>
      <c r="N816" s="51"/>
      <c r="O816" s="51"/>
      <c r="P816" s="51"/>
      <c r="Q816" s="51"/>
      <c r="R816" s="51"/>
      <c r="S816" s="51"/>
      <c r="T816" s="51"/>
      <c r="U816" s="51"/>
      <c r="V816" s="51"/>
      <c r="W816" s="51"/>
      <c r="X816" s="51"/>
      <c r="Y816" s="51"/>
      <c r="Z816" s="51"/>
      <c r="AA816" s="51"/>
      <c r="AB816" s="51"/>
    </row>
    <row r="817" customFormat="false" ht="15.75" hidden="false" customHeight="false" outlineLevel="0" collapsed="false">
      <c r="A817" s="51"/>
      <c r="B817" s="51"/>
      <c r="C817" s="6"/>
      <c r="D817" s="49"/>
      <c r="E817" s="51"/>
      <c r="F817" s="6"/>
      <c r="G817" s="6"/>
      <c r="H817" s="6"/>
      <c r="I817" s="6"/>
      <c r="J817" s="6"/>
      <c r="K817" s="51"/>
      <c r="L817" s="51"/>
      <c r="M817" s="51"/>
      <c r="N817" s="51"/>
      <c r="O817" s="51"/>
      <c r="P817" s="51"/>
      <c r="Q817" s="51"/>
      <c r="R817" s="51"/>
      <c r="S817" s="51"/>
      <c r="T817" s="51"/>
      <c r="U817" s="51"/>
      <c r="V817" s="51"/>
      <c r="W817" s="51"/>
      <c r="X817" s="51"/>
      <c r="Y817" s="51"/>
      <c r="Z817" s="51"/>
      <c r="AA817" s="51"/>
      <c r="AB817" s="51"/>
    </row>
    <row r="818" customFormat="false" ht="15.75" hidden="false" customHeight="false" outlineLevel="0" collapsed="false">
      <c r="A818" s="51"/>
      <c r="B818" s="51"/>
      <c r="C818" s="6"/>
      <c r="D818" s="49"/>
      <c r="E818" s="51"/>
      <c r="F818" s="6"/>
      <c r="G818" s="6"/>
      <c r="H818" s="6"/>
      <c r="I818" s="6"/>
      <c r="J818" s="6"/>
      <c r="K818" s="51"/>
      <c r="L818" s="51"/>
      <c r="M818" s="51"/>
      <c r="N818" s="51"/>
      <c r="O818" s="51"/>
      <c r="P818" s="51"/>
      <c r="Q818" s="51"/>
      <c r="R818" s="51"/>
      <c r="S818" s="51"/>
      <c r="T818" s="51"/>
      <c r="U818" s="51"/>
      <c r="V818" s="51"/>
      <c r="W818" s="51"/>
      <c r="X818" s="51"/>
      <c r="Y818" s="51"/>
      <c r="Z818" s="51"/>
      <c r="AA818" s="51"/>
      <c r="AB818" s="51"/>
    </row>
    <row r="819" customFormat="false" ht="15.75" hidden="false" customHeight="false" outlineLevel="0" collapsed="false">
      <c r="A819" s="51"/>
      <c r="B819" s="51"/>
      <c r="C819" s="6"/>
      <c r="D819" s="49"/>
      <c r="E819" s="51"/>
      <c r="F819" s="6"/>
      <c r="G819" s="6"/>
      <c r="H819" s="6"/>
      <c r="I819" s="6"/>
      <c r="J819" s="6"/>
      <c r="K819" s="51"/>
      <c r="L819" s="51"/>
      <c r="M819" s="51"/>
      <c r="N819" s="51"/>
      <c r="O819" s="51"/>
      <c r="P819" s="51"/>
      <c r="Q819" s="51"/>
      <c r="R819" s="51"/>
      <c r="S819" s="51"/>
      <c r="T819" s="51"/>
      <c r="U819" s="51"/>
      <c r="V819" s="51"/>
      <c r="W819" s="51"/>
      <c r="X819" s="51"/>
      <c r="Y819" s="51"/>
      <c r="Z819" s="51"/>
      <c r="AA819" s="51"/>
      <c r="AB819" s="51"/>
    </row>
    <row r="820" customFormat="false" ht="15.75" hidden="false" customHeight="false" outlineLevel="0" collapsed="false">
      <c r="A820" s="51"/>
      <c r="B820" s="51"/>
      <c r="C820" s="6"/>
      <c r="D820" s="49"/>
      <c r="E820" s="51"/>
      <c r="F820" s="6"/>
      <c r="G820" s="6"/>
      <c r="H820" s="6"/>
      <c r="I820" s="6"/>
      <c r="J820" s="6"/>
      <c r="K820" s="51"/>
      <c r="L820" s="51"/>
      <c r="M820" s="51"/>
      <c r="N820" s="51"/>
      <c r="O820" s="51"/>
      <c r="P820" s="51"/>
      <c r="Q820" s="51"/>
      <c r="R820" s="51"/>
      <c r="S820" s="51"/>
      <c r="T820" s="51"/>
      <c r="U820" s="51"/>
      <c r="V820" s="51"/>
      <c r="W820" s="51"/>
      <c r="X820" s="51"/>
      <c r="Y820" s="51"/>
      <c r="Z820" s="51"/>
      <c r="AA820" s="51"/>
      <c r="AB820" s="51"/>
    </row>
    <row r="821" customFormat="false" ht="15.75" hidden="false" customHeight="false" outlineLevel="0" collapsed="false">
      <c r="A821" s="51"/>
      <c r="B821" s="51"/>
      <c r="C821" s="6"/>
      <c r="D821" s="49"/>
      <c r="E821" s="51"/>
      <c r="F821" s="6"/>
      <c r="G821" s="6"/>
      <c r="H821" s="6"/>
      <c r="I821" s="6"/>
      <c r="J821" s="6"/>
      <c r="K821" s="51"/>
      <c r="L821" s="51"/>
      <c r="M821" s="51"/>
      <c r="N821" s="51"/>
      <c r="O821" s="51"/>
      <c r="P821" s="51"/>
      <c r="Q821" s="51"/>
      <c r="R821" s="51"/>
      <c r="S821" s="51"/>
      <c r="T821" s="51"/>
      <c r="U821" s="51"/>
      <c r="V821" s="51"/>
      <c r="W821" s="51"/>
      <c r="X821" s="51"/>
      <c r="Y821" s="51"/>
      <c r="Z821" s="51"/>
      <c r="AA821" s="51"/>
      <c r="AB821" s="51"/>
    </row>
    <row r="822" customFormat="false" ht="15.75" hidden="false" customHeight="false" outlineLevel="0" collapsed="false">
      <c r="A822" s="51"/>
      <c r="B822" s="51"/>
      <c r="C822" s="6"/>
      <c r="D822" s="49"/>
      <c r="E822" s="51"/>
      <c r="F822" s="6"/>
      <c r="G822" s="6"/>
      <c r="H822" s="6"/>
      <c r="I822" s="6"/>
      <c r="J822" s="6"/>
      <c r="K822" s="51"/>
      <c r="L822" s="51"/>
      <c r="M822" s="51"/>
      <c r="N822" s="51"/>
      <c r="O822" s="51"/>
      <c r="P822" s="51"/>
      <c r="Q822" s="51"/>
      <c r="R822" s="51"/>
      <c r="S822" s="51"/>
      <c r="T822" s="51"/>
      <c r="U822" s="51"/>
      <c r="V822" s="51"/>
      <c r="W822" s="51"/>
      <c r="X822" s="51"/>
      <c r="Y822" s="51"/>
      <c r="Z822" s="51"/>
      <c r="AA822" s="51"/>
      <c r="AB822" s="51"/>
    </row>
    <row r="823" customFormat="false" ht="15.75" hidden="false" customHeight="false" outlineLevel="0" collapsed="false">
      <c r="A823" s="51"/>
      <c r="B823" s="51"/>
      <c r="C823" s="6"/>
      <c r="D823" s="49"/>
      <c r="E823" s="51"/>
      <c r="F823" s="6"/>
      <c r="G823" s="6"/>
      <c r="H823" s="6"/>
      <c r="I823" s="6"/>
      <c r="J823" s="6"/>
      <c r="K823" s="51"/>
      <c r="L823" s="51"/>
      <c r="M823" s="51"/>
      <c r="N823" s="51"/>
      <c r="O823" s="51"/>
      <c r="P823" s="51"/>
      <c r="Q823" s="51"/>
      <c r="R823" s="51"/>
      <c r="S823" s="51"/>
      <c r="T823" s="51"/>
      <c r="U823" s="51"/>
      <c r="V823" s="51"/>
      <c r="W823" s="51"/>
      <c r="X823" s="51"/>
      <c r="Y823" s="51"/>
      <c r="Z823" s="51"/>
      <c r="AA823" s="51"/>
      <c r="AB823" s="51"/>
    </row>
    <row r="824" customFormat="false" ht="15.75" hidden="false" customHeight="false" outlineLevel="0" collapsed="false">
      <c r="A824" s="51"/>
      <c r="B824" s="51"/>
      <c r="C824" s="6"/>
      <c r="D824" s="49"/>
      <c r="E824" s="51"/>
      <c r="F824" s="6"/>
      <c r="G824" s="6"/>
      <c r="H824" s="6"/>
      <c r="I824" s="6"/>
      <c r="J824" s="6"/>
      <c r="K824" s="51"/>
      <c r="L824" s="51"/>
      <c r="M824" s="51"/>
      <c r="N824" s="51"/>
      <c r="O824" s="51"/>
      <c r="P824" s="51"/>
      <c r="Q824" s="51"/>
      <c r="R824" s="51"/>
      <c r="S824" s="51"/>
      <c r="T824" s="51"/>
      <c r="U824" s="51"/>
      <c r="V824" s="51"/>
      <c r="W824" s="51"/>
      <c r="X824" s="51"/>
      <c r="Y824" s="51"/>
      <c r="Z824" s="51"/>
      <c r="AA824" s="51"/>
      <c r="AB824" s="51"/>
    </row>
    <row r="825" customFormat="false" ht="15.75" hidden="false" customHeight="false" outlineLevel="0" collapsed="false">
      <c r="A825" s="51"/>
      <c r="B825" s="51"/>
      <c r="C825" s="6"/>
      <c r="D825" s="49"/>
      <c r="E825" s="51"/>
      <c r="F825" s="6"/>
      <c r="G825" s="6"/>
      <c r="H825" s="6"/>
      <c r="I825" s="6"/>
      <c r="J825" s="6"/>
      <c r="K825" s="51"/>
      <c r="L825" s="51"/>
      <c r="M825" s="51"/>
      <c r="N825" s="51"/>
      <c r="O825" s="51"/>
      <c r="P825" s="51"/>
      <c r="Q825" s="51"/>
      <c r="R825" s="51"/>
      <c r="S825" s="51"/>
      <c r="T825" s="51"/>
      <c r="U825" s="51"/>
      <c r="V825" s="51"/>
      <c r="W825" s="51"/>
      <c r="X825" s="51"/>
      <c r="Y825" s="51"/>
      <c r="Z825" s="51"/>
      <c r="AA825" s="51"/>
      <c r="AB825" s="51"/>
    </row>
    <row r="826" customFormat="false" ht="15.75" hidden="false" customHeight="false" outlineLevel="0" collapsed="false">
      <c r="A826" s="51"/>
      <c r="B826" s="51"/>
      <c r="C826" s="6"/>
      <c r="D826" s="49"/>
      <c r="E826" s="51"/>
      <c r="F826" s="6"/>
      <c r="G826" s="6"/>
      <c r="H826" s="6"/>
      <c r="I826" s="6"/>
      <c r="J826" s="6"/>
      <c r="K826" s="51"/>
      <c r="L826" s="51"/>
      <c r="M826" s="51"/>
      <c r="N826" s="51"/>
      <c r="O826" s="51"/>
      <c r="P826" s="51"/>
      <c r="Q826" s="51"/>
      <c r="R826" s="51"/>
      <c r="S826" s="51"/>
      <c r="T826" s="51"/>
      <c r="U826" s="51"/>
      <c r="V826" s="51"/>
      <c r="W826" s="51"/>
      <c r="X826" s="51"/>
      <c r="Y826" s="51"/>
      <c r="Z826" s="51"/>
      <c r="AA826" s="51"/>
      <c r="AB826" s="51"/>
    </row>
    <row r="827" customFormat="false" ht="15.75" hidden="false" customHeight="false" outlineLevel="0" collapsed="false">
      <c r="A827" s="51"/>
      <c r="B827" s="51"/>
      <c r="C827" s="6"/>
      <c r="D827" s="49"/>
      <c r="E827" s="51"/>
      <c r="F827" s="6"/>
      <c r="G827" s="6"/>
      <c r="H827" s="6"/>
      <c r="I827" s="6"/>
      <c r="J827" s="6"/>
      <c r="K827" s="51"/>
      <c r="L827" s="51"/>
      <c r="M827" s="51"/>
      <c r="N827" s="51"/>
      <c r="O827" s="51"/>
      <c r="P827" s="51"/>
      <c r="Q827" s="51"/>
      <c r="R827" s="51"/>
      <c r="S827" s="51"/>
      <c r="T827" s="51"/>
      <c r="U827" s="51"/>
      <c r="V827" s="51"/>
      <c r="W827" s="51"/>
      <c r="X827" s="51"/>
      <c r="Y827" s="51"/>
      <c r="Z827" s="51"/>
      <c r="AA827" s="51"/>
      <c r="AB827" s="51"/>
    </row>
    <row r="828" customFormat="false" ht="15.75" hidden="false" customHeight="false" outlineLevel="0" collapsed="false">
      <c r="A828" s="51"/>
      <c r="B828" s="51"/>
      <c r="C828" s="6"/>
      <c r="D828" s="49"/>
      <c r="E828" s="51"/>
      <c r="F828" s="6"/>
      <c r="G828" s="6"/>
      <c r="H828" s="6"/>
      <c r="I828" s="6"/>
      <c r="J828" s="6"/>
      <c r="K828" s="51"/>
      <c r="L828" s="51"/>
      <c r="M828" s="51"/>
      <c r="N828" s="51"/>
      <c r="O828" s="51"/>
      <c r="P828" s="51"/>
      <c r="Q828" s="51"/>
      <c r="R828" s="51"/>
      <c r="S828" s="51"/>
      <c r="T828" s="51"/>
      <c r="U828" s="51"/>
      <c r="V828" s="51"/>
      <c r="W828" s="51"/>
      <c r="X828" s="51"/>
      <c r="Y828" s="51"/>
      <c r="Z828" s="51"/>
      <c r="AA828" s="51"/>
      <c r="AB828" s="51"/>
    </row>
    <row r="829" customFormat="false" ht="15.75" hidden="false" customHeight="false" outlineLevel="0" collapsed="false">
      <c r="A829" s="51"/>
      <c r="B829" s="51"/>
      <c r="C829" s="6"/>
      <c r="D829" s="49"/>
      <c r="E829" s="51"/>
      <c r="F829" s="6"/>
      <c r="G829" s="6"/>
      <c r="H829" s="6"/>
      <c r="I829" s="6"/>
      <c r="J829" s="6"/>
      <c r="K829" s="51"/>
      <c r="L829" s="51"/>
      <c r="M829" s="51"/>
      <c r="N829" s="51"/>
      <c r="O829" s="51"/>
      <c r="P829" s="51"/>
      <c r="Q829" s="51"/>
      <c r="R829" s="51"/>
      <c r="S829" s="51"/>
      <c r="T829" s="51"/>
      <c r="U829" s="51"/>
      <c r="V829" s="51"/>
      <c r="W829" s="51"/>
      <c r="X829" s="51"/>
      <c r="Y829" s="51"/>
      <c r="Z829" s="51"/>
      <c r="AA829" s="51"/>
      <c r="AB829" s="51"/>
    </row>
    <row r="830" customFormat="false" ht="15.75" hidden="false" customHeight="false" outlineLevel="0" collapsed="false">
      <c r="A830" s="51"/>
      <c r="B830" s="51"/>
      <c r="C830" s="6"/>
      <c r="D830" s="49"/>
      <c r="E830" s="51"/>
      <c r="F830" s="6"/>
      <c r="G830" s="6"/>
      <c r="H830" s="6"/>
      <c r="I830" s="6"/>
      <c r="J830" s="6"/>
      <c r="K830" s="51"/>
      <c r="L830" s="51"/>
      <c r="M830" s="51"/>
      <c r="N830" s="51"/>
      <c r="O830" s="51"/>
      <c r="P830" s="51"/>
      <c r="Q830" s="51"/>
      <c r="R830" s="51"/>
      <c r="S830" s="51"/>
      <c r="T830" s="51"/>
      <c r="U830" s="51"/>
      <c r="V830" s="51"/>
      <c r="W830" s="51"/>
      <c r="X830" s="51"/>
      <c r="Y830" s="51"/>
      <c r="Z830" s="51"/>
      <c r="AA830" s="51"/>
      <c r="AB830" s="51"/>
    </row>
    <row r="831" customFormat="false" ht="15.75" hidden="false" customHeight="false" outlineLevel="0" collapsed="false">
      <c r="A831" s="51"/>
      <c r="B831" s="51"/>
      <c r="C831" s="6"/>
      <c r="D831" s="49"/>
      <c r="E831" s="51"/>
      <c r="F831" s="6"/>
      <c r="G831" s="6"/>
      <c r="H831" s="6"/>
      <c r="I831" s="6"/>
      <c r="J831" s="6"/>
      <c r="K831" s="51"/>
      <c r="L831" s="51"/>
      <c r="M831" s="51"/>
      <c r="N831" s="51"/>
      <c r="O831" s="51"/>
      <c r="P831" s="51"/>
      <c r="Q831" s="51"/>
      <c r="R831" s="51"/>
      <c r="S831" s="51"/>
      <c r="T831" s="51"/>
      <c r="U831" s="51"/>
      <c r="V831" s="51"/>
      <c r="W831" s="51"/>
      <c r="X831" s="51"/>
      <c r="Y831" s="51"/>
      <c r="Z831" s="51"/>
      <c r="AA831" s="51"/>
      <c r="AB831" s="51"/>
    </row>
    <row r="832" customFormat="false" ht="15.75" hidden="false" customHeight="false" outlineLevel="0" collapsed="false">
      <c r="A832" s="51"/>
      <c r="B832" s="51"/>
      <c r="C832" s="6"/>
      <c r="D832" s="49"/>
      <c r="E832" s="51"/>
      <c r="F832" s="6"/>
      <c r="G832" s="6"/>
      <c r="H832" s="6"/>
      <c r="I832" s="6"/>
      <c r="J832" s="6"/>
      <c r="K832" s="51"/>
      <c r="L832" s="51"/>
      <c r="M832" s="51"/>
      <c r="N832" s="51"/>
      <c r="O832" s="51"/>
      <c r="P832" s="51"/>
      <c r="Q832" s="51"/>
      <c r="R832" s="51"/>
      <c r="S832" s="51"/>
      <c r="T832" s="51"/>
      <c r="U832" s="51"/>
      <c r="V832" s="51"/>
      <c r="W832" s="51"/>
      <c r="X832" s="51"/>
      <c r="Y832" s="51"/>
      <c r="Z832" s="51"/>
      <c r="AA832" s="51"/>
      <c r="AB832" s="51"/>
    </row>
    <row r="833" customFormat="false" ht="15.75" hidden="false" customHeight="false" outlineLevel="0" collapsed="false">
      <c r="A833" s="51"/>
      <c r="B833" s="51"/>
      <c r="C833" s="6"/>
      <c r="D833" s="49"/>
      <c r="E833" s="51"/>
      <c r="F833" s="6"/>
      <c r="G833" s="6"/>
      <c r="H833" s="6"/>
      <c r="I833" s="6"/>
      <c r="J833" s="6"/>
      <c r="K833" s="51"/>
      <c r="L833" s="51"/>
      <c r="M833" s="51"/>
      <c r="N833" s="51"/>
      <c r="O833" s="51"/>
      <c r="P833" s="51"/>
      <c r="Q833" s="51"/>
      <c r="R833" s="51"/>
      <c r="S833" s="51"/>
      <c r="T833" s="51"/>
      <c r="U833" s="51"/>
      <c r="V833" s="51"/>
      <c r="W833" s="51"/>
      <c r="X833" s="51"/>
      <c r="Y833" s="51"/>
      <c r="Z833" s="51"/>
      <c r="AA833" s="51"/>
      <c r="AB833" s="51"/>
    </row>
    <row r="834" customFormat="false" ht="15.75" hidden="false" customHeight="false" outlineLevel="0" collapsed="false">
      <c r="A834" s="51"/>
      <c r="B834" s="51"/>
      <c r="C834" s="6"/>
      <c r="D834" s="49"/>
      <c r="E834" s="51"/>
      <c r="F834" s="6"/>
      <c r="G834" s="6"/>
      <c r="H834" s="6"/>
      <c r="I834" s="6"/>
      <c r="J834" s="6"/>
      <c r="K834" s="51"/>
      <c r="L834" s="51"/>
      <c r="M834" s="51"/>
      <c r="N834" s="51"/>
      <c r="O834" s="51"/>
      <c r="P834" s="51"/>
      <c r="Q834" s="51"/>
      <c r="R834" s="51"/>
      <c r="S834" s="51"/>
      <c r="T834" s="51"/>
      <c r="U834" s="51"/>
      <c r="V834" s="51"/>
      <c r="W834" s="51"/>
      <c r="X834" s="51"/>
      <c r="Y834" s="51"/>
      <c r="Z834" s="51"/>
      <c r="AA834" s="51"/>
      <c r="AB834" s="51"/>
    </row>
    <row r="835" customFormat="false" ht="15.75" hidden="false" customHeight="false" outlineLevel="0" collapsed="false">
      <c r="A835" s="51"/>
      <c r="B835" s="51"/>
      <c r="C835" s="6"/>
      <c r="D835" s="49"/>
      <c r="E835" s="51"/>
      <c r="F835" s="6"/>
      <c r="G835" s="6"/>
      <c r="H835" s="6"/>
      <c r="I835" s="6"/>
      <c r="J835" s="6"/>
      <c r="K835" s="51"/>
      <c r="L835" s="51"/>
      <c r="M835" s="51"/>
      <c r="N835" s="51"/>
      <c r="O835" s="51"/>
      <c r="P835" s="51"/>
      <c r="Q835" s="51"/>
      <c r="R835" s="51"/>
      <c r="S835" s="51"/>
      <c r="T835" s="51"/>
      <c r="U835" s="51"/>
      <c r="V835" s="51"/>
      <c r="W835" s="51"/>
      <c r="X835" s="51"/>
      <c r="Y835" s="51"/>
      <c r="Z835" s="51"/>
      <c r="AA835" s="51"/>
      <c r="AB835" s="51"/>
    </row>
    <row r="836" customFormat="false" ht="15.75" hidden="false" customHeight="false" outlineLevel="0" collapsed="false">
      <c r="A836" s="51"/>
      <c r="B836" s="51"/>
      <c r="C836" s="6"/>
      <c r="D836" s="49"/>
      <c r="E836" s="51"/>
      <c r="F836" s="6"/>
      <c r="G836" s="6"/>
      <c r="H836" s="6"/>
      <c r="I836" s="6"/>
      <c r="J836" s="6"/>
      <c r="K836" s="51"/>
      <c r="L836" s="51"/>
      <c r="M836" s="51"/>
      <c r="N836" s="51"/>
      <c r="O836" s="51"/>
      <c r="P836" s="51"/>
      <c r="Q836" s="51"/>
      <c r="R836" s="51"/>
      <c r="S836" s="51"/>
      <c r="T836" s="51"/>
      <c r="U836" s="51"/>
      <c r="V836" s="51"/>
      <c r="W836" s="51"/>
      <c r="X836" s="51"/>
      <c r="Y836" s="51"/>
      <c r="Z836" s="51"/>
      <c r="AA836" s="51"/>
      <c r="AB836" s="51"/>
    </row>
    <row r="837" customFormat="false" ht="15.75" hidden="false" customHeight="false" outlineLevel="0" collapsed="false">
      <c r="A837" s="51"/>
      <c r="B837" s="51"/>
      <c r="C837" s="6"/>
      <c r="D837" s="49"/>
      <c r="E837" s="51"/>
      <c r="F837" s="6"/>
      <c r="G837" s="6"/>
      <c r="H837" s="6"/>
      <c r="I837" s="6"/>
      <c r="J837" s="6"/>
      <c r="K837" s="51"/>
      <c r="L837" s="51"/>
      <c r="M837" s="51"/>
      <c r="N837" s="51"/>
      <c r="O837" s="51"/>
      <c r="P837" s="51"/>
      <c r="Q837" s="51"/>
      <c r="R837" s="51"/>
      <c r="S837" s="51"/>
      <c r="T837" s="51"/>
      <c r="U837" s="51"/>
      <c r="V837" s="51"/>
      <c r="W837" s="51"/>
      <c r="X837" s="51"/>
      <c r="Y837" s="51"/>
      <c r="Z837" s="51"/>
      <c r="AA837" s="51"/>
      <c r="AB837" s="51"/>
    </row>
    <row r="838" customFormat="false" ht="15.75" hidden="false" customHeight="false" outlineLevel="0" collapsed="false">
      <c r="A838" s="51"/>
      <c r="B838" s="51"/>
      <c r="C838" s="6"/>
      <c r="D838" s="49"/>
      <c r="E838" s="51"/>
      <c r="F838" s="6"/>
      <c r="G838" s="6"/>
      <c r="H838" s="6"/>
      <c r="I838" s="6"/>
      <c r="J838" s="6"/>
      <c r="K838" s="51"/>
      <c r="L838" s="51"/>
      <c r="M838" s="51"/>
      <c r="N838" s="51"/>
      <c r="O838" s="51"/>
      <c r="P838" s="51"/>
      <c r="Q838" s="51"/>
      <c r="R838" s="51"/>
      <c r="S838" s="51"/>
      <c r="T838" s="51"/>
      <c r="U838" s="51"/>
      <c r="V838" s="51"/>
      <c r="W838" s="51"/>
      <c r="X838" s="51"/>
      <c r="Y838" s="51"/>
      <c r="Z838" s="51"/>
      <c r="AA838" s="51"/>
      <c r="AB838" s="51"/>
    </row>
    <row r="839" customFormat="false" ht="15.75" hidden="false" customHeight="false" outlineLevel="0" collapsed="false">
      <c r="A839" s="51"/>
      <c r="B839" s="51"/>
      <c r="C839" s="6"/>
      <c r="D839" s="49"/>
      <c r="E839" s="51"/>
      <c r="F839" s="6"/>
      <c r="G839" s="6"/>
      <c r="H839" s="6"/>
      <c r="I839" s="6"/>
      <c r="J839" s="6"/>
      <c r="K839" s="51"/>
      <c r="L839" s="51"/>
      <c r="M839" s="51"/>
      <c r="N839" s="51"/>
      <c r="O839" s="51"/>
      <c r="P839" s="51"/>
      <c r="Q839" s="51"/>
      <c r="R839" s="51"/>
      <c r="S839" s="51"/>
      <c r="T839" s="51"/>
      <c r="U839" s="51"/>
      <c r="V839" s="51"/>
      <c r="W839" s="51"/>
      <c r="X839" s="51"/>
      <c r="Y839" s="51"/>
      <c r="Z839" s="51"/>
      <c r="AA839" s="51"/>
      <c r="AB839" s="51"/>
    </row>
    <row r="840" customFormat="false" ht="15.75" hidden="false" customHeight="false" outlineLevel="0" collapsed="false">
      <c r="A840" s="51"/>
      <c r="B840" s="51"/>
      <c r="C840" s="6"/>
      <c r="D840" s="49"/>
      <c r="E840" s="51"/>
      <c r="F840" s="6"/>
      <c r="G840" s="6"/>
      <c r="H840" s="6"/>
      <c r="I840" s="6"/>
      <c r="J840" s="6"/>
      <c r="K840" s="51"/>
      <c r="L840" s="51"/>
      <c r="M840" s="51"/>
      <c r="N840" s="51"/>
      <c r="O840" s="51"/>
      <c r="P840" s="51"/>
      <c r="Q840" s="51"/>
      <c r="R840" s="51"/>
      <c r="S840" s="51"/>
      <c r="T840" s="51"/>
      <c r="U840" s="51"/>
      <c r="V840" s="51"/>
      <c r="W840" s="51"/>
      <c r="X840" s="51"/>
      <c r="Y840" s="51"/>
      <c r="Z840" s="51"/>
      <c r="AA840" s="51"/>
      <c r="AB840" s="51"/>
    </row>
    <row r="841" customFormat="false" ht="15.75" hidden="false" customHeight="false" outlineLevel="0" collapsed="false">
      <c r="A841" s="51"/>
      <c r="B841" s="51"/>
      <c r="C841" s="6"/>
      <c r="D841" s="49"/>
      <c r="E841" s="51"/>
      <c r="F841" s="6"/>
      <c r="G841" s="6"/>
      <c r="H841" s="6"/>
      <c r="I841" s="6"/>
      <c r="J841" s="6"/>
      <c r="K841" s="51"/>
      <c r="L841" s="51"/>
      <c r="M841" s="51"/>
      <c r="N841" s="51"/>
      <c r="O841" s="51"/>
      <c r="P841" s="51"/>
      <c r="Q841" s="51"/>
      <c r="R841" s="51"/>
      <c r="S841" s="51"/>
      <c r="T841" s="51"/>
      <c r="U841" s="51"/>
      <c r="V841" s="51"/>
      <c r="W841" s="51"/>
      <c r="X841" s="51"/>
      <c r="Y841" s="51"/>
      <c r="Z841" s="51"/>
      <c r="AA841" s="51"/>
      <c r="AB841" s="51"/>
    </row>
    <row r="842" customFormat="false" ht="15.75" hidden="false" customHeight="false" outlineLevel="0" collapsed="false">
      <c r="A842" s="51"/>
      <c r="B842" s="51"/>
      <c r="C842" s="6"/>
      <c r="D842" s="49"/>
      <c r="E842" s="51"/>
      <c r="F842" s="6"/>
      <c r="G842" s="6"/>
      <c r="H842" s="6"/>
      <c r="I842" s="6"/>
      <c r="J842" s="6"/>
      <c r="K842" s="51"/>
      <c r="L842" s="51"/>
      <c r="M842" s="51"/>
      <c r="N842" s="51"/>
      <c r="O842" s="51"/>
      <c r="P842" s="51"/>
      <c r="Q842" s="51"/>
      <c r="R842" s="51"/>
      <c r="S842" s="51"/>
      <c r="T842" s="51"/>
      <c r="U842" s="51"/>
      <c r="V842" s="51"/>
      <c r="W842" s="51"/>
      <c r="X842" s="51"/>
      <c r="Y842" s="51"/>
      <c r="Z842" s="51"/>
      <c r="AA842" s="51"/>
      <c r="AB842" s="51"/>
    </row>
    <row r="843" customFormat="false" ht="15.75" hidden="false" customHeight="false" outlineLevel="0" collapsed="false">
      <c r="A843" s="51"/>
      <c r="B843" s="51"/>
      <c r="C843" s="6"/>
      <c r="D843" s="49"/>
      <c r="E843" s="51"/>
      <c r="F843" s="6"/>
      <c r="G843" s="6"/>
      <c r="H843" s="6"/>
      <c r="I843" s="6"/>
      <c r="J843" s="6"/>
      <c r="K843" s="51"/>
      <c r="L843" s="51"/>
      <c r="M843" s="51"/>
      <c r="N843" s="51"/>
      <c r="O843" s="51"/>
      <c r="P843" s="51"/>
      <c r="Q843" s="51"/>
      <c r="R843" s="51"/>
      <c r="S843" s="51"/>
      <c r="T843" s="51"/>
      <c r="U843" s="51"/>
      <c r="V843" s="51"/>
      <c r="W843" s="51"/>
      <c r="X843" s="51"/>
      <c r="Y843" s="51"/>
      <c r="Z843" s="51"/>
      <c r="AA843" s="51"/>
      <c r="AB843" s="51"/>
    </row>
    <row r="844" customFormat="false" ht="15.75" hidden="false" customHeight="false" outlineLevel="0" collapsed="false">
      <c r="A844" s="51"/>
      <c r="B844" s="51"/>
      <c r="C844" s="6"/>
      <c r="D844" s="49"/>
      <c r="E844" s="51"/>
      <c r="F844" s="6"/>
      <c r="G844" s="6"/>
      <c r="H844" s="6"/>
      <c r="I844" s="6"/>
      <c r="J844" s="6"/>
      <c r="K844" s="51"/>
      <c r="L844" s="51"/>
      <c r="M844" s="51"/>
      <c r="N844" s="51"/>
      <c r="O844" s="51"/>
      <c r="P844" s="51"/>
      <c r="Q844" s="51"/>
      <c r="R844" s="51"/>
      <c r="S844" s="51"/>
      <c r="T844" s="51"/>
      <c r="U844" s="51"/>
      <c r="V844" s="51"/>
      <c r="W844" s="51"/>
      <c r="X844" s="51"/>
      <c r="Y844" s="51"/>
      <c r="Z844" s="51"/>
      <c r="AA844" s="51"/>
      <c r="AB844" s="51"/>
    </row>
    <row r="845" customFormat="false" ht="15.75" hidden="false" customHeight="false" outlineLevel="0" collapsed="false">
      <c r="A845" s="51"/>
      <c r="B845" s="51"/>
      <c r="C845" s="6"/>
      <c r="D845" s="49"/>
      <c r="E845" s="51"/>
      <c r="F845" s="6"/>
      <c r="G845" s="6"/>
      <c r="H845" s="6"/>
      <c r="I845" s="6"/>
      <c r="J845" s="6"/>
      <c r="K845" s="51"/>
      <c r="L845" s="51"/>
      <c r="M845" s="51"/>
      <c r="N845" s="51"/>
      <c r="O845" s="51"/>
      <c r="P845" s="51"/>
      <c r="Q845" s="51"/>
      <c r="R845" s="51"/>
      <c r="S845" s="51"/>
      <c r="T845" s="51"/>
      <c r="U845" s="51"/>
      <c r="V845" s="51"/>
      <c r="W845" s="51"/>
      <c r="X845" s="51"/>
      <c r="Y845" s="51"/>
      <c r="Z845" s="51"/>
      <c r="AA845" s="51"/>
      <c r="AB845" s="51"/>
    </row>
    <row r="846" customFormat="false" ht="15.75" hidden="false" customHeight="false" outlineLevel="0" collapsed="false">
      <c r="A846" s="51"/>
      <c r="B846" s="51"/>
      <c r="C846" s="6"/>
      <c r="D846" s="49"/>
      <c r="E846" s="51"/>
      <c r="F846" s="6"/>
      <c r="G846" s="6"/>
      <c r="H846" s="6"/>
      <c r="I846" s="6"/>
      <c r="J846" s="6"/>
      <c r="K846" s="51"/>
      <c r="L846" s="51"/>
      <c r="M846" s="51"/>
      <c r="N846" s="51"/>
      <c r="O846" s="51"/>
      <c r="P846" s="51"/>
      <c r="Q846" s="51"/>
      <c r="R846" s="51"/>
      <c r="S846" s="51"/>
      <c r="T846" s="51"/>
      <c r="U846" s="51"/>
      <c r="V846" s="51"/>
      <c r="W846" s="51"/>
      <c r="X846" s="51"/>
      <c r="Y846" s="51"/>
      <c r="Z846" s="51"/>
      <c r="AA846" s="51"/>
      <c r="AB846" s="51"/>
    </row>
    <row r="847" customFormat="false" ht="15.75" hidden="false" customHeight="false" outlineLevel="0" collapsed="false">
      <c r="A847" s="51"/>
      <c r="B847" s="51"/>
      <c r="C847" s="6"/>
      <c r="D847" s="49"/>
      <c r="E847" s="51"/>
      <c r="F847" s="6"/>
      <c r="G847" s="6"/>
      <c r="H847" s="6"/>
      <c r="I847" s="6"/>
      <c r="J847" s="6"/>
      <c r="K847" s="51"/>
      <c r="L847" s="51"/>
      <c r="M847" s="51"/>
      <c r="N847" s="51"/>
      <c r="O847" s="51"/>
      <c r="P847" s="51"/>
      <c r="Q847" s="51"/>
      <c r="R847" s="51"/>
      <c r="S847" s="51"/>
      <c r="T847" s="51"/>
      <c r="U847" s="51"/>
      <c r="V847" s="51"/>
      <c r="W847" s="51"/>
      <c r="X847" s="51"/>
      <c r="Y847" s="51"/>
      <c r="Z847" s="51"/>
      <c r="AA847" s="51"/>
      <c r="AB847" s="51"/>
    </row>
    <row r="848" customFormat="false" ht="15.75" hidden="false" customHeight="false" outlineLevel="0" collapsed="false">
      <c r="A848" s="51"/>
      <c r="B848" s="51"/>
      <c r="C848" s="6"/>
      <c r="D848" s="49"/>
      <c r="E848" s="51"/>
      <c r="F848" s="6"/>
      <c r="G848" s="6"/>
      <c r="H848" s="6"/>
      <c r="I848" s="6"/>
      <c r="J848" s="6"/>
      <c r="K848" s="51"/>
      <c r="L848" s="51"/>
      <c r="M848" s="51"/>
      <c r="N848" s="51"/>
      <c r="O848" s="51"/>
      <c r="P848" s="51"/>
      <c r="Q848" s="51"/>
      <c r="R848" s="51"/>
      <c r="S848" s="51"/>
      <c r="T848" s="51"/>
      <c r="U848" s="51"/>
      <c r="V848" s="51"/>
      <c r="W848" s="51"/>
      <c r="X848" s="51"/>
      <c r="Y848" s="51"/>
      <c r="Z848" s="51"/>
      <c r="AA848" s="51"/>
      <c r="AB848" s="51"/>
    </row>
    <row r="849" customFormat="false" ht="15.75" hidden="false" customHeight="false" outlineLevel="0" collapsed="false">
      <c r="A849" s="51"/>
      <c r="B849" s="51"/>
      <c r="C849" s="6"/>
      <c r="D849" s="49"/>
      <c r="E849" s="51"/>
      <c r="F849" s="6"/>
      <c r="G849" s="6"/>
      <c r="H849" s="6"/>
      <c r="I849" s="6"/>
      <c r="J849" s="6"/>
      <c r="K849" s="51"/>
      <c r="L849" s="51"/>
      <c r="M849" s="51"/>
      <c r="N849" s="51"/>
      <c r="O849" s="51"/>
      <c r="P849" s="51"/>
      <c r="Q849" s="51"/>
      <c r="R849" s="51"/>
      <c r="S849" s="51"/>
      <c r="T849" s="51"/>
      <c r="U849" s="51"/>
      <c r="V849" s="51"/>
      <c r="W849" s="51"/>
      <c r="X849" s="51"/>
      <c r="Y849" s="51"/>
      <c r="Z849" s="51"/>
      <c r="AA849" s="51"/>
      <c r="AB849" s="51"/>
    </row>
    <row r="850" customFormat="false" ht="15.75" hidden="false" customHeight="false" outlineLevel="0" collapsed="false">
      <c r="A850" s="51"/>
      <c r="B850" s="51"/>
      <c r="C850" s="6"/>
      <c r="D850" s="49"/>
      <c r="E850" s="51"/>
      <c r="F850" s="6"/>
      <c r="G850" s="6"/>
      <c r="H850" s="6"/>
      <c r="I850" s="6"/>
      <c r="J850" s="6"/>
      <c r="K850" s="51"/>
      <c r="L850" s="51"/>
      <c r="M850" s="51"/>
      <c r="N850" s="51"/>
      <c r="O850" s="51"/>
      <c r="P850" s="51"/>
      <c r="Q850" s="51"/>
      <c r="R850" s="51"/>
      <c r="S850" s="51"/>
      <c r="T850" s="51"/>
      <c r="U850" s="51"/>
      <c r="V850" s="51"/>
      <c r="W850" s="51"/>
      <c r="X850" s="51"/>
      <c r="Y850" s="51"/>
      <c r="Z850" s="51"/>
      <c r="AA850" s="51"/>
      <c r="AB850" s="51"/>
    </row>
    <row r="851" customFormat="false" ht="15.75" hidden="false" customHeight="false" outlineLevel="0" collapsed="false">
      <c r="A851" s="51"/>
      <c r="B851" s="51"/>
      <c r="C851" s="6"/>
      <c r="D851" s="49"/>
      <c r="E851" s="51"/>
      <c r="F851" s="6"/>
      <c r="G851" s="6"/>
      <c r="H851" s="6"/>
      <c r="I851" s="6"/>
      <c r="J851" s="6"/>
      <c r="K851" s="51"/>
      <c r="L851" s="51"/>
      <c r="M851" s="51"/>
      <c r="N851" s="51"/>
      <c r="O851" s="51"/>
      <c r="P851" s="51"/>
      <c r="Q851" s="51"/>
      <c r="R851" s="51"/>
      <c r="S851" s="51"/>
      <c r="T851" s="51"/>
      <c r="U851" s="51"/>
      <c r="V851" s="51"/>
      <c r="W851" s="51"/>
      <c r="X851" s="51"/>
      <c r="Y851" s="51"/>
      <c r="Z851" s="51"/>
      <c r="AA851" s="51"/>
      <c r="AB851" s="51"/>
    </row>
    <row r="852" customFormat="false" ht="15.75" hidden="false" customHeight="false" outlineLevel="0" collapsed="false">
      <c r="A852" s="51"/>
      <c r="B852" s="51"/>
      <c r="C852" s="6"/>
      <c r="D852" s="49"/>
      <c r="E852" s="51"/>
      <c r="F852" s="6"/>
      <c r="G852" s="6"/>
      <c r="H852" s="6"/>
      <c r="I852" s="6"/>
      <c r="J852" s="6"/>
      <c r="K852" s="51"/>
      <c r="L852" s="51"/>
      <c r="M852" s="51"/>
      <c r="N852" s="51"/>
      <c r="O852" s="51"/>
      <c r="P852" s="51"/>
      <c r="Q852" s="51"/>
      <c r="R852" s="51"/>
      <c r="S852" s="51"/>
      <c r="T852" s="51"/>
      <c r="U852" s="51"/>
      <c r="V852" s="51"/>
      <c r="W852" s="51"/>
      <c r="X852" s="51"/>
      <c r="Y852" s="51"/>
      <c r="Z852" s="51"/>
      <c r="AA852" s="51"/>
      <c r="AB852" s="51"/>
    </row>
    <row r="853" customFormat="false" ht="15.75" hidden="false" customHeight="false" outlineLevel="0" collapsed="false">
      <c r="A853" s="51"/>
      <c r="B853" s="51"/>
      <c r="C853" s="6"/>
      <c r="D853" s="49"/>
      <c r="E853" s="51"/>
      <c r="F853" s="6"/>
      <c r="G853" s="6"/>
      <c r="H853" s="6"/>
      <c r="I853" s="6"/>
      <c r="J853" s="6"/>
      <c r="K853" s="51"/>
      <c r="L853" s="51"/>
      <c r="M853" s="51"/>
      <c r="N853" s="51"/>
      <c r="O853" s="51"/>
      <c r="P853" s="51"/>
      <c r="Q853" s="51"/>
      <c r="R853" s="51"/>
      <c r="S853" s="51"/>
      <c r="T853" s="51"/>
      <c r="U853" s="51"/>
      <c r="V853" s="51"/>
      <c r="W853" s="51"/>
      <c r="X853" s="51"/>
      <c r="Y853" s="51"/>
      <c r="Z853" s="51"/>
      <c r="AA853" s="51"/>
      <c r="AB853" s="51"/>
    </row>
    <row r="854" customFormat="false" ht="15.75" hidden="false" customHeight="false" outlineLevel="0" collapsed="false">
      <c r="A854" s="51"/>
      <c r="B854" s="51"/>
      <c r="C854" s="6"/>
      <c r="D854" s="49"/>
      <c r="E854" s="51"/>
      <c r="F854" s="6"/>
      <c r="G854" s="6"/>
      <c r="H854" s="6"/>
      <c r="I854" s="6"/>
      <c r="J854" s="6"/>
      <c r="K854" s="51"/>
      <c r="L854" s="51"/>
      <c r="M854" s="51"/>
      <c r="N854" s="51"/>
      <c r="O854" s="51"/>
      <c r="P854" s="51"/>
      <c r="Q854" s="51"/>
      <c r="R854" s="51"/>
      <c r="S854" s="51"/>
      <c r="T854" s="51"/>
      <c r="U854" s="51"/>
      <c r="V854" s="51"/>
      <c r="W854" s="51"/>
      <c r="X854" s="51"/>
      <c r="Y854" s="51"/>
      <c r="Z854" s="51"/>
      <c r="AA854" s="51"/>
      <c r="AB854" s="51"/>
    </row>
    <row r="855" customFormat="false" ht="15.75" hidden="false" customHeight="false" outlineLevel="0" collapsed="false">
      <c r="A855" s="51"/>
      <c r="B855" s="51"/>
      <c r="C855" s="6"/>
      <c r="D855" s="49"/>
      <c r="E855" s="51"/>
      <c r="F855" s="6"/>
      <c r="G855" s="6"/>
      <c r="H855" s="6"/>
      <c r="I855" s="6"/>
      <c r="J855" s="6"/>
      <c r="K855" s="51"/>
      <c r="L855" s="51"/>
      <c r="M855" s="51"/>
      <c r="N855" s="51"/>
      <c r="O855" s="51"/>
      <c r="P855" s="51"/>
      <c r="Q855" s="51"/>
      <c r="R855" s="51"/>
      <c r="S855" s="51"/>
      <c r="T855" s="51"/>
      <c r="U855" s="51"/>
      <c r="V855" s="51"/>
      <c r="W855" s="51"/>
      <c r="X855" s="51"/>
      <c r="Y855" s="51"/>
      <c r="Z855" s="51"/>
      <c r="AA855" s="51"/>
      <c r="AB855" s="51"/>
    </row>
    <row r="856" customFormat="false" ht="15.75" hidden="false" customHeight="false" outlineLevel="0" collapsed="false">
      <c r="A856" s="51"/>
      <c r="B856" s="51"/>
      <c r="C856" s="6"/>
      <c r="D856" s="49"/>
      <c r="E856" s="51"/>
      <c r="F856" s="6"/>
      <c r="G856" s="6"/>
      <c r="H856" s="6"/>
      <c r="I856" s="6"/>
      <c r="J856" s="6"/>
      <c r="K856" s="51"/>
      <c r="L856" s="51"/>
      <c r="M856" s="51"/>
      <c r="N856" s="51"/>
      <c r="O856" s="51"/>
      <c r="P856" s="51"/>
      <c r="Q856" s="51"/>
      <c r="R856" s="51"/>
      <c r="S856" s="51"/>
      <c r="T856" s="51"/>
      <c r="U856" s="51"/>
      <c r="V856" s="51"/>
      <c r="W856" s="51"/>
      <c r="X856" s="51"/>
      <c r="Y856" s="51"/>
      <c r="Z856" s="51"/>
      <c r="AA856" s="51"/>
      <c r="AB856" s="51"/>
    </row>
    <row r="857" customFormat="false" ht="15.75" hidden="false" customHeight="false" outlineLevel="0" collapsed="false">
      <c r="A857" s="51"/>
      <c r="B857" s="51"/>
      <c r="C857" s="6"/>
      <c r="D857" s="49"/>
      <c r="E857" s="51"/>
      <c r="F857" s="6"/>
      <c r="G857" s="6"/>
      <c r="H857" s="6"/>
      <c r="I857" s="6"/>
      <c r="J857" s="6"/>
      <c r="K857" s="51"/>
      <c r="L857" s="51"/>
      <c r="M857" s="51"/>
      <c r="N857" s="51"/>
      <c r="O857" s="51"/>
      <c r="P857" s="51"/>
      <c r="Q857" s="51"/>
      <c r="R857" s="51"/>
      <c r="S857" s="51"/>
      <c r="T857" s="51"/>
      <c r="U857" s="51"/>
      <c r="V857" s="51"/>
      <c r="W857" s="51"/>
      <c r="X857" s="51"/>
      <c r="Y857" s="51"/>
      <c r="Z857" s="51"/>
      <c r="AA857" s="51"/>
      <c r="AB857" s="51"/>
    </row>
    <row r="858" customFormat="false" ht="15.75" hidden="false" customHeight="false" outlineLevel="0" collapsed="false">
      <c r="A858" s="51"/>
      <c r="B858" s="51"/>
      <c r="C858" s="6"/>
      <c r="D858" s="49"/>
      <c r="E858" s="51"/>
      <c r="F858" s="6"/>
      <c r="G858" s="6"/>
      <c r="H858" s="6"/>
      <c r="I858" s="6"/>
      <c r="J858" s="6"/>
      <c r="K858" s="51"/>
      <c r="L858" s="51"/>
      <c r="M858" s="51"/>
      <c r="N858" s="51"/>
      <c r="O858" s="51"/>
      <c r="P858" s="51"/>
      <c r="Q858" s="51"/>
      <c r="R858" s="51"/>
      <c r="S858" s="51"/>
      <c r="T858" s="51"/>
      <c r="U858" s="51"/>
      <c r="V858" s="51"/>
      <c r="W858" s="51"/>
      <c r="X858" s="51"/>
      <c r="Y858" s="51"/>
      <c r="Z858" s="51"/>
      <c r="AA858" s="51"/>
      <c r="AB858" s="51"/>
    </row>
    <row r="859" customFormat="false" ht="15.75" hidden="false" customHeight="false" outlineLevel="0" collapsed="false">
      <c r="A859" s="51"/>
      <c r="B859" s="51"/>
      <c r="C859" s="6"/>
      <c r="D859" s="49"/>
      <c r="E859" s="51"/>
      <c r="F859" s="6"/>
      <c r="G859" s="6"/>
      <c r="H859" s="6"/>
      <c r="I859" s="6"/>
      <c r="J859" s="6"/>
      <c r="K859" s="51"/>
      <c r="L859" s="51"/>
      <c r="M859" s="51"/>
      <c r="N859" s="51"/>
      <c r="O859" s="51"/>
      <c r="P859" s="51"/>
      <c r="Q859" s="51"/>
      <c r="R859" s="51"/>
      <c r="S859" s="51"/>
      <c r="T859" s="51"/>
      <c r="U859" s="51"/>
      <c r="V859" s="51"/>
      <c r="W859" s="51"/>
      <c r="X859" s="51"/>
      <c r="Y859" s="51"/>
      <c r="Z859" s="51"/>
      <c r="AA859" s="51"/>
      <c r="AB859" s="51"/>
    </row>
    <row r="860" customFormat="false" ht="15.75" hidden="false" customHeight="false" outlineLevel="0" collapsed="false">
      <c r="A860" s="51"/>
      <c r="B860" s="51"/>
      <c r="C860" s="6"/>
      <c r="D860" s="49"/>
      <c r="E860" s="51"/>
      <c r="F860" s="6"/>
      <c r="G860" s="6"/>
      <c r="H860" s="6"/>
      <c r="I860" s="6"/>
      <c r="J860" s="6"/>
      <c r="K860" s="51"/>
      <c r="L860" s="51"/>
      <c r="M860" s="51"/>
      <c r="N860" s="51"/>
      <c r="O860" s="51"/>
      <c r="P860" s="51"/>
      <c r="Q860" s="51"/>
      <c r="R860" s="51"/>
      <c r="S860" s="51"/>
      <c r="T860" s="51"/>
      <c r="U860" s="51"/>
      <c r="V860" s="51"/>
      <c r="W860" s="51"/>
      <c r="X860" s="51"/>
      <c r="Y860" s="51"/>
      <c r="Z860" s="51"/>
      <c r="AA860" s="51"/>
      <c r="AB860" s="51"/>
    </row>
    <row r="861" customFormat="false" ht="15.75" hidden="false" customHeight="false" outlineLevel="0" collapsed="false">
      <c r="A861" s="51"/>
      <c r="B861" s="51"/>
      <c r="C861" s="6"/>
      <c r="D861" s="49"/>
      <c r="E861" s="51"/>
      <c r="F861" s="6"/>
      <c r="G861" s="6"/>
      <c r="H861" s="6"/>
      <c r="I861" s="6"/>
      <c r="J861" s="6"/>
      <c r="K861" s="51"/>
      <c r="L861" s="51"/>
      <c r="M861" s="51"/>
      <c r="N861" s="51"/>
      <c r="O861" s="51"/>
      <c r="P861" s="51"/>
      <c r="Q861" s="51"/>
      <c r="R861" s="51"/>
      <c r="S861" s="51"/>
      <c r="T861" s="51"/>
      <c r="U861" s="51"/>
      <c r="V861" s="51"/>
      <c r="W861" s="51"/>
      <c r="X861" s="51"/>
      <c r="Y861" s="51"/>
      <c r="Z861" s="51"/>
      <c r="AA861" s="51"/>
      <c r="AB861" s="51"/>
    </row>
    <row r="862" customFormat="false" ht="15.75" hidden="false" customHeight="false" outlineLevel="0" collapsed="false">
      <c r="A862" s="51"/>
      <c r="B862" s="51"/>
      <c r="C862" s="6"/>
      <c r="D862" s="49"/>
      <c r="E862" s="51"/>
      <c r="F862" s="6"/>
      <c r="G862" s="6"/>
      <c r="H862" s="6"/>
      <c r="I862" s="6"/>
      <c r="J862" s="6"/>
      <c r="K862" s="51"/>
      <c r="L862" s="51"/>
      <c r="M862" s="51"/>
      <c r="N862" s="51"/>
      <c r="O862" s="51"/>
      <c r="P862" s="51"/>
      <c r="Q862" s="51"/>
      <c r="R862" s="51"/>
      <c r="S862" s="51"/>
      <c r="T862" s="51"/>
      <c r="U862" s="51"/>
      <c r="V862" s="51"/>
      <c r="W862" s="51"/>
      <c r="X862" s="51"/>
      <c r="Y862" s="51"/>
      <c r="Z862" s="51"/>
      <c r="AA862" s="51"/>
      <c r="AB862" s="51"/>
    </row>
    <row r="863" customFormat="false" ht="15.75" hidden="false" customHeight="false" outlineLevel="0" collapsed="false">
      <c r="A863" s="51"/>
      <c r="B863" s="51"/>
      <c r="C863" s="6"/>
      <c r="D863" s="49"/>
      <c r="E863" s="51"/>
      <c r="F863" s="6"/>
      <c r="G863" s="6"/>
      <c r="H863" s="6"/>
      <c r="I863" s="6"/>
      <c r="J863" s="6"/>
      <c r="K863" s="51"/>
      <c r="L863" s="51"/>
      <c r="M863" s="51"/>
      <c r="N863" s="51"/>
      <c r="O863" s="51"/>
      <c r="P863" s="51"/>
      <c r="Q863" s="51"/>
      <c r="R863" s="51"/>
      <c r="S863" s="51"/>
      <c r="T863" s="51"/>
      <c r="U863" s="51"/>
      <c r="V863" s="51"/>
      <c r="W863" s="51"/>
      <c r="X863" s="51"/>
      <c r="Y863" s="51"/>
      <c r="Z863" s="51"/>
      <c r="AA863" s="51"/>
      <c r="AB863" s="51"/>
    </row>
    <row r="864" customFormat="false" ht="15.75" hidden="false" customHeight="false" outlineLevel="0" collapsed="false">
      <c r="A864" s="51"/>
      <c r="B864" s="51"/>
      <c r="C864" s="6"/>
      <c r="D864" s="49"/>
      <c r="E864" s="51"/>
      <c r="F864" s="6"/>
      <c r="G864" s="6"/>
      <c r="H864" s="6"/>
      <c r="I864" s="6"/>
      <c r="J864" s="6"/>
      <c r="K864" s="51"/>
      <c r="L864" s="51"/>
      <c r="M864" s="51"/>
      <c r="N864" s="51"/>
      <c r="O864" s="51"/>
      <c r="P864" s="51"/>
      <c r="Q864" s="51"/>
      <c r="R864" s="51"/>
      <c r="S864" s="51"/>
      <c r="T864" s="51"/>
      <c r="U864" s="51"/>
      <c r="V864" s="51"/>
      <c r="W864" s="51"/>
      <c r="X864" s="51"/>
      <c r="Y864" s="51"/>
      <c r="Z864" s="51"/>
      <c r="AA864" s="51"/>
      <c r="AB864" s="51"/>
    </row>
    <row r="865" customFormat="false" ht="15.75" hidden="false" customHeight="false" outlineLevel="0" collapsed="false">
      <c r="A865" s="51"/>
      <c r="B865" s="51"/>
      <c r="C865" s="6"/>
      <c r="D865" s="49"/>
      <c r="E865" s="51"/>
      <c r="F865" s="6"/>
      <c r="G865" s="6"/>
      <c r="H865" s="6"/>
      <c r="I865" s="6"/>
      <c r="J865" s="6"/>
      <c r="K865" s="51"/>
      <c r="L865" s="51"/>
      <c r="M865" s="51"/>
      <c r="N865" s="51"/>
      <c r="O865" s="51"/>
      <c r="P865" s="51"/>
      <c r="Q865" s="51"/>
      <c r="R865" s="51"/>
      <c r="S865" s="51"/>
      <c r="T865" s="51"/>
      <c r="U865" s="51"/>
      <c r="V865" s="51"/>
      <c r="W865" s="51"/>
      <c r="X865" s="51"/>
      <c r="Y865" s="51"/>
      <c r="Z865" s="51"/>
      <c r="AA865" s="51"/>
      <c r="AB865" s="51"/>
    </row>
    <row r="866" customFormat="false" ht="15.75" hidden="false" customHeight="false" outlineLevel="0" collapsed="false">
      <c r="A866" s="51"/>
      <c r="B866" s="51"/>
      <c r="C866" s="6"/>
      <c r="D866" s="49"/>
      <c r="E866" s="51"/>
      <c r="F866" s="6"/>
      <c r="G866" s="6"/>
      <c r="H866" s="6"/>
      <c r="I866" s="6"/>
      <c r="J866" s="6"/>
      <c r="K866" s="51"/>
      <c r="L866" s="51"/>
      <c r="M866" s="51"/>
      <c r="N866" s="51"/>
      <c r="O866" s="51"/>
      <c r="P866" s="51"/>
      <c r="Q866" s="51"/>
      <c r="R866" s="51"/>
      <c r="S866" s="51"/>
      <c r="T866" s="51"/>
      <c r="U866" s="51"/>
      <c r="V866" s="51"/>
      <c r="W866" s="51"/>
      <c r="X866" s="51"/>
      <c r="Y866" s="51"/>
      <c r="Z866" s="51"/>
      <c r="AA866" s="51"/>
      <c r="AB866" s="51"/>
    </row>
    <row r="867" customFormat="false" ht="15.75" hidden="false" customHeight="false" outlineLevel="0" collapsed="false">
      <c r="A867" s="51"/>
      <c r="B867" s="51"/>
      <c r="C867" s="6"/>
      <c r="D867" s="49"/>
      <c r="E867" s="51"/>
      <c r="F867" s="6"/>
      <c r="G867" s="6"/>
      <c r="H867" s="6"/>
      <c r="I867" s="6"/>
      <c r="J867" s="6"/>
      <c r="K867" s="51"/>
      <c r="L867" s="51"/>
      <c r="M867" s="51"/>
      <c r="N867" s="51"/>
      <c r="O867" s="51"/>
      <c r="P867" s="51"/>
      <c r="Q867" s="51"/>
      <c r="R867" s="51"/>
      <c r="S867" s="51"/>
      <c r="T867" s="51"/>
      <c r="U867" s="51"/>
      <c r="V867" s="51"/>
      <c r="W867" s="51"/>
      <c r="X867" s="51"/>
      <c r="Y867" s="51"/>
      <c r="Z867" s="51"/>
      <c r="AA867" s="51"/>
      <c r="AB867" s="51"/>
    </row>
    <row r="868" customFormat="false" ht="15.75" hidden="false" customHeight="false" outlineLevel="0" collapsed="false">
      <c r="A868" s="51"/>
      <c r="B868" s="51"/>
      <c r="C868" s="6"/>
      <c r="D868" s="49"/>
      <c r="E868" s="51"/>
      <c r="F868" s="6"/>
      <c r="G868" s="6"/>
      <c r="H868" s="6"/>
      <c r="I868" s="6"/>
      <c r="J868" s="6"/>
      <c r="K868" s="51"/>
      <c r="L868" s="51"/>
      <c r="M868" s="51"/>
      <c r="N868" s="51"/>
      <c r="O868" s="51"/>
      <c r="P868" s="51"/>
      <c r="Q868" s="51"/>
      <c r="R868" s="51"/>
      <c r="S868" s="51"/>
      <c r="T868" s="51"/>
      <c r="U868" s="51"/>
      <c r="V868" s="51"/>
      <c r="W868" s="51"/>
      <c r="X868" s="51"/>
      <c r="Y868" s="51"/>
      <c r="Z868" s="51"/>
      <c r="AA868" s="51"/>
      <c r="AB868" s="51"/>
    </row>
    <row r="869" customFormat="false" ht="15.75" hidden="false" customHeight="false" outlineLevel="0" collapsed="false">
      <c r="A869" s="51"/>
      <c r="B869" s="51"/>
      <c r="C869" s="6"/>
      <c r="D869" s="49"/>
      <c r="E869" s="51"/>
      <c r="F869" s="6"/>
      <c r="G869" s="6"/>
      <c r="H869" s="6"/>
      <c r="I869" s="6"/>
      <c r="J869" s="6"/>
      <c r="K869" s="51"/>
      <c r="L869" s="51"/>
      <c r="M869" s="51"/>
      <c r="N869" s="51"/>
      <c r="O869" s="51"/>
      <c r="P869" s="51"/>
      <c r="Q869" s="51"/>
      <c r="R869" s="51"/>
      <c r="S869" s="51"/>
      <c r="T869" s="51"/>
      <c r="U869" s="51"/>
      <c r="V869" s="51"/>
      <c r="W869" s="51"/>
      <c r="X869" s="51"/>
      <c r="Y869" s="51"/>
      <c r="Z869" s="51"/>
      <c r="AA869" s="51"/>
      <c r="AB869" s="51"/>
    </row>
    <row r="870" customFormat="false" ht="15.75" hidden="false" customHeight="false" outlineLevel="0" collapsed="false">
      <c r="A870" s="51"/>
      <c r="B870" s="51"/>
      <c r="C870" s="6"/>
      <c r="D870" s="49"/>
      <c r="E870" s="51"/>
      <c r="F870" s="6"/>
      <c r="G870" s="6"/>
      <c r="H870" s="6"/>
      <c r="I870" s="6"/>
      <c r="J870" s="6"/>
      <c r="K870" s="51"/>
      <c r="L870" s="51"/>
      <c r="M870" s="51"/>
      <c r="N870" s="51"/>
      <c r="O870" s="51"/>
      <c r="P870" s="51"/>
      <c r="Q870" s="51"/>
      <c r="R870" s="51"/>
      <c r="S870" s="51"/>
      <c r="T870" s="51"/>
      <c r="U870" s="51"/>
      <c r="V870" s="51"/>
      <c r="W870" s="51"/>
      <c r="X870" s="51"/>
      <c r="Y870" s="51"/>
      <c r="Z870" s="51"/>
      <c r="AA870" s="51"/>
      <c r="AB870" s="51"/>
    </row>
    <row r="871" customFormat="false" ht="15.75" hidden="false" customHeight="false" outlineLevel="0" collapsed="false">
      <c r="A871" s="51"/>
      <c r="B871" s="51"/>
      <c r="C871" s="6"/>
      <c r="D871" s="49"/>
      <c r="E871" s="51"/>
      <c r="F871" s="6"/>
      <c r="G871" s="6"/>
      <c r="H871" s="6"/>
      <c r="I871" s="6"/>
      <c r="J871" s="6"/>
      <c r="K871" s="51"/>
      <c r="L871" s="51"/>
      <c r="M871" s="51"/>
      <c r="N871" s="51"/>
      <c r="O871" s="51"/>
      <c r="P871" s="51"/>
      <c r="Q871" s="51"/>
      <c r="R871" s="51"/>
      <c r="S871" s="51"/>
      <c r="T871" s="51"/>
      <c r="U871" s="51"/>
      <c r="V871" s="51"/>
      <c r="W871" s="51"/>
      <c r="X871" s="51"/>
      <c r="Y871" s="51"/>
      <c r="Z871" s="51"/>
      <c r="AA871" s="51"/>
      <c r="AB871" s="51"/>
    </row>
    <row r="872" customFormat="false" ht="15.75" hidden="false" customHeight="false" outlineLevel="0" collapsed="false">
      <c r="A872" s="51"/>
      <c r="B872" s="51"/>
      <c r="C872" s="6"/>
      <c r="D872" s="49"/>
      <c r="E872" s="51"/>
      <c r="F872" s="6"/>
      <c r="G872" s="6"/>
      <c r="H872" s="6"/>
      <c r="I872" s="6"/>
      <c r="J872" s="6"/>
      <c r="K872" s="51"/>
      <c r="L872" s="51"/>
      <c r="M872" s="51"/>
      <c r="N872" s="51"/>
      <c r="O872" s="51"/>
      <c r="P872" s="51"/>
      <c r="Q872" s="51"/>
      <c r="R872" s="51"/>
      <c r="S872" s="51"/>
      <c r="T872" s="51"/>
      <c r="U872" s="51"/>
      <c r="V872" s="51"/>
      <c r="W872" s="51"/>
      <c r="X872" s="51"/>
      <c r="Y872" s="51"/>
      <c r="Z872" s="51"/>
      <c r="AA872" s="51"/>
      <c r="AB872" s="51"/>
    </row>
    <row r="873" customFormat="false" ht="15.75" hidden="false" customHeight="false" outlineLevel="0" collapsed="false">
      <c r="A873" s="51"/>
      <c r="B873" s="51"/>
      <c r="C873" s="6"/>
      <c r="D873" s="49"/>
      <c r="E873" s="51"/>
      <c r="F873" s="6"/>
      <c r="G873" s="6"/>
      <c r="H873" s="6"/>
      <c r="I873" s="6"/>
      <c r="J873" s="6"/>
      <c r="K873" s="51"/>
      <c r="L873" s="51"/>
      <c r="M873" s="51"/>
      <c r="N873" s="51"/>
      <c r="O873" s="51"/>
      <c r="P873" s="51"/>
      <c r="Q873" s="51"/>
      <c r="R873" s="51"/>
      <c r="S873" s="51"/>
      <c r="T873" s="51"/>
      <c r="U873" s="51"/>
      <c r="V873" s="51"/>
      <c r="W873" s="51"/>
      <c r="X873" s="51"/>
      <c r="Y873" s="51"/>
      <c r="Z873" s="51"/>
      <c r="AA873" s="51"/>
      <c r="AB873" s="51"/>
    </row>
    <row r="874" customFormat="false" ht="15.75" hidden="false" customHeight="false" outlineLevel="0" collapsed="false">
      <c r="A874" s="51"/>
      <c r="B874" s="51"/>
      <c r="C874" s="6"/>
      <c r="D874" s="49"/>
      <c r="E874" s="51"/>
      <c r="F874" s="6"/>
      <c r="G874" s="6"/>
      <c r="H874" s="6"/>
      <c r="I874" s="6"/>
      <c r="J874" s="6"/>
      <c r="K874" s="51"/>
      <c r="L874" s="51"/>
      <c r="M874" s="51"/>
      <c r="N874" s="51"/>
      <c r="O874" s="51"/>
      <c r="P874" s="51"/>
      <c r="Q874" s="51"/>
      <c r="R874" s="51"/>
      <c r="S874" s="51"/>
      <c r="T874" s="51"/>
      <c r="U874" s="51"/>
      <c r="V874" s="51"/>
      <c r="W874" s="51"/>
      <c r="X874" s="51"/>
      <c r="Y874" s="51"/>
      <c r="Z874" s="51"/>
      <c r="AA874" s="51"/>
      <c r="AB874" s="51"/>
    </row>
    <row r="875" customFormat="false" ht="15.75" hidden="false" customHeight="false" outlineLevel="0" collapsed="false">
      <c r="A875" s="51"/>
      <c r="B875" s="51"/>
      <c r="C875" s="6"/>
      <c r="D875" s="49"/>
      <c r="E875" s="51"/>
      <c r="F875" s="6"/>
      <c r="G875" s="6"/>
      <c r="H875" s="6"/>
      <c r="I875" s="6"/>
      <c r="J875" s="6"/>
      <c r="K875" s="51"/>
      <c r="L875" s="51"/>
      <c r="M875" s="51"/>
      <c r="N875" s="51"/>
      <c r="O875" s="51"/>
      <c r="P875" s="51"/>
      <c r="Q875" s="51"/>
      <c r="R875" s="51"/>
      <c r="S875" s="51"/>
      <c r="T875" s="51"/>
      <c r="U875" s="51"/>
      <c r="V875" s="51"/>
      <c r="W875" s="51"/>
      <c r="X875" s="51"/>
      <c r="Y875" s="51"/>
      <c r="Z875" s="51"/>
      <c r="AA875" s="51"/>
      <c r="AB875" s="51"/>
    </row>
    <row r="876" customFormat="false" ht="15.75" hidden="false" customHeight="false" outlineLevel="0" collapsed="false">
      <c r="A876" s="51"/>
      <c r="B876" s="51"/>
      <c r="C876" s="6"/>
      <c r="D876" s="49"/>
      <c r="E876" s="51"/>
      <c r="F876" s="6"/>
      <c r="G876" s="6"/>
      <c r="H876" s="6"/>
      <c r="I876" s="6"/>
      <c r="J876" s="6"/>
      <c r="K876" s="51"/>
      <c r="L876" s="51"/>
      <c r="M876" s="51"/>
      <c r="N876" s="51"/>
      <c r="O876" s="51"/>
      <c r="P876" s="51"/>
      <c r="Q876" s="51"/>
      <c r="R876" s="51"/>
      <c r="S876" s="51"/>
      <c r="T876" s="51"/>
      <c r="U876" s="51"/>
      <c r="V876" s="51"/>
      <c r="W876" s="51"/>
      <c r="X876" s="51"/>
      <c r="Y876" s="51"/>
      <c r="Z876" s="51"/>
      <c r="AA876" s="51"/>
      <c r="AB876" s="51"/>
    </row>
    <row r="877" customFormat="false" ht="15.75" hidden="false" customHeight="false" outlineLevel="0" collapsed="false">
      <c r="A877" s="51"/>
      <c r="B877" s="51"/>
      <c r="C877" s="6"/>
      <c r="D877" s="49"/>
      <c r="E877" s="51"/>
      <c r="F877" s="6"/>
      <c r="G877" s="6"/>
      <c r="H877" s="6"/>
      <c r="I877" s="6"/>
      <c r="J877" s="6"/>
      <c r="K877" s="51"/>
      <c r="L877" s="51"/>
      <c r="M877" s="51"/>
      <c r="N877" s="51"/>
      <c r="O877" s="51"/>
      <c r="P877" s="51"/>
      <c r="Q877" s="51"/>
      <c r="R877" s="51"/>
      <c r="S877" s="51"/>
      <c r="T877" s="51"/>
      <c r="U877" s="51"/>
      <c r="V877" s="51"/>
      <c r="W877" s="51"/>
      <c r="X877" s="51"/>
      <c r="Y877" s="51"/>
      <c r="Z877" s="51"/>
      <c r="AA877" s="51"/>
      <c r="AB877" s="51"/>
    </row>
    <row r="878" customFormat="false" ht="15.75" hidden="false" customHeight="false" outlineLevel="0" collapsed="false">
      <c r="A878" s="51"/>
      <c r="B878" s="51"/>
      <c r="C878" s="6"/>
      <c r="D878" s="49"/>
      <c r="E878" s="51"/>
      <c r="F878" s="6"/>
      <c r="G878" s="6"/>
      <c r="H878" s="6"/>
      <c r="I878" s="6"/>
      <c r="J878" s="6"/>
      <c r="K878" s="51"/>
      <c r="L878" s="51"/>
      <c r="M878" s="51"/>
      <c r="N878" s="51"/>
      <c r="O878" s="51"/>
      <c r="P878" s="51"/>
      <c r="Q878" s="51"/>
      <c r="R878" s="51"/>
      <c r="S878" s="51"/>
      <c r="T878" s="51"/>
      <c r="U878" s="51"/>
      <c r="V878" s="51"/>
      <c r="W878" s="51"/>
      <c r="X878" s="51"/>
      <c r="Y878" s="51"/>
      <c r="Z878" s="51"/>
      <c r="AA878" s="51"/>
      <c r="AB878" s="51"/>
    </row>
    <row r="879" customFormat="false" ht="15.75" hidden="false" customHeight="false" outlineLevel="0" collapsed="false">
      <c r="A879" s="51"/>
      <c r="B879" s="51"/>
      <c r="C879" s="6"/>
      <c r="D879" s="49"/>
      <c r="E879" s="51"/>
      <c r="F879" s="6"/>
      <c r="G879" s="6"/>
      <c r="H879" s="6"/>
      <c r="I879" s="6"/>
      <c r="J879" s="6"/>
      <c r="K879" s="51"/>
      <c r="L879" s="51"/>
      <c r="M879" s="51"/>
      <c r="N879" s="51"/>
      <c r="O879" s="51"/>
      <c r="P879" s="51"/>
      <c r="Q879" s="51"/>
      <c r="R879" s="51"/>
      <c r="S879" s="51"/>
      <c r="T879" s="51"/>
      <c r="U879" s="51"/>
      <c r="V879" s="51"/>
      <c r="W879" s="51"/>
      <c r="X879" s="51"/>
      <c r="Y879" s="51"/>
      <c r="Z879" s="51"/>
      <c r="AA879" s="51"/>
      <c r="AB879" s="51"/>
    </row>
    <row r="880" customFormat="false" ht="15.75" hidden="false" customHeight="false" outlineLevel="0" collapsed="false">
      <c r="A880" s="51"/>
      <c r="B880" s="51"/>
      <c r="C880" s="6"/>
      <c r="D880" s="49"/>
      <c r="E880" s="51"/>
      <c r="F880" s="6"/>
      <c r="G880" s="6"/>
      <c r="H880" s="6"/>
      <c r="I880" s="6"/>
      <c r="J880" s="6"/>
      <c r="K880" s="51"/>
      <c r="L880" s="51"/>
      <c r="M880" s="51"/>
      <c r="N880" s="51"/>
      <c r="O880" s="51"/>
      <c r="P880" s="51"/>
      <c r="Q880" s="51"/>
      <c r="R880" s="51"/>
      <c r="S880" s="51"/>
      <c r="T880" s="51"/>
      <c r="U880" s="51"/>
      <c r="V880" s="51"/>
      <c r="W880" s="51"/>
      <c r="X880" s="51"/>
      <c r="Y880" s="51"/>
      <c r="Z880" s="51"/>
      <c r="AA880" s="51"/>
      <c r="AB880" s="51"/>
    </row>
    <row r="881" customFormat="false" ht="15.75" hidden="false" customHeight="false" outlineLevel="0" collapsed="false">
      <c r="A881" s="51"/>
      <c r="B881" s="51"/>
      <c r="C881" s="6"/>
      <c r="D881" s="49"/>
      <c r="E881" s="51"/>
      <c r="F881" s="6"/>
      <c r="G881" s="6"/>
      <c r="H881" s="6"/>
      <c r="I881" s="6"/>
      <c r="J881" s="6"/>
      <c r="K881" s="51"/>
      <c r="L881" s="51"/>
      <c r="M881" s="51"/>
      <c r="N881" s="51"/>
      <c r="O881" s="51"/>
      <c r="P881" s="51"/>
      <c r="Q881" s="51"/>
      <c r="R881" s="51"/>
      <c r="S881" s="51"/>
      <c r="T881" s="51"/>
      <c r="U881" s="51"/>
      <c r="V881" s="51"/>
      <c r="W881" s="51"/>
      <c r="X881" s="51"/>
      <c r="Y881" s="51"/>
      <c r="Z881" s="51"/>
      <c r="AA881" s="51"/>
      <c r="AB881" s="51"/>
    </row>
    <row r="882" customFormat="false" ht="15.75" hidden="false" customHeight="false" outlineLevel="0" collapsed="false">
      <c r="A882" s="51"/>
      <c r="B882" s="51"/>
      <c r="C882" s="6"/>
      <c r="D882" s="49"/>
      <c r="E882" s="51"/>
      <c r="F882" s="6"/>
      <c r="G882" s="6"/>
      <c r="H882" s="6"/>
      <c r="I882" s="6"/>
      <c r="J882" s="6"/>
      <c r="K882" s="51"/>
      <c r="L882" s="51"/>
      <c r="M882" s="51"/>
      <c r="N882" s="51"/>
      <c r="O882" s="51"/>
      <c r="P882" s="51"/>
      <c r="Q882" s="51"/>
      <c r="R882" s="51"/>
      <c r="S882" s="51"/>
      <c r="T882" s="51"/>
      <c r="U882" s="51"/>
      <c r="V882" s="51"/>
      <c r="W882" s="51"/>
      <c r="X882" s="51"/>
      <c r="Y882" s="51"/>
      <c r="Z882" s="51"/>
      <c r="AA882" s="51"/>
      <c r="AB882" s="51"/>
    </row>
    <row r="883" customFormat="false" ht="15.75" hidden="false" customHeight="false" outlineLevel="0" collapsed="false">
      <c r="A883" s="51"/>
      <c r="B883" s="51"/>
      <c r="C883" s="6"/>
      <c r="D883" s="49"/>
      <c r="E883" s="51"/>
      <c r="F883" s="6"/>
      <c r="G883" s="6"/>
      <c r="H883" s="6"/>
      <c r="I883" s="6"/>
      <c r="J883" s="6"/>
      <c r="K883" s="51"/>
      <c r="L883" s="51"/>
      <c r="M883" s="51"/>
      <c r="N883" s="51"/>
      <c r="O883" s="51"/>
      <c r="P883" s="51"/>
      <c r="Q883" s="51"/>
      <c r="R883" s="51"/>
      <c r="S883" s="51"/>
      <c r="T883" s="51"/>
      <c r="U883" s="51"/>
      <c r="V883" s="51"/>
      <c r="W883" s="51"/>
      <c r="X883" s="51"/>
      <c r="Y883" s="51"/>
      <c r="Z883" s="51"/>
      <c r="AA883" s="51"/>
      <c r="AB883" s="51"/>
    </row>
    <row r="884" customFormat="false" ht="15.75" hidden="false" customHeight="false" outlineLevel="0" collapsed="false">
      <c r="A884" s="51"/>
      <c r="B884" s="51"/>
      <c r="C884" s="6"/>
      <c r="D884" s="49"/>
      <c r="E884" s="51"/>
      <c r="F884" s="6"/>
      <c r="G884" s="6"/>
      <c r="H884" s="6"/>
      <c r="I884" s="6"/>
      <c r="J884" s="6"/>
      <c r="K884" s="51"/>
      <c r="L884" s="51"/>
      <c r="M884" s="51"/>
      <c r="N884" s="51"/>
      <c r="O884" s="51"/>
      <c r="P884" s="51"/>
      <c r="Q884" s="51"/>
      <c r="R884" s="51"/>
      <c r="S884" s="51"/>
      <c r="T884" s="51"/>
      <c r="U884" s="51"/>
      <c r="V884" s="51"/>
      <c r="W884" s="51"/>
      <c r="X884" s="51"/>
      <c r="Y884" s="51"/>
      <c r="Z884" s="51"/>
      <c r="AA884" s="51"/>
      <c r="AB884" s="51"/>
    </row>
    <row r="885" customFormat="false" ht="15.75" hidden="false" customHeight="false" outlineLevel="0" collapsed="false">
      <c r="A885" s="51"/>
      <c r="B885" s="51"/>
      <c r="C885" s="6"/>
      <c r="D885" s="49"/>
      <c r="E885" s="51"/>
      <c r="F885" s="6"/>
      <c r="G885" s="6"/>
      <c r="H885" s="6"/>
      <c r="I885" s="6"/>
      <c r="J885" s="6"/>
      <c r="K885" s="51"/>
      <c r="L885" s="51"/>
      <c r="M885" s="51"/>
      <c r="N885" s="51"/>
      <c r="O885" s="51"/>
      <c r="P885" s="51"/>
      <c r="Q885" s="51"/>
      <c r="R885" s="51"/>
      <c r="S885" s="51"/>
      <c r="T885" s="51"/>
      <c r="U885" s="51"/>
      <c r="V885" s="51"/>
      <c r="W885" s="51"/>
      <c r="X885" s="51"/>
      <c r="Y885" s="51"/>
      <c r="Z885" s="51"/>
      <c r="AA885" s="51"/>
      <c r="AB885" s="51"/>
    </row>
    <row r="886" customFormat="false" ht="15.75" hidden="false" customHeight="false" outlineLevel="0" collapsed="false">
      <c r="A886" s="51"/>
      <c r="B886" s="51"/>
      <c r="C886" s="6"/>
      <c r="D886" s="49"/>
      <c r="E886" s="51"/>
      <c r="F886" s="6"/>
      <c r="G886" s="6"/>
      <c r="H886" s="6"/>
      <c r="I886" s="6"/>
      <c r="J886" s="6"/>
      <c r="K886" s="51"/>
      <c r="L886" s="51"/>
      <c r="M886" s="51"/>
      <c r="N886" s="51"/>
      <c r="O886" s="51"/>
      <c r="P886" s="51"/>
      <c r="Q886" s="51"/>
      <c r="R886" s="51"/>
      <c r="S886" s="51"/>
      <c r="T886" s="51"/>
      <c r="U886" s="51"/>
      <c r="V886" s="51"/>
      <c r="W886" s="51"/>
      <c r="X886" s="51"/>
      <c r="Y886" s="51"/>
      <c r="Z886" s="51"/>
      <c r="AA886" s="51"/>
      <c r="AB886" s="51"/>
    </row>
    <row r="887" customFormat="false" ht="15.75" hidden="false" customHeight="false" outlineLevel="0" collapsed="false">
      <c r="A887" s="51"/>
      <c r="B887" s="51"/>
      <c r="C887" s="6"/>
      <c r="D887" s="49"/>
      <c r="E887" s="51"/>
      <c r="F887" s="6"/>
      <c r="G887" s="6"/>
      <c r="H887" s="6"/>
      <c r="I887" s="6"/>
      <c r="J887" s="6"/>
      <c r="K887" s="51"/>
      <c r="L887" s="51"/>
      <c r="M887" s="51"/>
      <c r="N887" s="51"/>
      <c r="O887" s="51"/>
      <c r="P887" s="51"/>
      <c r="Q887" s="51"/>
      <c r="R887" s="51"/>
      <c r="S887" s="51"/>
      <c r="T887" s="51"/>
      <c r="U887" s="51"/>
      <c r="V887" s="51"/>
      <c r="W887" s="51"/>
      <c r="X887" s="51"/>
      <c r="Y887" s="51"/>
      <c r="Z887" s="51"/>
      <c r="AA887" s="51"/>
      <c r="AB887" s="51"/>
    </row>
    <row r="888" customFormat="false" ht="15.75" hidden="false" customHeight="false" outlineLevel="0" collapsed="false">
      <c r="A888" s="51"/>
      <c r="B888" s="51"/>
      <c r="C888" s="6"/>
      <c r="D888" s="49"/>
      <c r="E888" s="51"/>
      <c r="F888" s="6"/>
      <c r="G888" s="6"/>
      <c r="H888" s="6"/>
      <c r="I888" s="6"/>
      <c r="J888" s="6"/>
      <c r="K888" s="51"/>
      <c r="L888" s="51"/>
      <c r="M888" s="51"/>
      <c r="N888" s="51"/>
      <c r="O888" s="51"/>
      <c r="P888" s="51"/>
      <c r="Q888" s="51"/>
      <c r="R888" s="51"/>
      <c r="S888" s="51"/>
      <c r="T888" s="51"/>
      <c r="U888" s="51"/>
      <c r="V888" s="51"/>
      <c r="W888" s="51"/>
      <c r="X888" s="51"/>
      <c r="Y888" s="51"/>
      <c r="Z888" s="51"/>
      <c r="AA888" s="51"/>
      <c r="AB888" s="51"/>
    </row>
    <row r="889" customFormat="false" ht="15.75" hidden="false" customHeight="false" outlineLevel="0" collapsed="false">
      <c r="A889" s="51"/>
      <c r="B889" s="51"/>
      <c r="C889" s="6"/>
      <c r="D889" s="49"/>
      <c r="E889" s="51"/>
      <c r="F889" s="6"/>
      <c r="G889" s="6"/>
      <c r="H889" s="6"/>
      <c r="I889" s="6"/>
      <c r="J889" s="6"/>
      <c r="K889" s="51"/>
      <c r="L889" s="51"/>
      <c r="M889" s="51"/>
      <c r="N889" s="51"/>
      <c r="O889" s="51"/>
      <c r="P889" s="51"/>
      <c r="Q889" s="51"/>
      <c r="R889" s="51"/>
      <c r="S889" s="51"/>
      <c r="T889" s="51"/>
      <c r="U889" s="51"/>
      <c r="V889" s="51"/>
      <c r="W889" s="51"/>
      <c r="X889" s="51"/>
      <c r="Y889" s="51"/>
      <c r="Z889" s="51"/>
      <c r="AA889" s="51"/>
      <c r="AB889" s="51"/>
    </row>
    <row r="890" customFormat="false" ht="15.75" hidden="false" customHeight="false" outlineLevel="0" collapsed="false">
      <c r="A890" s="51"/>
      <c r="B890" s="51"/>
      <c r="C890" s="6"/>
      <c r="D890" s="49"/>
      <c r="E890" s="51"/>
      <c r="F890" s="6"/>
      <c r="G890" s="6"/>
      <c r="H890" s="6"/>
      <c r="I890" s="6"/>
      <c r="J890" s="6"/>
      <c r="K890" s="51"/>
      <c r="L890" s="51"/>
      <c r="M890" s="51"/>
      <c r="N890" s="51"/>
      <c r="O890" s="51"/>
      <c r="P890" s="51"/>
      <c r="Q890" s="51"/>
      <c r="R890" s="51"/>
      <c r="S890" s="51"/>
      <c r="T890" s="51"/>
      <c r="U890" s="51"/>
      <c r="V890" s="51"/>
      <c r="W890" s="51"/>
      <c r="X890" s="51"/>
      <c r="Y890" s="51"/>
      <c r="Z890" s="51"/>
      <c r="AA890" s="51"/>
      <c r="AB890" s="51"/>
    </row>
    <row r="891" customFormat="false" ht="15.75" hidden="false" customHeight="false" outlineLevel="0" collapsed="false">
      <c r="A891" s="51"/>
      <c r="B891" s="51"/>
      <c r="C891" s="6"/>
      <c r="D891" s="49"/>
      <c r="E891" s="51"/>
      <c r="F891" s="6"/>
      <c r="G891" s="6"/>
      <c r="H891" s="6"/>
      <c r="I891" s="6"/>
      <c r="J891" s="6"/>
      <c r="K891" s="51"/>
      <c r="L891" s="51"/>
      <c r="M891" s="51"/>
      <c r="N891" s="51"/>
      <c r="O891" s="51"/>
      <c r="P891" s="51"/>
      <c r="Q891" s="51"/>
      <c r="R891" s="51"/>
      <c r="S891" s="51"/>
      <c r="T891" s="51"/>
      <c r="U891" s="51"/>
      <c r="V891" s="51"/>
      <c r="W891" s="51"/>
      <c r="X891" s="51"/>
      <c r="Y891" s="51"/>
      <c r="Z891" s="51"/>
      <c r="AA891" s="51"/>
      <c r="AB891" s="51"/>
    </row>
    <row r="892" customFormat="false" ht="15.75" hidden="false" customHeight="false" outlineLevel="0" collapsed="false">
      <c r="A892" s="51"/>
      <c r="B892" s="51"/>
      <c r="C892" s="6"/>
      <c r="D892" s="49"/>
      <c r="E892" s="51"/>
      <c r="F892" s="6"/>
      <c r="G892" s="6"/>
      <c r="H892" s="6"/>
      <c r="I892" s="6"/>
      <c r="J892" s="6"/>
      <c r="K892" s="51"/>
      <c r="L892" s="51"/>
      <c r="M892" s="51"/>
      <c r="N892" s="51"/>
      <c r="O892" s="51"/>
      <c r="P892" s="51"/>
      <c r="Q892" s="51"/>
      <c r="R892" s="51"/>
      <c r="S892" s="51"/>
      <c r="T892" s="51"/>
      <c r="U892" s="51"/>
      <c r="V892" s="51"/>
      <c r="W892" s="51"/>
      <c r="X892" s="51"/>
      <c r="Y892" s="51"/>
      <c r="Z892" s="51"/>
      <c r="AA892" s="51"/>
      <c r="AB892" s="51"/>
    </row>
    <row r="893" customFormat="false" ht="15.75" hidden="false" customHeight="false" outlineLevel="0" collapsed="false">
      <c r="A893" s="51"/>
      <c r="B893" s="51"/>
      <c r="C893" s="6"/>
      <c r="D893" s="49"/>
      <c r="E893" s="51"/>
      <c r="F893" s="6"/>
      <c r="G893" s="6"/>
      <c r="H893" s="6"/>
      <c r="I893" s="6"/>
      <c r="J893" s="6"/>
      <c r="K893" s="51"/>
      <c r="L893" s="51"/>
      <c r="M893" s="51"/>
      <c r="N893" s="51"/>
      <c r="O893" s="51"/>
      <c r="P893" s="51"/>
      <c r="Q893" s="51"/>
      <c r="R893" s="51"/>
      <c r="S893" s="51"/>
      <c r="T893" s="51"/>
      <c r="U893" s="51"/>
      <c r="V893" s="51"/>
      <c r="W893" s="51"/>
      <c r="X893" s="51"/>
      <c r="Y893" s="51"/>
      <c r="Z893" s="51"/>
      <c r="AA893" s="51"/>
      <c r="AB893" s="51"/>
    </row>
    <row r="894" customFormat="false" ht="15.75" hidden="false" customHeight="false" outlineLevel="0" collapsed="false">
      <c r="A894" s="51"/>
      <c r="B894" s="51"/>
      <c r="C894" s="6"/>
      <c r="D894" s="49"/>
      <c r="E894" s="51"/>
      <c r="F894" s="6"/>
      <c r="G894" s="6"/>
      <c r="H894" s="6"/>
      <c r="I894" s="6"/>
      <c r="J894" s="6"/>
      <c r="K894" s="51"/>
      <c r="L894" s="51"/>
      <c r="M894" s="51"/>
      <c r="N894" s="51"/>
      <c r="O894" s="51"/>
      <c r="P894" s="51"/>
      <c r="Q894" s="51"/>
      <c r="R894" s="51"/>
      <c r="S894" s="51"/>
      <c r="T894" s="51"/>
      <c r="U894" s="51"/>
      <c r="V894" s="51"/>
      <c r="W894" s="51"/>
      <c r="X894" s="51"/>
      <c r="Y894" s="51"/>
      <c r="Z894" s="51"/>
      <c r="AA894" s="51"/>
      <c r="AB894" s="51"/>
    </row>
    <row r="895" customFormat="false" ht="15.75" hidden="false" customHeight="false" outlineLevel="0" collapsed="false">
      <c r="A895" s="51"/>
      <c r="B895" s="51"/>
      <c r="C895" s="6"/>
      <c r="D895" s="49"/>
      <c r="E895" s="51"/>
      <c r="F895" s="6"/>
      <c r="G895" s="6"/>
      <c r="H895" s="6"/>
      <c r="I895" s="6"/>
      <c r="J895" s="6"/>
      <c r="K895" s="51"/>
      <c r="L895" s="51"/>
      <c r="M895" s="51"/>
      <c r="N895" s="51"/>
      <c r="O895" s="51"/>
      <c r="P895" s="51"/>
      <c r="Q895" s="51"/>
      <c r="R895" s="51"/>
      <c r="S895" s="51"/>
      <c r="T895" s="51"/>
      <c r="U895" s="51"/>
      <c r="V895" s="51"/>
      <c r="W895" s="51"/>
      <c r="X895" s="51"/>
      <c r="Y895" s="51"/>
      <c r="Z895" s="51"/>
      <c r="AA895" s="51"/>
      <c r="AB895" s="51"/>
    </row>
    <row r="896" customFormat="false" ht="15.75" hidden="false" customHeight="false" outlineLevel="0" collapsed="false">
      <c r="A896" s="51"/>
      <c r="B896" s="51"/>
      <c r="C896" s="6"/>
      <c r="D896" s="49"/>
      <c r="E896" s="51"/>
      <c r="F896" s="6"/>
      <c r="G896" s="6"/>
      <c r="H896" s="6"/>
      <c r="I896" s="6"/>
      <c r="J896" s="6"/>
      <c r="K896" s="51"/>
      <c r="L896" s="51"/>
      <c r="M896" s="51"/>
      <c r="N896" s="51"/>
      <c r="O896" s="51"/>
      <c r="P896" s="51"/>
      <c r="Q896" s="51"/>
      <c r="R896" s="51"/>
      <c r="S896" s="51"/>
      <c r="T896" s="51"/>
      <c r="U896" s="51"/>
      <c r="V896" s="51"/>
      <c r="W896" s="51"/>
      <c r="X896" s="51"/>
      <c r="Y896" s="51"/>
      <c r="Z896" s="51"/>
      <c r="AA896" s="51"/>
      <c r="AB896" s="51"/>
    </row>
    <row r="897" customFormat="false" ht="15.75" hidden="false" customHeight="false" outlineLevel="0" collapsed="false">
      <c r="A897" s="51"/>
      <c r="B897" s="51"/>
      <c r="C897" s="6"/>
      <c r="D897" s="49"/>
      <c r="E897" s="51"/>
      <c r="F897" s="6"/>
      <c r="G897" s="6"/>
      <c r="H897" s="6"/>
      <c r="I897" s="6"/>
      <c r="J897" s="6"/>
      <c r="K897" s="51"/>
      <c r="L897" s="51"/>
      <c r="M897" s="51"/>
      <c r="N897" s="51"/>
      <c r="O897" s="51"/>
      <c r="P897" s="51"/>
      <c r="Q897" s="51"/>
      <c r="R897" s="51"/>
      <c r="S897" s="51"/>
      <c r="T897" s="51"/>
      <c r="U897" s="51"/>
      <c r="V897" s="51"/>
      <c r="W897" s="51"/>
      <c r="X897" s="51"/>
      <c r="Y897" s="51"/>
      <c r="Z897" s="51"/>
      <c r="AA897" s="51"/>
      <c r="AB897" s="51"/>
    </row>
    <row r="898" customFormat="false" ht="15.75" hidden="false" customHeight="false" outlineLevel="0" collapsed="false">
      <c r="A898" s="51"/>
      <c r="B898" s="51"/>
      <c r="C898" s="6"/>
      <c r="D898" s="49"/>
      <c r="E898" s="51"/>
      <c r="F898" s="6"/>
      <c r="G898" s="6"/>
      <c r="H898" s="6"/>
      <c r="I898" s="6"/>
      <c r="J898" s="6"/>
      <c r="K898" s="51"/>
      <c r="L898" s="51"/>
      <c r="M898" s="51"/>
      <c r="N898" s="51"/>
      <c r="O898" s="51"/>
      <c r="P898" s="51"/>
      <c r="Q898" s="51"/>
      <c r="R898" s="51"/>
      <c r="S898" s="51"/>
      <c r="T898" s="51"/>
      <c r="U898" s="51"/>
      <c r="V898" s="51"/>
      <c r="W898" s="51"/>
      <c r="X898" s="51"/>
      <c r="Y898" s="51"/>
      <c r="Z898" s="51"/>
      <c r="AA898" s="51"/>
      <c r="AB898" s="51"/>
    </row>
    <row r="899" customFormat="false" ht="15.75" hidden="false" customHeight="false" outlineLevel="0" collapsed="false">
      <c r="A899" s="51"/>
      <c r="B899" s="51"/>
      <c r="C899" s="6"/>
      <c r="D899" s="49"/>
      <c r="E899" s="51"/>
      <c r="F899" s="6"/>
      <c r="G899" s="6"/>
      <c r="H899" s="6"/>
      <c r="I899" s="6"/>
      <c r="J899" s="6"/>
      <c r="K899" s="51"/>
      <c r="L899" s="51"/>
      <c r="M899" s="51"/>
      <c r="N899" s="51"/>
      <c r="O899" s="51"/>
      <c r="P899" s="51"/>
      <c r="Q899" s="51"/>
      <c r="R899" s="51"/>
      <c r="S899" s="51"/>
      <c r="T899" s="51"/>
      <c r="U899" s="51"/>
      <c r="V899" s="51"/>
      <c r="W899" s="51"/>
      <c r="X899" s="51"/>
      <c r="Y899" s="51"/>
      <c r="Z899" s="51"/>
      <c r="AA899" s="51"/>
      <c r="AB899" s="51"/>
    </row>
    <row r="900" customFormat="false" ht="15.75" hidden="false" customHeight="false" outlineLevel="0" collapsed="false">
      <c r="A900" s="51"/>
      <c r="B900" s="51"/>
      <c r="C900" s="6"/>
      <c r="D900" s="49"/>
      <c r="E900" s="51"/>
      <c r="F900" s="6"/>
      <c r="G900" s="6"/>
      <c r="H900" s="6"/>
      <c r="I900" s="6"/>
      <c r="J900" s="6"/>
      <c r="K900" s="51"/>
      <c r="L900" s="51"/>
      <c r="M900" s="51"/>
      <c r="N900" s="51"/>
      <c r="O900" s="51"/>
      <c r="P900" s="51"/>
      <c r="Q900" s="51"/>
      <c r="R900" s="51"/>
      <c r="S900" s="51"/>
      <c r="T900" s="51"/>
      <c r="U900" s="51"/>
      <c r="V900" s="51"/>
      <c r="W900" s="51"/>
      <c r="X900" s="51"/>
      <c r="Y900" s="51"/>
      <c r="Z900" s="51"/>
      <c r="AA900" s="51"/>
      <c r="AB900" s="51"/>
    </row>
    <row r="901" customFormat="false" ht="15.75" hidden="false" customHeight="false" outlineLevel="0" collapsed="false">
      <c r="A901" s="51"/>
      <c r="B901" s="51"/>
      <c r="C901" s="6"/>
      <c r="D901" s="49"/>
      <c r="E901" s="51"/>
      <c r="F901" s="6"/>
      <c r="G901" s="6"/>
      <c r="H901" s="6"/>
      <c r="I901" s="6"/>
      <c r="J901" s="6"/>
      <c r="K901" s="51"/>
      <c r="L901" s="51"/>
      <c r="M901" s="51"/>
      <c r="N901" s="51"/>
      <c r="O901" s="51"/>
      <c r="P901" s="51"/>
      <c r="Q901" s="51"/>
      <c r="R901" s="51"/>
      <c r="S901" s="51"/>
      <c r="T901" s="51"/>
      <c r="U901" s="51"/>
      <c r="V901" s="51"/>
      <c r="W901" s="51"/>
      <c r="X901" s="51"/>
      <c r="Y901" s="51"/>
      <c r="Z901" s="51"/>
      <c r="AA901" s="51"/>
      <c r="AB901" s="51"/>
    </row>
    <row r="902" customFormat="false" ht="15.75" hidden="false" customHeight="false" outlineLevel="0" collapsed="false">
      <c r="A902" s="51"/>
      <c r="B902" s="51"/>
      <c r="C902" s="6"/>
      <c r="D902" s="49"/>
      <c r="E902" s="51"/>
      <c r="F902" s="6"/>
      <c r="G902" s="6"/>
      <c r="H902" s="6"/>
      <c r="I902" s="6"/>
      <c r="J902" s="6"/>
      <c r="K902" s="51"/>
      <c r="L902" s="51"/>
      <c r="M902" s="51"/>
      <c r="N902" s="51"/>
      <c r="O902" s="51"/>
      <c r="P902" s="51"/>
      <c r="Q902" s="51"/>
      <c r="R902" s="51"/>
      <c r="S902" s="51"/>
      <c r="T902" s="51"/>
      <c r="U902" s="51"/>
      <c r="V902" s="51"/>
      <c r="W902" s="51"/>
      <c r="X902" s="51"/>
      <c r="Y902" s="51"/>
      <c r="Z902" s="51"/>
      <c r="AA902" s="51"/>
      <c r="AB902" s="51"/>
    </row>
    <row r="903" customFormat="false" ht="15.75" hidden="false" customHeight="false" outlineLevel="0" collapsed="false">
      <c r="A903" s="51"/>
      <c r="B903" s="51"/>
      <c r="C903" s="6"/>
      <c r="D903" s="49"/>
      <c r="E903" s="51"/>
      <c r="F903" s="6"/>
      <c r="G903" s="6"/>
      <c r="H903" s="6"/>
      <c r="I903" s="6"/>
      <c r="J903" s="6"/>
      <c r="K903" s="51"/>
      <c r="L903" s="51"/>
      <c r="M903" s="51"/>
      <c r="N903" s="51"/>
      <c r="O903" s="51"/>
      <c r="P903" s="51"/>
      <c r="Q903" s="51"/>
      <c r="R903" s="51"/>
      <c r="S903" s="51"/>
      <c r="T903" s="51"/>
      <c r="U903" s="51"/>
      <c r="V903" s="51"/>
      <c r="W903" s="51"/>
      <c r="X903" s="51"/>
      <c r="Y903" s="51"/>
      <c r="Z903" s="51"/>
      <c r="AA903" s="51"/>
      <c r="AB903" s="51"/>
    </row>
    <row r="904" customFormat="false" ht="15.75" hidden="false" customHeight="false" outlineLevel="0" collapsed="false">
      <c r="A904" s="51"/>
      <c r="B904" s="51"/>
      <c r="C904" s="6"/>
      <c r="D904" s="49"/>
      <c r="E904" s="51"/>
      <c r="F904" s="6"/>
      <c r="G904" s="6"/>
      <c r="H904" s="6"/>
      <c r="I904" s="6"/>
      <c r="J904" s="6"/>
      <c r="K904" s="51"/>
      <c r="L904" s="51"/>
      <c r="M904" s="51"/>
      <c r="N904" s="51"/>
      <c r="O904" s="51"/>
      <c r="P904" s="51"/>
      <c r="Q904" s="51"/>
      <c r="R904" s="51"/>
      <c r="S904" s="51"/>
      <c r="T904" s="51"/>
      <c r="U904" s="51"/>
      <c r="V904" s="51"/>
      <c r="W904" s="51"/>
      <c r="X904" s="51"/>
      <c r="Y904" s="51"/>
      <c r="Z904" s="51"/>
      <c r="AA904" s="51"/>
      <c r="AB904" s="51"/>
    </row>
    <row r="905" customFormat="false" ht="15.75" hidden="false" customHeight="false" outlineLevel="0" collapsed="false">
      <c r="A905" s="51"/>
      <c r="B905" s="51"/>
      <c r="C905" s="6"/>
      <c r="D905" s="49"/>
      <c r="E905" s="51"/>
      <c r="F905" s="6"/>
      <c r="G905" s="6"/>
      <c r="H905" s="6"/>
      <c r="I905" s="6"/>
      <c r="J905" s="6"/>
      <c r="K905" s="51"/>
      <c r="L905" s="51"/>
      <c r="M905" s="51"/>
      <c r="N905" s="51"/>
      <c r="O905" s="51"/>
      <c r="P905" s="51"/>
      <c r="Q905" s="51"/>
      <c r="R905" s="51"/>
      <c r="S905" s="51"/>
      <c r="T905" s="51"/>
      <c r="U905" s="51"/>
      <c r="V905" s="51"/>
      <c r="W905" s="51"/>
      <c r="X905" s="51"/>
      <c r="Y905" s="51"/>
      <c r="Z905" s="51"/>
      <c r="AA905" s="51"/>
      <c r="AB905" s="51"/>
    </row>
    <row r="906" customFormat="false" ht="15.75" hidden="false" customHeight="false" outlineLevel="0" collapsed="false">
      <c r="A906" s="51"/>
      <c r="B906" s="51"/>
      <c r="C906" s="6"/>
      <c r="D906" s="49"/>
      <c r="E906" s="51"/>
      <c r="F906" s="6"/>
      <c r="G906" s="6"/>
      <c r="H906" s="6"/>
      <c r="I906" s="6"/>
      <c r="J906" s="6"/>
      <c r="K906" s="51"/>
      <c r="L906" s="51"/>
      <c r="M906" s="51"/>
      <c r="N906" s="51"/>
      <c r="O906" s="51"/>
      <c r="P906" s="51"/>
      <c r="Q906" s="51"/>
      <c r="R906" s="51"/>
      <c r="S906" s="51"/>
      <c r="T906" s="51"/>
      <c r="U906" s="51"/>
      <c r="V906" s="51"/>
      <c r="W906" s="51"/>
      <c r="X906" s="51"/>
      <c r="Y906" s="51"/>
      <c r="Z906" s="51"/>
      <c r="AA906" s="51"/>
      <c r="AB906" s="51"/>
    </row>
    <row r="907" customFormat="false" ht="15.75" hidden="false" customHeight="false" outlineLevel="0" collapsed="false">
      <c r="A907" s="51"/>
      <c r="B907" s="51"/>
      <c r="C907" s="6"/>
      <c r="D907" s="49"/>
      <c r="E907" s="51"/>
      <c r="F907" s="6"/>
      <c r="G907" s="6"/>
      <c r="H907" s="6"/>
      <c r="I907" s="6"/>
      <c r="J907" s="6"/>
      <c r="K907" s="51"/>
      <c r="L907" s="51"/>
      <c r="M907" s="51"/>
      <c r="N907" s="51"/>
      <c r="O907" s="51"/>
      <c r="P907" s="51"/>
      <c r="Q907" s="51"/>
      <c r="R907" s="51"/>
      <c r="S907" s="51"/>
      <c r="T907" s="51"/>
      <c r="U907" s="51"/>
      <c r="V907" s="51"/>
      <c r="W907" s="51"/>
      <c r="X907" s="51"/>
      <c r="Y907" s="51"/>
      <c r="Z907" s="51"/>
      <c r="AA907" s="51"/>
      <c r="AB907" s="51"/>
    </row>
    <row r="908" customFormat="false" ht="15.75" hidden="false" customHeight="false" outlineLevel="0" collapsed="false">
      <c r="A908" s="51"/>
      <c r="B908" s="51"/>
      <c r="C908" s="6"/>
      <c r="D908" s="49"/>
      <c r="E908" s="51"/>
      <c r="F908" s="6"/>
      <c r="G908" s="6"/>
      <c r="H908" s="6"/>
      <c r="I908" s="6"/>
      <c r="J908" s="6"/>
      <c r="K908" s="51"/>
      <c r="L908" s="51"/>
      <c r="M908" s="51"/>
      <c r="N908" s="51"/>
      <c r="O908" s="51"/>
      <c r="P908" s="51"/>
      <c r="Q908" s="51"/>
      <c r="R908" s="51"/>
      <c r="S908" s="51"/>
      <c r="T908" s="51"/>
      <c r="U908" s="51"/>
      <c r="V908" s="51"/>
      <c r="W908" s="51"/>
      <c r="X908" s="51"/>
      <c r="Y908" s="51"/>
      <c r="Z908" s="51"/>
      <c r="AA908" s="51"/>
      <c r="AB908" s="51"/>
    </row>
    <row r="909" customFormat="false" ht="15.75" hidden="false" customHeight="false" outlineLevel="0" collapsed="false">
      <c r="A909" s="51"/>
      <c r="B909" s="51"/>
      <c r="C909" s="6"/>
      <c r="D909" s="49"/>
      <c r="E909" s="51"/>
      <c r="F909" s="6"/>
      <c r="G909" s="6"/>
      <c r="H909" s="6"/>
      <c r="I909" s="6"/>
      <c r="J909" s="6"/>
      <c r="K909" s="51"/>
      <c r="L909" s="51"/>
      <c r="M909" s="51"/>
      <c r="N909" s="51"/>
      <c r="O909" s="51"/>
      <c r="P909" s="51"/>
      <c r="Q909" s="51"/>
      <c r="R909" s="51"/>
      <c r="S909" s="51"/>
      <c r="T909" s="51"/>
      <c r="U909" s="51"/>
      <c r="V909" s="51"/>
      <c r="W909" s="51"/>
      <c r="X909" s="51"/>
      <c r="Y909" s="51"/>
      <c r="Z909" s="51"/>
      <c r="AA909" s="51"/>
      <c r="AB909" s="51"/>
    </row>
    <row r="910" customFormat="false" ht="15.75" hidden="false" customHeight="false" outlineLevel="0" collapsed="false">
      <c r="A910" s="51"/>
      <c r="B910" s="51"/>
      <c r="C910" s="6"/>
      <c r="D910" s="49"/>
      <c r="E910" s="51"/>
      <c r="F910" s="6"/>
      <c r="G910" s="6"/>
      <c r="H910" s="6"/>
      <c r="I910" s="6"/>
      <c r="J910" s="6"/>
      <c r="K910" s="51"/>
      <c r="L910" s="51"/>
      <c r="M910" s="51"/>
      <c r="N910" s="51"/>
      <c r="O910" s="51"/>
      <c r="P910" s="51"/>
      <c r="Q910" s="51"/>
      <c r="R910" s="51"/>
      <c r="S910" s="51"/>
      <c r="T910" s="51"/>
      <c r="U910" s="51"/>
      <c r="V910" s="51"/>
      <c r="W910" s="51"/>
      <c r="X910" s="51"/>
      <c r="Y910" s="51"/>
      <c r="Z910" s="51"/>
      <c r="AA910" s="51"/>
      <c r="AB910" s="51"/>
    </row>
    <row r="911" customFormat="false" ht="15.75" hidden="false" customHeight="false" outlineLevel="0" collapsed="false">
      <c r="A911" s="51"/>
      <c r="B911" s="51"/>
      <c r="C911" s="6"/>
      <c r="D911" s="49"/>
      <c r="E911" s="51"/>
      <c r="F911" s="6"/>
      <c r="G911" s="6"/>
      <c r="H911" s="6"/>
      <c r="I911" s="6"/>
      <c r="J911" s="6"/>
      <c r="K911" s="51"/>
      <c r="L911" s="51"/>
      <c r="M911" s="51"/>
      <c r="N911" s="51"/>
      <c r="O911" s="51"/>
      <c r="P911" s="51"/>
      <c r="Q911" s="51"/>
      <c r="R911" s="51"/>
      <c r="S911" s="51"/>
      <c r="T911" s="51"/>
      <c r="U911" s="51"/>
      <c r="V911" s="51"/>
      <c r="W911" s="51"/>
      <c r="X911" s="51"/>
      <c r="Y911" s="51"/>
      <c r="Z911" s="51"/>
      <c r="AA911" s="51"/>
      <c r="AB911" s="51"/>
    </row>
    <row r="912" customFormat="false" ht="15.75" hidden="false" customHeight="false" outlineLevel="0" collapsed="false">
      <c r="A912" s="51"/>
      <c r="B912" s="51"/>
      <c r="C912" s="6"/>
      <c r="D912" s="49"/>
      <c r="E912" s="51"/>
      <c r="F912" s="6"/>
      <c r="G912" s="6"/>
      <c r="H912" s="6"/>
      <c r="I912" s="6"/>
      <c r="J912" s="6"/>
      <c r="K912" s="51"/>
      <c r="L912" s="51"/>
      <c r="M912" s="51"/>
      <c r="N912" s="51"/>
      <c r="O912" s="51"/>
      <c r="P912" s="51"/>
      <c r="Q912" s="51"/>
      <c r="R912" s="51"/>
      <c r="S912" s="51"/>
      <c r="T912" s="51"/>
      <c r="U912" s="51"/>
      <c r="V912" s="51"/>
      <c r="W912" s="51"/>
      <c r="X912" s="51"/>
      <c r="Y912" s="51"/>
      <c r="Z912" s="51"/>
      <c r="AA912" s="51"/>
      <c r="AB912" s="51"/>
    </row>
    <row r="913" customFormat="false" ht="15.75" hidden="false" customHeight="false" outlineLevel="0" collapsed="false">
      <c r="A913" s="51"/>
      <c r="B913" s="51"/>
      <c r="C913" s="6"/>
      <c r="D913" s="49"/>
      <c r="E913" s="51"/>
      <c r="F913" s="6"/>
      <c r="G913" s="6"/>
      <c r="H913" s="6"/>
      <c r="I913" s="6"/>
      <c r="J913" s="6"/>
      <c r="K913" s="51"/>
      <c r="L913" s="51"/>
      <c r="M913" s="51"/>
      <c r="N913" s="51"/>
      <c r="O913" s="51"/>
      <c r="P913" s="51"/>
      <c r="Q913" s="51"/>
      <c r="R913" s="51"/>
      <c r="S913" s="51"/>
      <c r="T913" s="51"/>
      <c r="U913" s="51"/>
      <c r="V913" s="51"/>
      <c r="W913" s="51"/>
      <c r="X913" s="51"/>
      <c r="Y913" s="51"/>
      <c r="Z913" s="51"/>
      <c r="AA913" s="51"/>
      <c r="AB913" s="51"/>
    </row>
    <row r="914" customFormat="false" ht="15.75" hidden="false" customHeight="false" outlineLevel="0" collapsed="false">
      <c r="A914" s="51"/>
      <c r="B914" s="51"/>
      <c r="C914" s="6"/>
      <c r="D914" s="49"/>
      <c r="E914" s="51"/>
      <c r="F914" s="6"/>
      <c r="G914" s="6"/>
      <c r="H914" s="6"/>
      <c r="I914" s="6"/>
      <c r="J914" s="6"/>
      <c r="K914" s="51"/>
      <c r="L914" s="51"/>
      <c r="M914" s="51"/>
      <c r="N914" s="51"/>
      <c r="O914" s="51"/>
      <c r="P914" s="51"/>
      <c r="Q914" s="51"/>
      <c r="R914" s="51"/>
      <c r="S914" s="51"/>
      <c r="T914" s="51"/>
      <c r="U914" s="51"/>
      <c r="V914" s="51"/>
      <c r="W914" s="51"/>
      <c r="X914" s="51"/>
      <c r="Y914" s="51"/>
      <c r="Z914" s="51"/>
      <c r="AA914" s="51"/>
      <c r="AB914" s="51"/>
    </row>
    <row r="915" customFormat="false" ht="15.75" hidden="false" customHeight="false" outlineLevel="0" collapsed="false">
      <c r="A915" s="51"/>
      <c r="B915" s="51"/>
      <c r="C915" s="6"/>
      <c r="D915" s="49"/>
      <c r="E915" s="51"/>
      <c r="F915" s="6"/>
      <c r="G915" s="6"/>
      <c r="H915" s="6"/>
      <c r="I915" s="6"/>
      <c r="J915" s="6"/>
      <c r="K915" s="51"/>
      <c r="L915" s="51"/>
      <c r="M915" s="51"/>
      <c r="N915" s="51"/>
      <c r="O915" s="51"/>
      <c r="P915" s="51"/>
      <c r="Q915" s="51"/>
      <c r="R915" s="51"/>
      <c r="S915" s="51"/>
      <c r="T915" s="51"/>
      <c r="U915" s="51"/>
      <c r="V915" s="51"/>
      <c r="W915" s="51"/>
      <c r="X915" s="51"/>
      <c r="Y915" s="51"/>
      <c r="Z915" s="51"/>
      <c r="AA915" s="51"/>
      <c r="AB915" s="51"/>
    </row>
    <row r="916" customFormat="false" ht="15.75" hidden="false" customHeight="false" outlineLevel="0" collapsed="false">
      <c r="A916" s="51"/>
      <c r="B916" s="51"/>
      <c r="C916" s="6"/>
      <c r="D916" s="49"/>
      <c r="E916" s="51"/>
      <c r="F916" s="6"/>
      <c r="G916" s="6"/>
      <c r="H916" s="6"/>
      <c r="I916" s="6"/>
      <c r="J916" s="6"/>
      <c r="K916" s="51"/>
      <c r="L916" s="51"/>
      <c r="M916" s="51"/>
      <c r="N916" s="51"/>
      <c r="O916" s="51"/>
      <c r="P916" s="51"/>
      <c r="Q916" s="51"/>
      <c r="R916" s="51"/>
      <c r="S916" s="51"/>
      <c r="T916" s="51"/>
      <c r="U916" s="51"/>
      <c r="V916" s="51"/>
      <c r="W916" s="51"/>
      <c r="X916" s="51"/>
      <c r="Y916" s="51"/>
      <c r="Z916" s="51"/>
      <c r="AA916" s="51"/>
      <c r="AB916" s="51"/>
    </row>
    <row r="917" customFormat="false" ht="15.75" hidden="false" customHeight="false" outlineLevel="0" collapsed="false">
      <c r="A917" s="51"/>
      <c r="B917" s="51"/>
      <c r="C917" s="6"/>
      <c r="D917" s="49"/>
      <c r="E917" s="51"/>
      <c r="F917" s="6"/>
      <c r="G917" s="6"/>
      <c r="H917" s="6"/>
      <c r="I917" s="6"/>
      <c r="J917" s="6"/>
      <c r="K917" s="51"/>
      <c r="L917" s="51"/>
      <c r="M917" s="51"/>
      <c r="N917" s="51"/>
      <c r="O917" s="51"/>
      <c r="P917" s="51"/>
      <c r="Q917" s="51"/>
      <c r="R917" s="51"/>
      <c r="S917" s="51"/>
      <c r="T917" s="51"/>
      <c r="U917" s="51"/>
      <c r="V917" s="51"/>
      <c r="W917" s="51"/>
      <c r="X917" s="51"/>
      <c r="Y917" s="51"/>
      <c r="Z917" s="51"/>
      <c r="AA917" s="51"/>
      <c r="AB917" s="51"/>
    </row>
    <row r="918" customFormat="false" ht="15.75" hidden="false" customHeight="false" outlineLevel="0" collapsed="false">
      <c r="A918" s="51"/>
      <c r="B918" s="51"/>
      <c r="C918" s="6"/>
      <c r="D918" s="49"/>
      <c r="E918" s="51"/>
      <c r="F918" s="6"/>
      <c r="G918" s="6"/>
      <c r="H918" s="6"/>
      <c r="I918" s="6"/>
      <c r="J918" s="6"/>
      <c r="K918" s="51"/>
      <c r="L918" s="51"/>
      <c r="M918" s="51"/>
      <c r="N918" s="51"/>
      <c r="O918" s="51"/>
      <c r="P918" s="51"/>
      <c r="Q918" s="51"/>
      <c r="R918" s="51"/>
      <c r="S918" s="51"/>
      <c r="T918" s="51"/>
      <c r="U918" s="51"/>
      <c r="V918" s="51"/>
      <c r="W918" s="51"/>
      <c r="X918" s="51"/>
      <c r="Y918" s="51"/>
      <c r="Z918" s="51"/>
      <c r="AA918" s="51"/>
      <c r="AB918" s="51"/>
    </row>
    <row r="919" customFormat="false" ht="15.75" hidden="false" customHeight="false" outlineLevel="0" collapsed="false">
      <c r="A919" s="51"/>
      <c r="B919" s="51"/>
      <c r="C919" s="6"/>
      <c r="D919" s="49"/>
      <c r="E919" s="51"/>
      <c r="F919" s="6"/>
      <c r="G919" s="6"/>
      <c r="H919" s="6"/>
      <c r="I919" s="6"/>
      <c r="J919" s="6"/>
      <c r="K919" s="51"/>
      <c r="L919" s="51"/>
      <c r="M919" s="51"/>
      <c r="N919" s="51"/>
      <c r="O919" s="51"/>
      <c r="P919" s="51"/>
      <c r="Q919" s="51"/>
      <c r="R919" s="51"/>
      <c r="S919" s="51"/>
      <c r="T919" s="51"/>
      <c r="U919" s="51"/>
      <c r="V919" s="51"/>
      <c r="W919" s="51"/>
      <c r="X919" s="51"/>
      <c r="Y919" s="51"/>
      <c r="Z919" s="51"/>
      <c r="AA919" s="51"/>
      <c r="AB919" s="51"/>
    </row>
    <row r="920" customFormat="false" ht="15.75" hidden="false" customHeight="false" outlineLevel="0" collapsed="false">
      <c r="A920" s="51"/>
      <c r="B920" s="51"/>
      <c r="C920" s="6"/>
      <c r="D920" s="49"/>
      <c r="E920" s="51"/>
      <c r="F920" s="6"/>
      <c r="G920" s="6"/>
      <c r="H920" s="6"/>
      <c r="I920" s="6"/>
      <c r="J920" s="6"/>
      <c r="K920" s="51"/>
      <c r="L920" s="51"/>
      <c r="M920" s="51"/>
      <c r="N920" s="51"/>
      <c r="O920" s="51"/>
      <c r="P920" s="51"/>
      <c r="Q920" s="51"/>
      <c r="R920" s="51"/>
      <c r="S920" s="51"/>
      <c r="T920" s="51"/>
      <c r="U920" s="51"/>
      <c r="V920" s="51"/>
      <c r="W920" s="51"/>
      <c r="X920" s="51"/>
      <c r="Y920" s="51"/>
      <c r="Z920" s="51"/>
      <c r="AA920" s="51"/>
      <c r="AB920" s="51"/>
    </row>
    <row r="921" customFormat="false" ht="15.75" hidden="false" customHeight="false" outlineLevel="0" collapsed="false">
      <c r="A921" s="51"/>
      <c r="B921" s="51"/>
      <c r="C921" s="6"/>
      <c r="D921" s="49"/>
      <c r="E921" s="51"/>
      <c r="F921" s="6"/>
      <c r="G921" s="6"/>
      <c r="H921" s="6"/>
      <c r="I921" s="6"/>
      <c r="J921" s="6"/>
      <c r="K921" s="51"/>
      <c r="L921" s="51"/>
      <c r="M921" s="51"/>
      <c r="N921" s="51"/>
      <c r="O921" s="51"/>
      <c r="P921" s="51"/>
      <c r="Q921" s="51"/>
      <c r="R921" s="51"/>
      <c r="S921" s="51"/>
      <c r="T921" s="51"/>
      <c r="U921" s="51"/>
      <c r="V921" s="51"/>
      <c r="W921" s="51"/>
      <c r="X921" s="51"/>
      <c r="Y921" s="51"/>
      <c r="Z921" s="51"/>
      <c r="AA921" s="51"/>
      <c r="AB921" s="51"/>
    </row>
    <row r="922" customFormat="false" ht="15.75" hidden="false" customHeight="false" outlineLevel="0" collapsed="false">
      <c r="A922" s="51"/>
      <c r="B922" s="51"/>
      <c r="C922" s="6"/>
      <c r="D922" s="49"/>
      <c r="E922" s="51"/>
      <c r="F922" s="6"/>
      <c r="G922" s="6"/>
      <c r="H922" s="6"/>
      <c r="I922" s="6"/>
      <c r="J922" s="6"/>
      <c r="K922" s="51"/>
      <c r="L922" s="51"/>
      <c r="M922" s="51"/>
      <c r="N922" s="51"/>
      <c r="O922" s="51"/>
      <c r="P922" s="51"/>
      <c r="Q922" s="51"/>
      <c r="R922" s="51"/>
      <c r="S922" s="51"/>
      <c r="T922" s="51"/>
      <c r="U922" s="51"/>
      <c r="V922" s="51"/>
      <c r="W922" s="51"/>
      <c r="X922" s="51"/>
      <c r="Y922" s="51"/>
      <c r="Z922" s="51"/>
      <c r="AA922" s="51"/>
      <c r="AB922" s="51"/>
    </row>
    <row r="923" customFormat="false" ht="15.75" hidden="false" customHeight="false" outlineLevel="0" collapsed="false">
      <c r="A923" s="51"/>
      <c r="B923" s="51"/>
      <c r="C923" s="6"/>
      <c r="D923" s="49"/>
      <c r="E923" s="51"/>
      <c r="F923" s="6"/>
      <c r="G923" s="6"/>
      <c r="H923" s="6"/>
      <c r="I923" s="6"/>
      <c r="J923" s="6"/>
      <c r="K923" s="51"/>
      <c r="L923" s="51"/>
      <c r="M923" s="51"/>
      <c r="N923" s="51"/>
      <c r="O923" s="51"/>
      <c r="P923" s="51"/>
      <c r="Q923" s="51"/>
      <c r="R923" s="51"/>
      <c r="S923" s="51"/>
      <c r="T923" s="51"/>
      <c r="U923" s="51"/>
      <c r="V923" s="51"/>
      <c r="W923" s="51"/>
      <c r="X923" s="51"/>
      <c r="Y923" s="51"/>
      <c r="Z923" s="51"/>
      <c r="AA923" s="51"/>
      <c r="AB923" s="51"/>
    </row>
    <row r="924" customFormat="false" ht="15.75" hidden="false" customHeight="false" outlineLevel="0" collapsed="false">
      <c r="A924" s="51"/>
      <c r="B924" s="51"/>
      <c r="C924" s="6"/>
      <c r="D924" s="49"/>
      <c r="E924" s="51"/>
      <c r="F924" s="6"/>
      <c r="G924" s="6"/>
      <c r="H924" s="6"/>
      <c r="I924" s="6"/>
      <c r="J924" s="6"/>
      <c r="K924" s="51"/>
      <c r="L924" s="51"/>
      <c r="M924" s="51"/>
      <c r="N924" s="51"/>
      <c r="O924" s="51"/>
      <c r="P924" s="51"/>
      <c r="Q924" s="51"/>
      <c r="R924" s="51"/>
      <c r="S924" s="51"/>
      <c r="T924" s="51"/>
      <c r="U924" s="51"/>
      <c r="V924" s="51"/>
      <c r="W924" s="51"/>
      <c r="X924" s="51"/>
      <c r="Y924" s="51"/>
      <c r="Z924" s="51"/>
      <c r="AA924" s="51"/>
      <c r="AB924" s="51"/>
    </row>
    <row r="925" customFormat="false" ht="15.75" hidden="false" customHeight="false" outlineLevel="0" collapsed="false">
      <c r="A925" s="51"/>
      <c r="B925" s="51"/>
      <c r="C925" s="6"/>
      <c r="D925" s="49"/>
      <c r="E925" s="51"/>
      <c r="F925" s="6"/>
      <c r="G925" s="6"/>
      <c r="H925" s="6"/>
      <c r="I925" s="6"/>
      <c r="J925" s="6"/>
      <c r="K925" s="51"/>
      <c r="L925" s="51"/>
      <c r="M925" s="51"/>
      <c r="N925" s="51"/>
      <c r="O925" s="51"/>
      <c r="P925" s="51"/>
      <c r="Q925" s="51"/>
      <c r="R925" s="51"/>
      <c r="S925" s="51"/>
      <c r="T925" s="51"/>
      <c r="U925" s="51"/>
      <c r="V925" s="51"/>
      <c r="W925" s="51"/>
      <c r="X925" s="51"/>
      <c r="Y925" s="51"/>
      <c r="Z925" s="51"/>
      <c r="AA925" s="51"/>
      <c r="AB925" s="51"/>
    </row>
    <row r="926" customFormat="false" ht="15.75" hidden="false" customHeight="false" outlineLevel="0" collapsed="false">
      <c r="A926" s="51"/>
      <c r="B926" s="51"/>
      <c r="C926" s="6"/>
      <c r="D926" s="49"/>
      <c r="E926" s="51"/>
      <c r="F926" s="6"/>
      <c r="G926" s="6"/>
      <c r="H926" s="6"/>
      <c r="I926" s="6"/>
      <c r="J926" s="6"/>
      <c r="K926" s="51"/>
      <c r="L926" s="51"/>
      <c r="M926" s="51"/>
      <c r="N926" s="51"/>
      <c r="O926" s="51"/>
      <c r="P926" s="51"/>
      <c r="Q926" s="51"/>
      <c r="R926" s="51"/>
      <c r="S926" s="51"/>
      <c r="T926" s="51"/>
      <c r="U926" s="51"/>
      <c r="V926" s="51"/>
      <c r="W926" s="51"/>
      <c r="X926" s="51"/>
      <c r="Y926" s="51"/>
      <c r="Z926" s="51"/>
      <c r="AA926" s="51"/>
      <c r="AB926" s="51"/>
    </row>
    <row r="927" customFormat="false" ht="15.75" hidden="false" customHeight="false" outlineLevel="0" collapsed="false">
      <c r="A927" s="51"/>
      <c r="B927" s="51"/>
      <c r="C927" s="6"/>
      <c r="D927" s="49"/>
      <c r="E927" s="51"/>
      <c r="F927" s="6"/>
      <c r="G927" s="6"/>
      <c r="H927" s="6"/>
      <c r="I927" s="6"/>
      <c r="J927" s="6"/>
      <c r="K927" s="51"/>
      <c r="L927" s="51"/>
      <c r="M927" s="51"/>
      <c r="N927" s="51"/>
      <c r="O927" s="51"/>
      <c r="P927" s="51"/>
      <c r="Q927" s="51"/>
      <c r="R927" s="51"/>
      <c r="S927" s="51"/>
      <c r="T927" s="51"/>
      <c r="U927" s="51"/>
      <c r="V927" s="51"/>
      <c r="W927" s="51"/>
      <c r="X927" s="51"/>
      <c r="Y927" s="51"/>
      <c r="Z927" s="51"/>
      <c r="AA927" s="51"/>
      <c r="AB927" s="51"/>
    </row>
    <row r="928" customFormat="false" ht="15.75" hidden="false" customHeight="false" outlineLevel="0" collapsed="false">
      <c r="A928" s="51"/>
      <c r="B928" s="51"/>
      <c r="C928" s="6"/>
      <c r="D928" s="49"/>
      <c r="E928" s="51"/>
      <c r="F928" s="6"/>
      <c r="G928" s="6"/>
      <c r="H928" s="6"/>
      <c r="I928" s="6"/>
      <c r="J928" s="6"/>
      <c r="K928" s="51"/>
      <c r="L928" s="51"/>
      <c r="M928" s="51"/>
      <c r="N928" s="51"/>
      <c r="O928" s="51"/>
      <c r="P928" s="51"/>
      <c r="Q928" s="51"/>
      <c r="R928" s="51"/>
      <c r="S928" s="51"/>
      <c r="T928" s="51"/>
      <c r="U928" s="51"/>
      <c r="V928" s="51"/>
      <c r="W928" s="51"/>
      <c r="X928" s="51"/>
      <c r="Y928" s="51"/>
      <c r="Z928" s="51"/>
      <c r="AA928" s="51"/>
      <c r="AB928" s="51"/>
    </row>
    <row r="929" customFormat="false" ht="15.75" hidden="false" customHeight="false" outlineLevel="0" collapsed="false">
      <c r="A929" s="51"/>
      <c r="B929" s="51"/>
      <c r="C929" s="6"/>
      <c r="D929" s="49"/>
      <c r="E929" s="51"/>
      <c r="F929" s="6"/>
      <c r="G929" s="6"/>
      <c r="H929" s="6"/>
      <c r="I929" s="6"/>
      <c r="J929" s="6"/>
      <c r="K929" s="51"/>
      <c r="L929" s="51"/>
      <c r="M929" s="51"/>
      <c r="N929" s="51"/>
      <c r="O929" s="51"/>
      <c r="P929" s="51"/>
      <c r="Q929" s="51"/>
      <c r="R929" s="51"/>
      <c r="S929" s="51"/>
      <c r="T929" s="51"/>
      <c r="U929" s="51"/>
      <c r="V929" s="51"/>
      <c r="W929" s="51"/>
      <c r="X929" s="51"/>
      <c r="Y929" s="51"/>
      <c r="Z929" s="51"/>
      <c r="AA929" s="51"/>
      <c r="AB929" s="51"/>
    </row>
    <row r="930" customFormat="false" ht="15.75" hidden="false" customHeight="false" outlineLevel="0" collapsed="false">
      <c r="A930" s="51"/>
      <c r="B930" s="51"/>
      <c r="C930" s="6"/>
      <c r="D930" s="49"/>
      <c r="E930" s="51"/>
      <c r="F930" s="6"/>
      <c r="G930" s="6"/>
      <c r="H930" s="6"/>
      <c r="I930" s="6"/>
      <c r="J930" s="6"/>
      <c r="K930" s="51"/>
      <c r="L930" s="51"/>
      <c r="M930" s="51"/>
      <c r="N930" s="51"/>
      <c r="O930" s="51"/>
      <c r="P930" s="51"/>
      <c r="Q930" s="51"/>
      <c r="R930" s="51"/>
      <c r="S930" s="51"/>
      <c r="T930" s="51"/>
      <c r="U930" s="51"/>
      <c r="V930" s="51"/>
      <c r="W930" s="51"/>
      <c r="X930" s="51"/>
      <c r="Y930" s="51"/>
      <c r="Z930" s="51"/>
      <c r="AA930" s="51"/>
      <c r="AB930" s="51"/>
    </row>
    <row r="931" customFormat="false" ht="15.75" hidden="false" customHeight="false" outlineLevel="0" collapsed="false">
      <c r="A931" s="51"/>
      <c r="B931" s="51"/>
      <c r="C931" s="6"/>
      <c r="D931" s="49"/>
      <c r="E931" s="51"/>
      <c r="F931" s="6"/>
      <c r="G931" s="6"/>
      <c r="H931" s="6"/>
      <c r="I931" s="6"/>
      <c r="J931" s="6"/>
      <c r="K931" s="51"/>
      <c r="L931" s="51"/>
      <c r="M931" s="51"/>
      <c r="N931" s="51"/>
      <c r="O931" s="51"/>
      <c r="P931" s="51"/>
      <c r="Q931" s="51"/>
      <c r="R931" s="51"/>
      <c r="S931" s="51"/>
      <c r="T931" s="51"/>
      <c r="U931" s="51"/>
      <c r="V931" s="51"/>
      <c r="W931" s="51"/>
      <c r="X931" s="51"/>
      <c r="Y931" s="51"/>
      <c r="Z931" s="51"/>
      <c r="AA931" s="51"/>
      <c r="AB931" s="51"/>
    </row>
    <row r="932" customFormat="false" ht="15.75" hidden="false" customHeight="false" outlineLevel="0" collapsed="false">
      <c r="A932" s="51"/>
      <c r="B932" s="51"/>
      <c r="C932" s="6"/>
      <c r="D932" s="49"/>
      <c r="E932" s="51"/>
      <c r="F932" s="6"/>
      <c r="G932" s="6"/>
      <c r="H932" s="6"/>
      <c r="I932" s="6"/>
      <c r="J932" s="6"/>
      <c r="K932" s="51"/>
      <c r="L932" s="51"/>
      <c r="M932" s="51"/>
      <c r="N932" s="51"/>
      <c r="O932" s="51"/>
      <c r="P932" s="51"/>
      <c r="Q932" s="51"/>
      <c r="R932" s="51"/>
      <c r="S932" s="51"/>
      <c r="T932" s="51"/>
      <c r="U932" s="51"/>
      <c r="V932" s="51"/>
      <c r="W932" s="51"/>
      <c r="X932" s="51"/>
      <c r="Y932" s="51"/>
      <c r="Z932" s="51"/>
      <c r="AA932" s="51"/>
      <c r="AB932" s="51"/>
    </row>
    <row r="933" customFormat="false" ht="15.75" hidden="false" customHeight="false" outlineLevel="0" collapsed="false">
      <c r="A933" s="51"/>
      <c r="B933" s="51"/>
      <c r="C933" s="6"/>
      <c r="D933" s="49"/>
      <c r="E933" s="51"/>
      <c r="F933" s="6"/>
      <c r="G933" s="6"/>
      <c r="H933" s="6"/>
      <c r="I933" s="6"/>
      <c r="J933" s="6"/>
      <c r="K933" s="51"/>
      <c r="L933" s="51"/>
      <c r="M933" s="51"/>
      <c r="N933" s="51"/>
      <c r="O933" s="51"/>
      <c r="P933" s="51"/>
      <c r="Q933" s="51"/>
      <c r="R933" s="51"/>
      <c r="S933" s="51"/>
      <c r="T933" s="51"/>
      <c r="U933" s="51"/>
      <c r="V933" s="51"/>
      <c r="W933" s="51"/>
      <c r="X933" s="51"/>
      <c r="Y933" s="51"/>
      <c r="Z933" s="51"/>
      <c r="AA933" s="51"/>
      <c r="AB933" s="51"/>
    </row>
    <row r="934" customFormat="false" ht="15.75" hidden="false" customHeight="false" outlineLevel="0" collapsed="false">
      <c r="A934" s="51"/>
      <c r="B934" s="51"/>
      <c r="C934" s="6"/>
      <c r="D934" s="49"/>
      <c r="E934" s="51"/>
      <c r="F934" s="6"/>
      <c r="G934" s="6"/>
      <c r="H934" s="6"/>
      <c r="I934" s="6"/>
      <c r="J934" s="6"/>
      <c r="K934" s="51"/>
      <c r="L934" s="51"/>
      <c r="M934" s="51"/>
      <c r="N934" s="51"/>
      <c r="O934" s="51"/>
      <c r="P934" s="51"/>
      <c r="Q934" s="51"/>
      <c r="R934" s="51"/>
      <c r="S934" s="51"/>
      <c r="T934" s="51"/>
      <c r="U934" s="51"/>
      <c r="V934" s="51"/>
      <c r="W934" s="51"/>
      <c r="X934" s="51"/>
      <c r="Y934" s="51"/>
      <c r="Z934" s="51"/>
      <c r="AA934" s="51"/>
      <c r="AB934" s="51"/>
    </row>
    <row r="935" customFormat="false" ht="15.75" hidden="false" customHeight="false" outlineLevel="0" collapsed="false">
      <c r="A935" s="51"/>
      <c r="B935" s="51"/>
      <c r="C935" s="6"/>
      <c r="D935" s="49"/>
      <c r="E935" s="51"/>
      <c r="F935" s="6"/>
      <c r="G935" s="6"/>
      <c r="H935" s="6"/>
      <c r="I935" s="6"/>
      <c r="J935" s="6"/>
      <c r="K935" s="51"/>
      <c r="L935" s="51"/>
      <c r="M935" s="51"/>
      <c r="N935" s="51"/>
      <c r="O935" s="51"/>
      <c r="P935" s="51"/>
      <c r="Q935" s="51"/>
      <c r="R935" s="51"/>
      <c r="S935" s="51"/>
      <c r="T935" s="51"/>
      <c r="U935" s="51"/>
      <c r="V935" s="51"/>
      <c r="W935" s="51"/>
      <c r="X935" s="51"/>
      <c r="Y935" s="51"/>
      <c r="Z935" s="51"/>
      <c r="AA935" s="51"/>
      <c r="AB935" s="51"/>
    </row>
    <row r="936" customFormat="false" ht="15.75" hidden="false" customHeight="false" outlineLevel="0" collapsed="false">
      <c r="A936" s="51"/>
      <c r="B936" s="51"/>
      <c r="C936" s="6"/>
      <c r="D936" s="49"/>
      <c r="E936" s="51"/>
      <c r="F936" s="6"/>
      <c r="G936" s="6"/>
      <c r="H936" s="6"/>
      <c r="I936" s="6"/>
      <c r="J936" s="6"/>
      <c r="K936" s="51"/>
      <c r="L936" s="51"/>
      <c r="M936" s="51"/>
      <c r="N936" s="51"/>
      <c r="O936" s="51"/>
      <c r="P936" s="51"/>
      <c r="Q936" s="51"/>
      <c r="R936" s="51"/>
      <c r="S936" s="51"/>
      <c r="T936" s="51"/>
      <c r="U936" s="51"/>
      <c r="V936" s="51"/>
      <c r="W936" s="51"/>
      <c r="X936" s="51"/>
      <c r="Y936" s="51"/>
      <c r="Z936" s="51"/>
      <c r="AA936" s="51"/>
      <c r="AB936" s="51"/>
    </row>
    <row r="937" customFormat="false" ht="15.75" hidden="false" customHeight="false" outlineLevel="0" collapsed="false">
      <c r="A937" s="51"/>
      <c r="B937" s="51"/>
      <c r="C937" s="6"/>
      <c r="D937" s="49"/>
      <c r="E937" s="51"/>
      <c r="F937" s="6"/>
      <c r="G937" s="6"/>
      <c r="H937" s="6"/>
      <c r="I937" s="6"/>
      <c r="J937" s="6"/>
      <c r="K937" s="51"/>
      <c r="L937" s="51"/>
      <c r="M937" s="51"/>
      <c r="N937" s="51"/>
      <c r="O937" s="51"/>
      <c r="P937" s="51"/>
      <c r="Q937" s="51"/>
      <c r="R937" s="51"/>
      <c r="S937" s="51"/>
      <c r="T937" s="51"/>
      <c r="U937" s="51"/>
      <c r="V937" s="51"/>
      <c r="W937" s="51"/>
      <c r="X937" s="51"/>
      <c r="Y937" s="51"/>
      <c r="Z937" s="51"/>
      <c r="AA937" s="51"/>
      <c r="AB937" s="51"/>
    </row>
    <row r="938" customFormat="false" ht="15.75" hidden="false" customHeight="false" outlineLevel="0" collapsed="false">
      <c r="A938" s="51"/>
      <c r="B938" s="51"/>
      <c r="C938" s="6"/>
      <c r="D938" s="49"/>
      <c r="E938" s="51"/>
      <c r="F938" s="6"/>
      <c r="G938" s="6"/>
      <c r="H938" s="6"/>
      <c r="I938" s="6"/>
      <c r="J938" s="6"/>
      <c r="K938" s="51"/>
      <c r="L938" s="51"/>
      <c r="M938" s="51"/>
      <c r="N938" s="51"/>
      <c r="O938" s="51"/>
      <c r="P938" s="51"/>
      <c r="Q938" s="51"/>
      <c r="R938" s="51"/>
      <c r="S938" s="51"/>
      <c r="T938" s="51"/>
      <c r="U938" s="51"/>
      <c r="V938" s="51"/>
      <c r="W938" s="51"/>
      <c r="X938" s="51"/>
      <c r="Y938" s="51"/>
      <c r="Z938" s="51"/>
      <c r="AA938" s="51"/>
      <c r="AB938" s="51"/>
    </row>
    <row r="939" customFormat="false" ht="15.75" hidden="false" customHeight="false" outlineLevel="0" collapsed="false">
      <c r="A939" s="51"/>
      <c r="B939" s="51"/>
      <c r="C939" s="6"/>
      <c r="D939" s="49"/>
      <c r="E939" s="51"/>
      <c r="F939" s="6"/>
      <c r="G939" s="6"/>
      <c r="H939" s="6"/>
      <c r="I939" s="6"/>
      <c r="J939" s="6"/>
      <c r="K939" s="51"/>
      <c r="L939" s="51"/>
      <c r="M939" s="51"/>
      <c r="N939" s="51"/>
      <c r="O939" s="51"/>
      <c r="P939" s="51"/>
      <c r="Q939" s="51"/>
      <c r="R939" s="51"/>
      <c r="S939" s="51"/>
      <c r="T939" s="51"/>
      <c r="U939" s="51"/>
      <c r="V939" s="51"/>
      <c r="W939" s="51"/>
      <c r="X939" s="51"/>
      <c r="Y939" s="51"/>
      <c r="Z939" s="51"/>
      <c r="AA939" s="51"/>
      <c r="AB939" s="51"/>
    </row>
    <row r="940" customFormat="false" ht="15.75" hidden="false" customHeight="false" outlineLevel="0" collapsed="false">
      <c r="A940" s="51"/>
      <c r="B940" s="51"/>
      <c r="C940" s="6"/>
      <c r="D940" s="49"/>
      <c r="E940" s="51"/>
      <c r="F940" s="6"/>
      <c r="G940" s="6"/>
      <c r="H940" s="6"/>
      <c r="I940" s="6"/>
      <c r="J940" s="6"/>
      <c r="K940" s="51"/>
      <c r="L940" s="51"/>
      <c r="M940" s="51"/>
      <c r="N940" s="51"/>
      <c r="O940" s="51"/>
      <c r="P940" s="51"/>
      <c r="Q940" s="51"/>
      <c r="R940" s="51"/>
      <c r="S940" s="51"/>
      <c r="T940" s="51"/>
      <c r="U940" s="51"/>
      <c r="V940" s="51"/>
      <c r="W940" s="51"/>
      <c r="X940" s="51"/>
      <c r="Y940" s="51"/>
      <c r="Z940" s="51"/>
      <c r="AA940" s="51"/>
      <c r="AB940" s="51"/>
    </row>
    <row r="941" customFormat="false" ht="15.75" hidden="false" customHeight="false" outlineLevel="0" collapsed="false">
      <c r="A941" s="51"/>
      <c r="B941" s="51"/>
      <c r="C941" s="6"/>
      <c r="D941" s="49"/>
      <c r="E941" s="51"/>
      <c r="F941" s="6"/>
      <c r="G941" s="6"/>
      <c r="H941" s="6"/>
      <c r="I941" s="6"/>
      <c r="J941" s="6"/>
      <c r="K941" s="51"/>
      <c r="L941" s="51"/>
      <c r="M941" s="51"/>
      <c r="N941" s="51"/>
      <c r="O941" s="51"/>
      <c r="P941" s="51"/>
      <c r="Q941" s="51"/>
      <c r="R941" s="51"/>
      <c r="S941" s="51"/>
      <c r="T941" s="51"/>
      <c r="U941" s="51"/>
      <c r="V941" s="51"/>
      <c r="W941" s="51"/>
      <c r="X941" s="51"/>
      <c r="Y941" s="51"/>
      <c r="Z941" s="51"/>
      <c r="AA941" s="51"/>
      <c r="AB941" s="51"/>
    </row>
    <row r="942" customFormat="false" ht="15.75" hidden="false" customHeight="false" outlineLevel="0" collapsed="false">
      <c r="A942" s="51"/>
      <c r="B942" s="51"/>
      <c r="C942" s="6"/>
      <c r="D942" s="49"/>
      <c r="E942" s="51"/>
      <c r="F942" s="6"/>
      <c r="G942" s="6"/>
      <c r="H942" s="6"/>
      <c r="I942" s="6"/>
      <c r="J942" s="6"/>
      <c r="K942" s="51"/>
      <c r="L942" s="51"/>
      <c r="M942" s="51"/>
      <c r="N942" s="51"/>
      <c r="O942" s="51"/>
      <c r="P942" s="51"/>
      <c r="Q942" s="51"/>
      <c r="R942" s="51"/>
      <c r="S942" s="51"/>
      <c r="T942" s="51"/>
      <c r="U942" s="51"/>
      <c r="V942" s="51"/>
      <c r="W942" s="51"/>
      <c r="X942" s="51"/>
      <c r="Y942" s="51"/>
      <c r="Z942" s="51"/>
      <c r="AA942" s="51"/>
      <c r="AB942" s="51"/>
    </row>
    <row r="943" customFormat="false" ht="15.75" hidden="false" customHeight="false" outlineLevel="0" collapsed="false">
      <c r="A943" s="51"/>
      <c r="B943" s="51"/>
      <c r="C943" s="6"/>
      <c r="D943" s="49"/>
      <c r="E943" s="51"/>
      <c r="F943" s="6"/>
      <c r="G943" s="6"/>
      <c r="H943" s="6"/>
      <c r="I943" s="6"/>
      <c r="J943" s="6"/>
      <c r="K943" s="51"/>
      <c r="L943" s="51"/>
      <c r="M943" s="51"/>
      <c r="N943" s="51"/>
      <c r="O943" s="51"/>
      <c r="P943" s="51"/>
      <c r="Q943" s="51"/>
      <c r="R943" s="51"/>
      <c r="S943" s="51"/>
      <c r="T943" s="51"/>
      <c r="U943" s="51"/>
      <c r="V943" s="51"/>
      <c r="W943" s="51"/>
      <c r="X943" s="51"/>
      <c r="Y943" s="51"/>
      <c r="Z943" s="51"/>
      <c r="AA943" s="51"/>
      <c r="AB943" s="51"/>
    </row>
    <row r="944" customFormat="false" ht="15.75" hidden="false" customHeight="false" outlineLevel="0" collapsed="false">
      <c r="A944" s="51"/>
      <c r="B944" s="51"/>
      <c r="C944" s="6"/>
      <c r="D944" s="49"/>
      <c r="E944" s="51"/>
      <c r="F944" s="6"/>
      <c r="G944" s="6"/>
      <c r="H944" s="6"/>
      <c r="I944" s="6"/>
      <c r="J944" s="6"/>
      <c r="K944" s="51"/>
      <c r="L944" s="51"/>
      <c r="M944" s="51"/>
      <c r="N944" s="51"/>
      <c r="O944" s="51"/>
      <c r="P944" s="51"/>
      <c r="Q944" s="51"/>
      <c r="R944" s="51"/>
      <c r="S944" s="51"/>
      <c r="T944" s="51"/>
      <c r="U944" s="51"/>
      <c r="V944" s="51"/>
      <c r="W944" s="51"/>
      <c r="X944" s="51"/>
      <c r="Y944" s="51"/>
      <c r="Z944" s="51"/>
      <c r="AA944" s="51"/>
      <c r="AB944" s="51"/>
    </row>
    <row r="945" customFormat="false" ht="15.75" hidden="false" customHeight="false" outlineLevel="0" collapsed="false">
      <c r="A945" s="51"/>
      <c r="B945" s="51"/>
      <c r="C945" s="6"/>
      <c r="D945" s="49"/>
      <c r="E945" s="51"/>
      <c r="F945" s="6"/>
      <c r="G945" s="6"/>
      <c r="H945" s="6"/>
      <c r="I945" s="6"/>
      <c r="J945" s="6"/>
      <c r="K945" s="51"/>
      <c r="L945" s="51"/>
      <c r="M945" s="51"/>
      <c r="N945" s="51"/>
      <c r="O945" s="51"/>
      <c r="P945" s="51"/>
      <c r="Q945" s="51"/>
      <c r="R945" s="51"/>
      <c r="S945" s="51"/>
      <c r="T945" s="51"/>
      <c r="U945" s="51"/>
      <c r="V945" s="51"/>
      <c r="W945" s="51"/>
      <c r="X945" s="51"/>
      <c r="Y945" s="51"/>
      <c r="Z945" s="51"/>
      <c r="AA945" s="51"/>
      <c r="AB945" s="51"/>
    </row>
    <row r="946" customFormat="false" ht="15.75" hidden="false" customHeight="false" outlineLevel="0" collapsed="false">
      <c r="A946" s="51"/>
      <c r="B946" s="51"/>
      <c r="C946" s="6"/>
      <c r="D946" s="49"/>
      <c r="E946" s="51"/>
      <c r="F946" s="6"/>
      <c r="G946" s="6"/>
      <c r="H946" s="6"/>
      <c r="I946" s="6"/>
      <c r="J946" s="6"/>
      <c r="K946" s="51"/>
      <c r="L946" s="51"/>
      <c r="M946" s="51"/>
      <c r="N946" s="51"/>
      <c r="O946" s="51"/>
      <c r="P946" s="51"/>
      <c r="Q946" s="51"/>
      <c r="R946" s="51"/>
      <c r="S946" s="51"/>
      <c r="T946" s="51"/>
      <c r="U946" s="51"/>
      <c r="V946" s="51"/>
      <c r="W946" s="51"/>
      <c r="X946" s="51"/>
      <c r="Y946" s="51"/>
      <c r="Z946" s="51"/>
      <c r="AA946" s="51"/>
      <c r="AB946" s="51"/>
    </row>
    <row r="947" customFormat="false" ht="15.75" hidden="false" customHeight="false" outlineLevel="0" collapsed="false">
      <c r="A947" s="51"/>
      <c r="B947" s="51"/>
      <c r="C947" s="6"/>
      <c r="D947" s="49"/>
      <c r="E947" s="51"/>
      <c r="F947" s="6"/>
      <c r="G947" s="6"/>
      <c r="H947" s="6"/>
      <c r="I947" s="6"/>
      <c r="J947" s="6"/>
      <c r="K947" s="51"/>
      <c r="L947" s="51"/>
      <c r="M947" s="51"/>
      <c r="N947" s="51"/>
      <c r="O947" s="51"/>
      <c r="P947" s="51"/>
      <c r="Q947" s="51"/>
      <c r="R947" s="51"/>
      <c r="S947" s="51"/>
      <c r="T947" s="51"/>
      <c r="U947" s="51"/>
      <c r="V947" s="51"/>
      <c r="W947" s="51"/>
      <c r="X947" s="51"/>
      <c r="Y947" s="51"/>
      <c r="Z947" s="51"/>
      <c r="AA947" s="51"/>
      <c r="AB947" s="51"/>
    </row>
    <row r="948" customFormat="false" ht="15.75" hidden="false" customHeight="false" outlineLevel="0" collapsed="false">
      <c r="A948" s="51"/>
      <c r="B948" s="51"/>
      <c r="C948" s="6"/>
      <c r="D948" s="49"/>
      <c r="E948" s="51"/>
      <c r="F948" s="6"/>
      <c r="G948" s="6"/>
      <c r="H948" s="6"/>
      <c r="I948" s="6"/>
      <c r="J948" s="6"/>
      <c r="K948" s="51"/>
      <c r="L948" s="51"/>
      <c r="M948" s="51"/>
      <c r="N948" s="51"/>
      <c r="O948" s="51"/>
      <c r="P948" s="51"/>
      <c r="Q948" s="51"/>
      <c r="R948" s="51"/>
      <c r="S948" s="51"/>
      <c r="T948" s="51"/>
      <c r="U948" s="51"/>
      <c r="V948" s="51"/>
      <c r="W948" s="51"/>
      <c r="X948" s="51"/>
      <c r="Y948" s="51"/>
      <c r="Z948" s="51"/>
      <c r="AA948" s="51"/>
      <c r="AB948" s="51"/>
    </row>
    <row r="949" customFormat="false" ht="15.75" hidden="false" customHeight="false" outlineLevel="0" collapsed="false">
      <c r="A949" s="51"/>
      <c r="B949" s="51"/>
      <c r="C949" s="6"/>
      <c r="D949" s="49"/>
      <c r="E949" s="51"/>
      <c r="F949" s="6"/>
      <c r="G949" s="6"/>
      <c r="H949" s="6"/>
      <c r="I949" s="6"/>
      <c r="J949" s="6"/>
      <c r="K949" s="51"/>
      <c r="L949" s="51"/>
      <c r="M949" s="51"/>
      <c r="N949" s="51"/>
      <c r="O949" s="51"/>
      <c r="P949" s="51"/>
      <c r="Q949" s="51"/>
      <c r="R949" s="51"/>
      <c r="S949" s="51"/>
      <c r="T949" s="51"/>
      <c r="U949" s="51"/>
      <c r="V949" s="51"/>
      <c r="W949" s="51"/>
      <c r="X949" s="51"/>
      <c r="Y949" s="51"/>
      <c r="Z949" s="51"/>
      <c r="AA949" s="51"/>
      <c r="AB949" s="51"/>
    </row>
    <row r="950" customFormat="false" ht="15.75" hidden="false" customHeight="false" outlineLevel="0" collapsed="false">
      <c r="A950" s="51"/>
      <c r="B950" s="51"/>
      <c r="C950" s="6"/>
      <c r="D950" s="49"/>
      <c r="E950" s="51"/>
      <c r="F950" s="6"/>
      <c r="G950" s="6"/>
      <c r="H950" s="6"/>
      <c r="I950" s="6"/>
      <c r="J950" s="6"/>
      <c r="K950" s="51"/>
      <c r="L950" s="51"/>
      <c r="M950" s="51"/>
      <c r="N950" s="51"/>
      <c r="O950" s="51"/>
      <c r="P950" s="51"/>
      <c r="Q950" s="51"/>
      <c r="R950" s="51"/>
      <c r="S950" s="51"/>
      <c r="T950" s="51"/>
      <c r="U950" s="51"/>
      <c r="V950" s="51"/>
      <c r="W950" s="51"/>
      <c r="X950" s="51"/>
      <c r="Y950" s="51"/>
      <c r="Z950" s="51"/>
      <c r="AA950" s="51"/>
      <c r="AB950" s="51"/>
    </row>
    <row r="951" customFormat="false" ht="15.75" hidden="false" customHeight="false" outlineLevel="0" collapsed="false">
      <c r="A951" s="51"/>
      <c r="B951" s="51"/>
      <c r="C951" s="6"/>
      <c r="D951" s="49"/>
      <c r="E951" s="51"/>
      <c r="F951" s="6"/>
      <c r="G951" s="6"/>
      <c r="H951" s="6"/>
      <c r="I951" s="6"/>
      <c r="J951" s="6"/>
      <c r="K951" s="51"/>
      <c r="L951" s="51"/>
      <c r="M951" s="51"/>
      <c r="N951" s="51"/>
      <c r="O951" s="51"/>
      <c r="P951" s="51"/>
      <c r="Q951" s="51"/>
      <c r="R951" s="51"/>
      <c r="S951" s="51"/>
      <c r="T951" s="51"/>
      <c r="U951" s="51"/>
      <c r="V951" s="51"/>
      <c r="W951" s="51"/>
      <c r="X951" s="51"/>
      <c r="Y951" s="51"/>
      <c r="Z951" s="51"/>
      <c r="AA951" s="51"/>
      <c r="AB951" s="51"/>
    </row>
    <row r="952" customFormat="false" ht="15.75" hidden="false" customHeight="false" outlineLevel="0" collapsed="false">
      <c r="A952" s="51"/>
      <c r="B952" s="51"/>
      <c r="C952" s="6"/>
      <c r="D952" s="49"/>
      <c r="E952" s="51"/>
      <c r="F952" s="6"/>
      <c r="G952" s="6"/>
      <c r="H952" s="6"/>
      <c r="I952" s="6"/>
      <c r="J952" s="6"/>
      <c r="K952" s="51"/>
      <c r="L952" s="51"/>
      <c r="M952" s="51"/>
      <c r="N952" s="51"/>
      <c r="O952" s="51"/>
      <c r="P952" s="51"/>
      <c r="Q952" s="51"/>
      <c r="R952" s="51"/>
      <c r="S952" s="51"/>
      <c r="T952" s="51"/>
      <c r="U952" s="51"/>
      <c r="V952" s="51"/>
      <c r="W952" s="51"/>
      <c r="X952" s="51"/>
      <c r="Y952" s="51"/>
      <c r="Z952" s="51"/>
      <c r="AA952" s="51"/>
      <c r="AB952" s="51"/>
    </row>
    <row r="953" customFormat="false" ht="15.75" hidden="false" customHeight="false" outlineLevel="0" collapsed="false">
      <c r="A953" s="51"/>
      <c r="B953" s="51"/>
      <c r="C953" s="6"/>
      <c r="D953" s="49"/>
      <c r="E953" s="51"/>
      <c r="F953" s="6"/>
      <c r="G953" s="6"/>
      <c r="H953" s="6"/>
      <c r="I953" s="6"/>
      <c r="J953" s="6"/>
      <c r="K953" s="51"/>
      <c r="L953" s="51"/>
      <c r="M953" s="51"/>
      <c r="N953" s="51"/>
      <c r="O953" s="51"/>
      <c r="P953" s="51"/>
      <c r="Q953" s="51"/>
      <c r="R953" s="51"/>
      <c r="S953" s="51"/>
      <c r="T953" s="51"/>
      <c r="U953" s="51"/>
      <c r="V953" s="51"/>
      <c r="W953" s="51"/>
      <c r="X953" s="51"/>
      <c r="Y953" s="51"/>
      <c r="Z953" s="51"/>
      <c r="AA953" s="51"/>
      <c r="AB953" s="51"/>
    </row>
    <row r="954" customFormat="false" ht="15.75" hidden="false" customHeight="false" outlineLevel="0" collapsed="false">
      <c r="A954" s="51"/>
      <c r="B954" s="51"/>
      <c r="C954" s="6"/>
      <c r="D954" s="49"/>
      <c r="E954" s="51"/>
      <c r="F954" s="6"/>
      <c r="G954" s="6"/>
      <c r="H954" s="6"/>
      <c r="I954" s="6"/>
      <c r="J954" s="6"/>
      <c r="K954" s="51"/>
      <c r="L954" s="51"/>
      <c r="M954" s="51"/>
      <c r="N954" s="51"/>
      <c r="O954" s="51"/>
      <c r="P954" s="51"/>
      <c r="Q954" s="51"/>
      <c r="R954" s="51"/>
      <c r="S954" s="51"/>
      <c r="T954" s="51"/>
      <c r="U954" s="51"/>
      <c r="V954" s="51"/>
      <c r="W954" s="51"/>
      <c r="X954" s="51"/>
      <c r="Y954" s="51"/>
      <c r="Z954" s="51"/>
      <c r="AA954" s="51"/>
      <c r="AB954" s="51"/>
    </row>
    <row r="955" customFormat="false" ht="15.75" hidden="false" customHeight="false" outlineLevel="0" collapsed="false">
      <c r="A955" s="51"/>
      <c r="B955" s="51"/>
      <c r="C955" s="6"/>
      <c r="D955" s="49"/>
      <c r="E955" s="51"/>
      <c r="F955" s="6"/>
      <c r="G955" s="6"/>
      <c r="H955" s="6"/>
      <c r="I955" s="6"/>
      <c r="J955" s="6"/>
      <c r="K955" s="51"/>
      <c r="L955" s="51"/>
      <c r="M955" s="51"/>
      <c r="N955" s="51"/>
      <c r="O955" s="51"/>
      <c r="P955" s="51"/>
      <c r="Q955" s="51"/>
      <c r="R955" s="51"/>
      <c r="S955" s="51"/>
      <c r="T955" s="51"/>
      <c r="U955" s="51"/>
      <c r="V955" s="51"/>
      <c r="W955" s="51"/>
      <c r="X955" s="51"/>
      <c r="Y955" s="51"/>
      <c r="Z955" s="51"/>
      <c r="AA955" s="51"/>
      <c r="AB955" s="51"/>
    </row>
    <row r="956" customFormat="false" ht="15.75" hidden="false" customHeight="false" outlineLevel="0" collapsed="false">
      <c r="A956" s="51"/>
      <c r="B956" s="51"/>
      <c r="C956" s="6"/>
      <c r="D956" s="49"/>
      <c r="E956" s="51"/>
      <c r="F956" s="6"/>
      <c r="G956" s="6"/>
      <c r="H956" s="6"/>
      <c r="I956" s="6"/>
      <c r="J956" s="6"/>
      <c r="K956" s="51"/>
      <c r="L956" s="51"/>
      <c r="M956" s="51"/>
      <c r="N956" s="51"/>
      <c r="O956" s="51"/>
      <c r="P956" s="51"/>
      <c r="Q956" s="51"/>
      <c r="R956" s="51"/>
      <c r="S956" s="51"/>
      <c r="T956" s="51"/>
      <c r="U956" s="51"/>
      <c r="V956" s="51"/>
      <c r="W956" s="51"/>
      <c r="X956" s="51"/>
      <c r="Y956" s="51"/>
      <c r="Z956" s="51"/>
      <c r="AA956" s="51"/>
      <c r="AB956" s="51"/>
    </row>
    <row r="957" customFormat="false" ht="15.75" hidden="false" customHeight="false" outlineLevel="0" collapsed="false">
      <c r="A957" s="51"/>
      <c r="B957" s="51"/>
      <c r="C957" s="6"/>
      <c r="D957" s="49"/>
      <c r="E957" s="51"/>
      <c r="F957" s="6"/>
      <c r="G957" s="6"/>
      <c r="H957" s="6"/>
      <c r="I957" s="6"/>
      <c r="J957" s="6"/>
      <c r="K957" s="51"/>
      <c r="L957" s="51"/>
      <c r="M957" s="51"/>
      <c r="N957" s="51"/>
      <c r="O957" s="51"/>
      <c r="P957" s="51"/>
      <c r="Q957" s="51"/>
      <c r="R957" s="51"/>
      <c r="S957" s="51"/>
      <c r="T957" s="51"/>
      <c r="U957" s="51"/>
      <c r="V957" s="51"/>
      <c r="W957" s="51"/>
      <c r="X957" s="51"/>
      <c r="Y957" s="51"/>
      <c r="Z957" s="51"/>
      <c r="AA957" s="51"/>
      <c r="AB957" s="51"/>
    </row>
    <row r="958" customFormat="false" ht="15.75" hidden="false" customHeight="false" outlineLevel="0" collapsed="false">
      <c r="A958" s="51"/>
      <c r="B958" s="51"/>
      <c r="C958" s="6"/>
      <c r="D958" s="49"/>
      <c r="E958" s="51"/>
      <c r="F958" s="6"/>
      <c r="G958" s="6"/>
      <c r="H958" s="6"/>
      <c r="I958" s="6"/>
      <c r="J958" s="6"/>
      <c r="K958" s="51"/>
      <c r="L958" s="51"/>
      <c r="M958" s="51"/>
      <c r="N958" s="51"/>
      <c r="O958" s="51"/>
      <c r="P958" s="51"/>
      <c r="Q958" s="51"/>
      <c r="R958" s="51"/>
      <c r="S958" s="51"/>
      <c r="T958" s="51"/>
      <c r="U958" s="51"/>
      <c r="V958" s="51"/>
      <c r="W958" s="51"/>
      <c r="X958" s="51"/>
      <c r="Y958" s="51"/>
      <c r="Z958" s="51"/>
      <c r="AA958" s="51"/>
      <c r="AB958" s="51"/>
    </row>
    <row r="959" customFormat="false" ht="15.75" hidden="false" customHeight="false" outlineLevel="0" collapsed="false">
      <c r="A959" s="51"/>
      <c r="B959" s="51"/>
      <c r="C959" s="6"/>
      <c r="D959" s="49"/>
      <c r="E959" s="51"/>
      <c r="F959" s="6"/>
      <c r="G959" s="6"/>
      <c r="H959" s="6"/>
      <c r="I959" s="6"/>
      <c r="J959" s="6"/>
      <c r="K959" s="51"/>
      <c r="L959" s="51"/>
      <c r="M959" s="51"/>
      <c r="N959" s="51"/>
      <c r="O959" s="51"/>
      <c r="P959" s="51"/>
      <c r="Q959" s="51"/>
      <c r="R959" s="51"/>
      <c r="S959" s="51"/>
      <c r="T959" s="51"/>
      <c r="U959" s="51"/>
      <c r="V959" s="51"/>
      <c r="W959" s="51"/>
      <c r="X959" s="51"/>
      <c r="Y959" s="51"/>
      <c r="Z959" s="51"/>
      <c r="AA959" s="51"/>
      <c r="AB959" s="51"/>
    </row>
    <row r="960" customFormat="false" ht="15.75" hidden="false" customHeight="false" outlineLevel="0" collapsed="false">
      <c r="A960" s="51"/>
      <c r="B960" s="51"/>
      <c r="C960" s="6"/>
      <c r="D960" s="49"/>
      <c r="E960" s="51"/>
      <c r="F960" s="6"/>
      <c r="G960" s="6"/>
      <c r="H960" s="6"/>
      <c r="I960" s="6"/>
      <c r="J960" s="6"/>
      <c r="K960" s="51"/>
      <c r="L960" s="51"/>
      <c r="M960" s="51"/>
      <c r="N960" s="51"/>
      <c r="O960" s="51"/>
      <c r="P960" s="51"/>
      <c r="Q960" s="51"/>
      <c r="R960" s="51"/>
      <c r="S960" s="51"/>
      <c r="T960" s="51"/>
      <c r="U960" s="51"/>
      <c r="V960" s="51"/>
      <c r="W960" s="51"/>
      <c r="X960" s="51"/>
      <c r="Y960" s="51"/>
      <c r="Z960" s="51"/>
      <c r="AA960" s="51"/>
      <c r="AB960" s="51"/>
    </row>
    <row r="961" customFormat="false" ht="15.75" hidden="false" customHeight="false" outlineLevel="0" collapsed="false">
      <c r="A961" s="51"/>
      <c r="B961" s="51"/>
      <c r="C961" s="6"/>
      <c r="D961" s="49"/>
      <c r="E961" s="51"/>
      <c r="F961" s="6"/>
      <c r="G961" s="6"/>
      <c r="H961" s="6"/>
      <c r="I961" s="6"/>
      <c r="J961" s="6"/>
      <c r="K961" s="51"/>
      <c r="L961" s="51"/>
      <c r="M961" s="51"/>
      <c r="N961" s="51"/>
      <c r="O961" s="51"/>
      <c r="P961" s="51"/>
      <c r="Q961" s="51"/>
      <c r="R961" s="51"/>
      <c r="S961" s="51"/>
      <c r="T961" s="51"/>
      <c r="U961" s="51"/>
      <c r="V961" s="51"/>
      <c r="W961" s="51"/>
      <c r="X961" s="51"/>
      <c r="Y961" s="51"/>
      <c r="Z961" s="51"/>
      <c r="AA961" s="51"/>
      <c r="AB961" s="51"/>
    </row>
    <row r="962" customFormat="false" ht="15.75" hidden="false" customHeight="false" outlineLevel="0" collapsed="false">
      <c r="A962" s="51"/>
      <c r="B962" s="51"/>
      <c r="C962" s="6"/>
      <c r="D962" s="49"/>
      <c r="E962" s="51"/>
      <c r="F962" s="6"/>
      <c r="G962" s="6"/>
      <c r="H962" s="6"/>
      <c r="I962" s="6"/>
      <c r="J962" s="6"/>
      <c r="K962" s="51"/>
      <c r="L962" s="51"/>
      <c r="M962" s="51"/>
      <c r="N962" s="51"/>
      <c r="O962" s="51"/>
      <c r="P962" s="51"/>
      <c r="Q962" s="51"/>
      <c r="R962" s="51"/>
      <c r="S962" s="51"/>
      <c r="T962" s="51"/>
      <c r="U962" s="51"/>
      <c r="V962" s="51"/>
      <c r="W962" s="51"/>
      <c r="X962" s="51"/>
      <c r="Y962" s="51"/>
      <c r="Z962" s="51"/>
      <c r="AA962" s="51"/>
      <c r="AB962" s="51"/>
    </row>
    <row r="963" customFormat="false" ht="15.75" hidden="false" customHeight="false" outlineLevel="0" collapsed="false">
      <c r="A963" s="51"/>
      <c r="B963" s="51"/>
      <c r="C963" s="6"/>
      <c r="D963" s="49"/>
      <c r="E963" s="51"/>
      <c r="F963" s="6"/>
      <c r="G963" s="6"/>
      <c r="H963" s="6"/>
      <c r="I963" s="6"/>
      <c r="J963" s="6"/>
      <c r="K963" s="51"/>
      <c r="L963" s="51"/>
      <c r="M963" s="51"/>
      <c r="N963" s="51"/>
      <c r="O963" s="51"/>
      <c r="P963" s="51"/>
      <c r="Q963" s="51"/>
      <c r="R963" s="51"/>
      <c r="S963" s="51"/>
      <c r="T963" s="51"/>
      <c r="U963" s="51"/>
      <c r="V963" s="51"/>
      <c r="W963" s="51"/>
      <c r="X963" s="51"/>
      <c r="Y963" s="51"/>
      <c r="Z963" s="51"/>
      <c r="AA963" s="51"/>
      <c r="AB963" s="51"/>
    </row>
    <row r="964" customFormat="false" ht="15.75" hidden="false" customHeight="false" outlineLevel="0" collapsed="false">
      <c r="A964" s="51"/>
      <c r="B964" s="51"/>
      <c r="C964" s="6"/>
      <c r="D964" s="49"/>
      <c r="E964" s="51"/>
      <c r="F964" s="6"/>
      <c r="G964" s="6"/>
      <c r="H964" s="6"/>
      <c r="I964" s="6"/>
      <c r="J964" s="6"/>
      <c r="K964" s="51"/>
      <c r="L964" s="51"/>
      <c r="M964" s="51"/>
      <c r="N964" s="51"/>
      <c r="O964" s="51"/>
      <c r="P964" s="51"/>
      <c r="Q964" s="51"/>
      <c r="R964" s="51"/>
      <c r="S964" s="51"/>
      <c r="T964" s="51"/>
      <c r="U964" s="51"/>
      <c r="V964" s="51"/>
      <c r="W964" s="51"/>
      <c r="X964" s="51"/>
      <c r="Y964" s="51"/>
      <c r="Z964" s="51"/>
      <c r="AA964" s="51"/>
      <c r="AB964" s="51"/>
    </row>
    <row r="965" customFormat="false" ht="15.75" hidden="false" customHeight="false" outlineLevel="0" collapsed="false">
      <c r="A965" s="51"/>
      <c r="B965" s="51"/>
      <c r="C965" s="6"/>
      <c r="D965" s="49"/>
      <c r="E965" s="51"/>
      <c r="F965" s="6"/>
      <c r="G965" s="6"/>
      <c r="H965" s="6"/>
      <c r="I965" s="6"/>
      <c r="J965" s="6"/>
      <c r="K965" s="51"/>
      <c r="L965" s="51"/>
      <c r="M965" s="51"/>
      <c r="N965" s="51"/>
      <c r="O965" s="51"/>
      <c r="P965" s="51"/>
      <c r="Q965" s="51"/>
      <c r="R965" s="51"/>
      <c r="S965" s="51"/>
      <c r="T965" s="51"/>
      <c r="U965" s="51"/>
      <c r="V965" s="51"/>
      <c r="W965" s="51"/>
      <c r="X965" s="51"/>
      <c r="Y965" s="51"/>
      <c r="Z965" s="51"/>
      <c r="AA965" s="51"/>
      <c r="AB965" s="51"/>
    </row>
    <row r="966" customFormat="false" ht="15.75" hidden="false" customHeight="false" outlineLevel="0" collapsed="false">
      <c r="A966" s="51"/>
      <c r="B966" s="51"/>
      <c r="C966" s="6"/>
      <c r="D966" s="49"/>
      <c r="E966" s="51"/>
      <c r="F966" s="6"/>
      <c r="G966" s="6"/>
      <c r="H966" s="6"/>
      <c r="I966" s="6"/>
      <c r="J966" s="6"/>
      <c r="K966" s="51"/>
      <c r="L966" s="51"/>
      <c r="M966" s="51"/>
      <c r="N966" s="51"/>
      <c r="O966" s="51"/>
      <c r="P966" s="51"/>
      <c r="Q966" s="51"/>
      <c r="R966" s="51"/>
      <c r="S966" s="51"/>
      <c r="T966" s="51"/>
      <c r="U966" s="51"/>
      <c r="V966" s="51"/>
      <c r="W966" s="51"/>
      <c r="X966" s="51"/>
      <c r="Y966" s="51"/>
      <c r="Z966" s="51"/>
      <c r="AA966" s="51"/>
      <c r="AB966" s="51"/>
    </row>
    <row r="967" customFormat="false" ht="15.75" hidden="false" customHeight="false" outlineLevel="0" collapsed="false">
      <c r="A967" s="51"/>
      <c r="B967" s="51"/>
      <c r="C967" s="6"/>
      <c r="D967" s="49"/>
      <c r="E967" s="51"/>
      <c r="F967" s="6"/>
      <c r="G967" s="6"/>
      <c r="H967" s="6"/>
      <c r="I967" s="6"/>
      <c r="J967" s="6"/>
      <c r="K967" s="51"/>
      <c r="L967" s="51"/>
      <c r="M967" s="51"/>
      <c r="N967" s="51"/>
      <c r="O967" s="51"/>
      <c r="P967" s="51"/>
      <c r="Q967" s="51"/>
      <c r="R967" s="51"/>
      <c r="S967" s="51"/>
      <c r="T967" s="51"/>
      <c r="U967" s="51"/>
      <c r="V967" s="51"/>
      <c r="W967" s="51"/>
      <c r="X967" s="51"/>
      <c r="Y967" s="51"/>
      <c r="Z967" s="51"/>
      <c r="AA967" s="51"/>
      <c r="AB967" s="51"/>
    </row>
    <row r="968" customFormat="false" ht="15.75" hidden="false" customHeight="false" outlineLevel="0" collapsed="false">
      <c r="A968" s="51"/>
      <c r="B968" s="51"/>
      <c r="C968" s="6"/>
      <c r="D968" s="49"/>
      <c r="E968" s="51"/>
      <c r="F968" s="6"/>
      <c r="G968" s="6"/>
      <c r="H968" s="6"/>
      <c r="I968" s="6"/>
      <c r="J968" s="6"/>
      <c r="K968" s="51"/>
      <c r="L968" s="51"/>
      <c r="M968" s="51"/>
      <c r="N968" s="51"/>
      <c r="O968" s="51"/>
      <c r="P968" s="51"/>
      <c r="Q968" s="51"/>
      <c r="R968" s="51"/>
      <c r="S968" s="51"/>
      <c r="T968" s="51"/>
      <c r="U968" s="51"/>
      <c r="V968" s="51"/>
      <c r="W968" s="51"/>
      <c r="X968" s="51"/>
      <c r="Y968" s="51"/>
      <c r="Z968" s="51"/>
      <c r="AA968" s="51"/>
      <c r="AB968" s="51"/>
    </row>
    <row r="969" customFormat="false" ht="15.75" hidden="false" customHeight="false" outlineLevel="0" collapsed="false">
      <c r="A969" s="51"/>
      <c r="B969" s="51"/>
      <c r="C969" s="6"/>
      <c r="D969" s="49"/>
      <c r="E969" s="51"/>
      <c r="F969" s="6"/>
      <c r="G969" s="6"/>
      <c r="H969" s="6"/>
      <c r="I969" s="6"/>
      <c r="J969" s="6"/>
      <c r="K969" s="51"/>
      <c r="L969" s="51"/>
      <c r="M969" s="51"/>
      <c r="N969" s="51"/>
      <c r="O969" s="51"/>
      <c r="P969" s="51"/>
      <c r="Q969" s="51"/>
      <c r="R969" s="51"/>
      <c r="S969" s="51"/>
      <c r="T969" s="51"/>
      <c r="U969" s="51"/>
      <c r="V969" s="51"/>
      <c r="W969" s="51"/>
      <c r="X969" s="51"/>
      <c r="Y969" s="51"/>
      <c r="Z969" s="51"/>
      <c r="AA969" s="51"/>
      <c r="AB969" s="51"/>
    </row>
    <row r="970" customFormat="false" ht="15.75" hidden="false" customHeight="false" outlineLevel="0" collapsed="false">
      <c r="A970" s="51"/>
      <c r="B970" s="51"/>
      <c r="C970" s="6"/>
      <c r="D970" s="49"/>
      <c r="E970" s="51"/>
      <c r="F970" s="6"/>
      <c r="G970" s="6"/>
      <c r="H970" s="6"/>
      <c r="I970" s="6"/>
      <c r="J970" s="6"/>
      <c r="K970" s="51"/>
      <c r="L970" s="51"/>
      <c r="M970" s="51"/>
      <c r="N970" s="51"/>
      <c r="O970" s="51"/>
      <c r="P970" s="51"/>
      <c r="Q970" s="51"/>
      <c r="R970" s="51"/>
      <c r="S970" s="51"/>
      <c r="T970" s="51"/>
      <c r="U970" s="51"/>
      <c r="V970" s="51"/>
      <c r="W970" s="51"/>
      <c r="X970" s="51"/>
      <c r="Y970" s="51"/>
      <c r="Z970" s="51"/>
      <c r="AA970" s="51"/>
      <c r="AB970" s="51"/>
    </row>
    <row r="971" customFormat="false" ht="15.75" hidden="false" customHeight="false" outlineLevel="0" collapsed="false">
      <c r="A971" s="51"/>
      <c r="B971" s="51"/>
      <c r="C971" s="6"/>
      <c r="D971" s="49"/>
      <c r="E971" s="51"/>
      <c r="F971" s="6"/>
      <c r="G971" s="6"/>
      <c r="H971" s="6"/>
      <c r="I971" s="6"/>
      <c r="J971" s="6"/>
      <c r="K971" s="51"/>
      <c r="L971" s="51"/>
      <c r="M971" s="51"/>
      <c r="N971" s="51"/>
      <c r="O971" s="51"/>
      <c r="P971" s="51"/>
      <c r="Q971" s="51"/>
      <c r="R971" s="51"/>
      <c r="S971" s="51"/>
      <c r="T971" s="51"/>
      <c r="U971" s="51"/>
      <c r="V971" s="51"/>
      <c r="W971" s="51"/>
      <c r="X971" s="51"/>
      <c r="Y971" s="51"/>
      <c r="Z971" s="51"/>
      <c r="AA971" s="51"/>
      <c r="AB971" s="51"/>
    </row>
    <row r="972" customFormat="false" ht="15.75" hidden="false" customHeight="false" outlineLevel="0" collapsed="false">
      <c r="A972" s="51"/>
      <c r="B972" s="51"/>
      <c r="C972" s="6"/>
      <c r="D972" s="49"/>
      <c r="E972" s="51"/>
      <c r="F972" s="6"/>
      <c r="G972" s="6"/>
      <c r="H972" s="6"/>
      <c r="I972" s="6"/>
      <c r="J972" s="6"/>
      <c r="K972" s="51"/>
      <c r="L972" s="51"/>
      <c r="M972" s="51"/>
      <c r="N972" s="51"/>
      <c r="O972" s="51"/>
      <c r="P972" s="51"/>
      <c r="Q972" s="51"/>
      <c r="R972" s="51"/>
      <c r="S972" s="51"/>
      <c r="T972" s="51"/>
      <c r="U972" s="51"/>
      <c r="V972" s="51"/>
      <c r="W972" s="51"/>
      <c r="X972" s="51"/>
      <c r="Y972" s="51"/>
      <c r="Z972" s="51"/>
      <c r="AA972" s="51"/>
      <c r="AB972" s="51"/>
    </row>
    <row r="973" customFormat="false" ht="15.75" hidden="false" customHeight="false" outlineLevel="0" collapsed="false">
      <c r="A973" s="51"/>
      <c r="B973" s="51"/>
      <c r="C973" s="6"/>
      <c r="D973" s="49"/>
      <c r="E973" s="51"/>
      <c r="F973" s="6"/>
      <c r="G973" s="6"/>
      <c r="H973" s="6"/>
      <c r="I973" s="6"/>
      <c r="J973" s="6"/>
      <c r="K973" s="51"/>
      <c r="L973" s="51"/>
      <c r="M973" s="51"/>
      <c r="N973" s="51"/>
      <c r="O973" s="51"/>
      <c r="P973" s="51"/>
      <c r="Q973" s="51"/>
      <c r="R973" s="51"/>
      <c r="S973" s="51"/>
      <c r="T973" s="51"/>
      <c r="U973" s="51"/>
      <c r="V973" s="51"/>
      <c r="W973" s="51"/>
      <c r="X973" s="51"/>
      <c r="Y973" s="51"/>
      <c r="Z973" s="51"/>
      <c r="AA973" s="51"/>
      <c r="AB973" s="51"/>
    </row>
    <row r="974" customFormat="false" ht="15.75" hidden="false" customHeight="false" outlineLevel="0" collapsed="false">
      <c r="A974" s="51"/>
      <c r="B974" s="51"/>
      <c r="C974" s="6"/>
      <c r="D974" s="49"/>
      <c r="E974" s="51"/>
      <c r="F974" s="6"/>
      <c r="G974" s="6"/>
      <c r="H974" s="6"/>
      <c r="I974" s="6"/>
      <c r="J974" s="6"/>
      <c r="K974" s="51"/>
      <c r="L974" s="51"/>
      <c r="M974" s="51"/>
      <c r="N974" s="51"/>
      <c r="O974" s="51"/>
      <c r="P974" s="51"/>
      <c r="Q974" s="51"/>
      <c r="R974" s="51"/>
      <c r="S974" s="51"/>
      <c r="T974" s="51"/>
      <c r="U974" s="51"/>
      <c r="V974" s="51"/>
      <c r="W974" s="51"/>
      <c r="X974" s="51"/>
      <c r="Y974" s="51"/>
      <c r="Z974" s="51"/>
      <c r="AA974" s="51"/>
      <c r="AB974" s="51"/>
    </row>
    <row r="975" customFormat="false" ht="15.75" hidden="false" customHeight="false" outlineLevel="0" collapsed="false">
      <c r="A975" s="51"/>
      <c r="B975" s="51"/>
      <c r="C975" s="6"/>
      <c r="D975" s="49"/>
      <c r="E975" s="51"/>
      <c r="F975" s="6"/>
      <c r="G975" s="6"/>
      <c r="H975" s="6"/>
      <c r="I975" s="6"/>
      <c r="J975" s="6"/>
      <c r="K975" s="51"/>
      <c r="L975" s="51"/>
      <c r="M975" s="51"/>
      <c r="N975" s="51"/>
      <c r="O975" s="51"/>
      <c r="P975" s="51"/>
      <c r="Q975" s="51"/>
      <c r="R975" s="51"/>
      <c r="S975" s="51"/>
      <c r="T975" s="51"/>
      <c r="U975" s="51"/>
      <c r="V975" s="51"/>
      <c r="W975" s="51"/>
      <c r="X975" s="51"/>
      <c r="Y975" s="51"/>
      <c r="Z975" s="51"/>
      <c r="AA975" s="51"/>
      <c r="AB975" s="51"/>
    </row>
    <row r="976" customFormat="false" ht="15.75" hidden="false" customHeight="false" outlineLevel="0" collapsed="false">
      <c r="A976" s="51"/>
      <c r="B976" s="51"/>
      <c r="C976" s="6"/>
      <c r="D976" s="49"/>
      <c r="E976" s="51"/>
      <c r="F976" s="6"/>
      <c r="G976" s="6"/>
      <c r="H976" s="6"/>
      <c r="I976" s="6"/>
      <c r="J976" s="6"/>
      <c r="K976" s="51"/>
      <c r="L976" s="51"/>
      <c r="M976" s="51"/>
      <c r="N976" s="51"/>
      <c r="O976" s="51"/>
      <c r="P976" s="51"/>
      <c r="Q976" s="51"/>
      <c r="R976" s="51"/>
      <c r="S976" s="51"/>
      <c r="T976" s="51"/>
      <c r="U976" s="51"/>
      <c r="V976" s="51"/>
      <c r="W976" s="51"/>
      <c r="X976" s="51"/>
      <c r="Y976" s="51"/>
      <c r="Z976" s="51"/>
      <c r="AA976" s="51"/>
      <c r="AB976" s="51"/>
    </row>
    <row r="977" customFormat="false" ht="15.75" hidden="false" customHeight="false" outlineLevel="0" collapsed="false">
      <c r="A977" s="51"/>
      <c r="B977" s="51"/>
      <c r="C977" s="6"/>
      <c r="D977" s="49"/>
      <c r="E977" s="51"/>
      <c r="F977" s="6"/>
      <c r="G977" s="6"/>
      <c r="H977" s="6"/>
      <c r="I977" s="6"/>
      <c r="J977" s="6"/>
      <c r="K977" s="51"/>
      <c r="L977" s="51"/>
      <c r="M977" s="51"/>
      <c r="N977" s="51"/>
      <c r="O977" s="51"/>
      <c r="P977" s="51"/>
      <c r="Q977" s="51"/>
      <c r="R977" s="51"/>
      <c r="S977" s="51"/>
      <c r="T977" s="51"/>
      <c r="U977" s="51"/>
      <c r="V977" s="51"/>
      <c r="W977" s="51"/>
      <c r="X977" s="51"/>
      <c r="Y977" s="51"/>
      <c r="Z977" s="51"/>
      <c r="AA977" s="51"/>
      <c r="AB977" s="51"/>
    </row>
    <row r="978" customFormat="false" ht="15.75" hidden="false" customHeight="false" outlineLevel="0" collapsed="false">
      <c r="A978" s="51"/>
      <c r="B978" s="51"/>
      <c r="C978" s="6"/>
      <c r="D978" s="49"/>
      <c r="E978" s="51"/>
      <c r="F978" s="6"/>
      <c r="G978" s="6"/>
      <c r="H978" s="6"/>
      <c r="I978" s="6"/>
      <c r="J978" s="6"/>
      <c r="K978" s="51"/>
      <c r="L978" s="51"/>
      <c r="M978" s="51"/>
      <c r="N978" s="51"/>
      <c r="O978" s="51"/>
      <c r="P978" s="51"/>
      <c r="Q978" s="51"/>
      <c r="R978" s="51"/>
      <c r="S978" s="51"/>
      <c r="T978" s="51"/>
      <c r="U978" s="51"/>
      <c r="V978" s="51"/>
      <c r="W978" s="51"/>
      <c r="X978" s="51"/>
      <c r="Y978" s="51"/>
      <c r="Z978" s="51"/>
      <c r="AA978" s="51"/>
      <c r="AB978" s="51"/>
    </row>
    <row r="979" customFormat="false" ht="15.75" hidden="false" customHeight="false" outlineLevel="0" collapsed="false">
      <c r="A979" s="51"/>
      <c r="B979" s="51"/>
      <c r="C979" s="6"/>
      <c r="D979" s="49"/>
      <c r="E979" s="51"/>
      <c r="F979" s="6"/>
      <c r="G979" s="6"/>
      <c r="H979" s="6"/>
      <c r="I979" s="6"/>
      <c r="J979" s="6"/>
      <c r="K979" s="51"/>
      <c r="L979" s="51"/>
      <c r="M979" s="51"/>
      <c r="N979" s="51"/>
      <c r="O979" s="51"/>
      <c r="P979" s="51"/>
      <c r="Q979" s="51"/>
      <c r="R979" s="51"/>
      <c r="S979" s="51"/>
      <c r="T979" s="51"/>
      <c r="U979" s="51"/>
      <c r="V979" s="51"/>
      <c r="W979" s="51"/>
      <c r="X979" s="51"/>
      <c r="Y979" s="51"/>
      <c r="Z979" s="51"/>
      <c r="AA979" s="51"/>
      <c r="AB979" s="51"/>
    </row>
    <row r="980" customFormat="false" ht="15.75" hidden="false" customHeight="false" outlineLevel="0" collapsed="false">
      <c r="A980" s="51"/>
      <c r="B980" s="51"/>
      <c r="C980" s="6"/>
      <c r="D980" s="49"/>
      <c r="E980" s="51"/>
      <c r="F980" s="6"/>
      <c r="G980" s="6"/>
      <c r="H980" s="6"/>
      <c r="I980" s="6"/>
      <c r="J980" s="6"/>
      <c r="K980" s="51"/>
      <c r="L980" s="51"/>
      <c r="M980" s="51"/>
      <c r="N980" s="51"/>
      <c r="O980" s="51"/>
      <c r="P980" s="51"/>
      <c r="Q980" s="51"/>
      <c r="R980" s="51"/>
      <c r="S980" s="51"/>
      <c r="T980" s="51"/>
      <c r="U980" s="51"/>
      <c r="V980" s="51"/>
      <c r="W980" s="51"/>
      <c r="X980" s="51"/>
      <c r="Y980" s="51"/>
      <c r="Z980" s="51"/>
      <c r="AA980" s="51"/>
      <c r="AB980" s="51"/>
    </row>
    <row r="981" customFormat="false" ht="15.75" hidden="false" customHeight="false" outlineLevel="0" collapsed="false">
      <c r="A981" s="51"/>
      <c r="B981" s="51"/>
      <c r="C981" s="6"/>
      <c r="D981" s="49"/>
      <c r="E981" s="51"/>
      <c r="F981" s="6"/>
      <c r="G981" s="6"/>
      <c r="H981" s="6"/>
      <c r="I981" s="6"/>
      <c r="J981" s="6"/>
      <c r="K981" s="51"/>
      <c r="L981" s="51"/>
      <c r="M981" s="51"/>
      <c r="N981" s="51"/>
      <c r="O981" s="51"/>
      <c r="P981" s="51"/>
      <c r="Q981" s="51"/>
      <c r="R981" s="51"/>
      <c r="S981" s="51"/>
      <c r="T981" s="51"/>
      <c r="U981" s="51"/>
      <c r="V981" s="51"/>
      <c r="W981" s="51"/>
      <c r="X981" s="51"/>
      <c r="Y981" s="51"/>
      <c r="Z981" s="51"/>
      <c r="AA981" s="51"/>
      <c r="AB981" s="51"/>
    </row>
    <row r="982" customFormat="false" ht="15.75" hidden="false" customHeight="false" outlineLevel="0" collapsed="false">
      <c r="A982" s="51"/>
      <c r="B982" s="51"/>
      <c r="C982" s="6"/>
      <c r="D982" s="49"/>
      <c r="E982" s="51"/>
      <c r="F982" s="6"/>
      <c r="G982" s="6"/>
      <c r="H982" s="6"/>
      <c r="I982" s="6"/>
      <c r="J982" s="6"/>
      <c r="K982" s="51"/>
      <c r="L982" s="51"/>
      <c r="M982" s="51"/>
      <c r="N982" s="51"/>
      <c r="O982" s="51"/>
      <c r="P982" s="51"/>
      <c r="Q982" s="51"/>
      <c r="R982" s="51"/>
      <c r="S982" s="51"/>
      <c r="T982" s="51"/>
      <c r="U982" s="51"/>
      <c r="V982" s="51"/>
      <c r="W982" s="51"/>
      <c r="X982" s="51"/>
      <c r="Y982" s="51"/>
      <c r="Z982" s="51"/>
      <c r="AA982" s="51"/>
      <c r="AB982" s="51"/>
    </row>
    <row r="983" customFormat="false" ht="15.75" hidden="false" customHeight="false" outlineLevel="0" collapsed="false">
      <c r="A983" s="51"/>
      <c r="B983" s="51"/>
      <c r="C983" s="6"/>
      <c r="D983" s="49"/>
      <c r="E983" s="51"/>
      <c r="F983" s="6"/>
      <c r="G983" s="6"/>
      <c r="H983" s="6"/>
      <c r="I983" s="6"/>
      <c r="J983" s="6"/>
      <c r="K983" s="51"/>
      <c r="L983" s="51"/>
      <c r="M983" s="51"/>
      <c r="N983" s="51"/>
      <c r="O983" s="51"/>
      <c r="P983" s="51"/>
      <c r="Q983" s="51"/>
      <c r="R983" s="51"/>
      <c r="S983" s="51"/>
      <c r="T983" s="51"/>
      <c r="U983" s="51"/>
      <c r="V983" s="51"/>
      <c r="W983" s="51"/>
      <c r="X983" s="51"/>
      <c r="Y983" s="51"/>
      <c r="Z983" s="51"/>
      <c r="AA983" s="51"/>
      <c r="AB983" s="51"/>
    </row>
    <row r="984" customFormat="false" ht="15.75" hidden="false" customHeight="false" outlineLevel="0" collapsed="false">
      <c r="A984" s="51"/>
      <c r="B984" s="51"/>
      <c r="C984" s="6"/>
      <c r="D984" s="49"/>
      <c r="E984" s="51"/>
      <c r="F984" s="6"/>
      <c r="G984" s="6"/>
      <c r="H984" s="6"/>
      <c r="I984" s="6"/>
      <c r="J984" s="6"/>
      <c r="K984" s="51"/>
      <c r="L984" s="51"/>
      <c r="M984" s="51"/>
      <c r="N984" s="51"/>
      <c r="O984" s="51"/>
      <c r="P984" s="51"/>
      <c r="Q984" s="51"/>
      <c r="R984" s="51"/>
      <c r="S984" s="51"/>
      <c r="T984" s="51"/>
      <c r="U984" s="51"/>
      <c r="V984" s="51"/>
      <c r="W984" s="51"/>
      <c r="X984" s="51"/>
      <c r="Y984" s="51"/>
      <c r="Z984" s="51"/>
      <c r="AA984" s="51"/>
      <c r="AB984" s="51"/>
    </row>
    <row r="985" customFormat="false" ht="15.75" hidden="false" customHeight="false" outlineLevel="0" collapsed="false">
      <c r="A985" s="51"/>
      <c r="B985" s="51"/>
      <c r="C985" s="6"/>
      <c r="D985" s="49"/>
      <c r="E985" s="51"/>
      <c r="F985" s="6"/>
      <c r="G985" s="6"/>
      <c r="H985" s="6"/>
      <c r="I985" s="6"/>
      <c r="J985" s="6"/>
      <c r="K985" s="51"/>
      <c r="L985" s="51"/>
      <c r="M985" s="51"/>
      <c r="N985" s="51"/>
      <c r="O985" s="51"/>
      <c r="P985" s="51"/>
      <c r="Q985" s="51"/>
      <c r="R985" s="51"/>
      <c r="S985" s="51"/>
      <c r="T985" s="51"/>
      <c r="U985" s="51"/>
      <c r="V985" s="51"/>
      <c r="W985" s="51"/>
      <c r="X985" s="51"/>
      <c r="Y985" s="51"/>
      <c r="Z985" s="51"/>
      <c r="AA985" s="51"/>
      <c r="AB985" s="51"/>
    </row>
    <row r="986" customFormat="false" ht="15.75" hidden="false" customHeight="false" outlineLevel="0" collapsed="false">
      <c r="A986" s="51"/>
      <c r="B986" s="51"/>
      <c r="C986" s="6"/>
      <c r="D986" s="49"/>
      <c r="E986" s="51"/>
      <c r="F986" s="6"/>
      <c r="G986" s="6"/>
      <c r="H986" s="6"/>
      <c r="I986" s="6"/>
      <c r="J986" s="6"/>
      <c r="K986" s="51"/>
      <c r="L986" s="51"/>
      <c r="M986" s="51"/>
      <c r="N986" s="51"/>
      <c r="O986" s="51"/>
      <c r="P986" s="51"/>
      <c r="Q986" s="51"/>
      <c r="R986" s="51"/>
      <c r="S986" s="51"/>
      <c r="T986" s="51"/>
      <c r="U986" s="51"/>
      <c r="V986" s="51"/>
      <c r="W986" s="51"/>
      <c r="X986" s="51"/>
      <c r="Y986" s="51"/>
      <c r="Z986" s="51"/>
      <c r="AA986" s="51"/>
      <c r="AB986" s="51"/>
    </row>
    <row r="987" customFormat="false" ht="15.75" hidden="false" customHeight="false" outlineLevel="0" collapsed="false">
      <c r="A987" s="51"/>
      <c r="B987" s="51"/>
      <c r="C987" s="6"/>
      <c r="D987" s="49"/>
      <c r="E987" s="51"/>
      <c r="F987" s="6"/>
      <c r="G987" s="6"/>
      <c r="H987" s="6"/>
      <c r="I987" s="6"/>
      <c r="J987" s="6"/>
      <c r="K987" s="51"/>
      <c r="L987" s="51"/>
      <c r="M987" s="51"/>
      <c r="N987" s="51"/>
      <c r="O987" s="51"/>
      <c r="P987" s="51"/>
      <c r="Q987" s="51"/>
      <c r="R987" s="51"/>
      <c r="S987" s="51"/>
      <c r="T987" s="51"/>
      <c r="U987" s="51"/>
      <c r="V987" s="51"/>
      <c r="W987" s="51"/>
      <c r="X987" s="51"/>
      <c r="Y987" s="51"/>
      <c r="Z987" s="51"/>
      <c r="AA987" s="51"/>
      <c r="AB987" s="51"/>
    </row>
    <row r="988" customFormat="false" ht="15.75" hidden="false" customHeight="false" outlineLevel="0" collapsed="false">
      <c r="A988" s="51"/>
      <c r="B988" s="51"/>
      <c r="C988" s="6"/>
      <c r="D988" s="49"/>
      <c r="E988" s="51"/>
      <c r="F988" s="6"/>
      <c r="G988" s="6"/>
      <c r="H988" s="6"/>
      <c r="I988" s="6"/>
      <c r="J988" s="6"/>
      <c r="K988" s="51"/>
      <c r="L988" s="51"/>
      <c r="M988" s="51"/>
      <c r="N988" s="51"/>
      <c r="O988" s="51"/>
      <c r="P988" s="51"/>
      <c r="Q988" s="51"/>
      <c r="R988" s="51"/>
      <c r="S988" s="51"/>
      <c r="T988" s="51"/>
      <c r="U988" s="51"/>
      <c r="V988" s="51"/>
      <c r="W988" s="51"/>
      <c r="X988" s="51"/>
      <c r="Y988" s="51"/>
      <c r="Z988" s="51"/>
      <c r="AA988" s="51"/>
      <c r="AB988" s="51"/>
    </row>
    <row r="989" customFormat="false" ht="15.75" hidden="false" customHeight="false" outlineLevel="0" collapsed="false">
      <c r="A989" s="51"/>
      <c r="B989" s="51"/>
      <c r="C989" s="6"/>
      <c r="D989" s="49"/>
      <c r="E989" s="51"/>
      <c r="F989" s="6"/>
      <c r="G989" s="6"/>
      <c r="H989" s="6"/>
      <c r="I989" s="6"/>
      <c r="J989" s="6"/>
      <c r="K989" s="51"/>
      <c r="L989" s="51"/>
      <c r="M989" s="51"/>
      <c r="N989" s="51"/>
      <c r="O989" s="51"/>
      <c r="P989" s="51"/>
      <c r="Q989" s="51"/>
      <c r="R989" s="51"/>
      <c r="S989" s="51"/>
      <c r="T989" s="51"/>
      <c r="U989" s="51"/>
      <c r="V989" s="51"/>
      <c r="W989" s="51"/>
      <c r="X989" s="51"/>
      <c r="Y989" s="51"/>
      <c r="Z989" s="51"/>
      <c r="AA989" s="51"/>
      <c r="AB989" s="51"/>
    </row>
    <row r="990" customFormat="false" ht="15.75" hidden="false" customHeight="false" outlineLevel="0" collapsed="false">
      <c r="A990" s="51"/>
      <c r="B990" s="51"/>
      <c r="C990" s="6"/>
      <c r="D990" s="49"/>
      <c r="E990" s="51"/>
      <c r="F990" s="6"/>
      <c r="G990" s="6"/>
      <c r="H990" s="6"/>
      <c r="I990" s="6"/>
      <c r="J990" s="6"/>
      <c r="K990" s="51"/>
      <c r="L990" s="51"/>
      <c r="M990" s="51"/>
      <c r="N990" s="51"/>
      <c r="O990" s="51"/>
      <c r="P990" s="51"/>
      <c r="Q990" s="51"/>
      <c r="R990" s="51"/>
      <c r="S990" s="51"/>
      <c r="T990" s="51"/>
      <c r="U990" s="51"/>
      <c r="V990" s="51"/>
      <c r="W990" s="51"/>
      <c r="X990" s="51"/>
      <c r="Y990" s="51"/>
      <c r="Z990" s="51"/>
      <c r="AA990" s="51"/>
      <c r="AB990" s="51"/>
    </row>
    <row r="991" customFormat="false" ht="15.75" hidden="false" customHeight="false" outlineLevel="0" collapsed="false">
      <c r="A991" s="51"/>
      <c r="B991" s="51"/>
      <c r="C991" s="6"/>
      <c r="D991" s="49"/>
      <c r="E991" s="51"/>
      <c r="F991" s="6"/>
      <c r="G991" s="6"/>
      <c r="H991" s="6"/>
      <c r="I991" s="6"/>
      <c r="J991" s="6"/>
      <c r="K991" s="51"/>
      <c r="L991" s="51"/>
      <c r="M991" s="51"/>
      <c r="N991" s="51"/>
      <c r="O991" s="51"/>
      <c r="P991" s="51"/>
      <c r="Q991" s="51"/>
      <c r="R991" s="51"/>
      <c r="S991" s="51"/>
      <c r="T991" s="51"/>
      <c r="U991" s="51"/>
      <c r="V991" s="51"/>
      <c r="W991" s="51"/>
      <c r="X991" s="51"/>
      <c r="Y991" s="51"/>
      <c r="Z991" s="51"/>
      <c r="AA991" s="51"/>
      <c r="AB991" s="51"/>
    </row>
    <row r="992" customFormat="false" ht="15.75" hidden="false" customHeight="false" outlineLevel="0" collapsed="false">
      <c r="A992" s="51"/>
      <c r="B992" s="51"/>
      <c r="C992" s="6"/>
      <c r="D992" s="49"/>
      <c r="E992" s="51"/>
      <c r="F992" s="6"/>
      <c r="G992" s="6"/>
      <c r="H992" s="6"/>
      <c r="I992" s="6"/>
      <c r="J992" s="6"/>
      <c r="K992" s="51"/>
      <c r="L992" s="51"/>
      <c r="M992" s="51"/>
      <c r="N992" s="51"/>
      <c r="O992" s="51"/>
      <c r="P992" s="51"/>
      <c r="Q992" s="51"/>
      <c r="R992" s="51"/>
      <c r="S992" s="51"/>
      <c r="T992" s="51"/>
      <c r="U992" s="51"/>
      <c r="V992" s="51"/>
      <c r="W992" s="51"/>
      <c r="X992" s="51"/>
      <c r="Y992" s="51"/>
      <c r="Z992" s="51"/>
      <c r="AA992" s="51"/>
      <c r="AB992" s="51"/>
    </row>
    <row r="993" customFormat="false" ht="15.75" hidden="false" customHeight="false" outlineLevel="0" collapsed="false">
      <c r="A993" s="51"/>
      <c r="B993" s="51"/>
      <c r="C993" s="6"/>
      <c r="D993" s="49"/>
      <c r="E993" s="51"/>
      <c r="F993" s="6"/>
      <c r="G993" s="6"/>
      <c r="H993" s="6"/>
      <c r="I993" s="6"/>
      <c r="J993" s="6"/>
      <c r="K993" s="51"/>
      <c r="L993" s="51"/>
      <c r="M993" s="51"/>
      <c r="N993" s="51"/>
      <c r="O993" s="51"/>
      <c r="P993" s="51"/>
      <c r="Q993" s="51"/>
      <c r="R993" s="51"/>
      <c r="S993" s="51"/>
      <c r="T993" s="51"/>
      <c r="U993" s="51"/>
      <c r="V993" s="51"/>
      <c r="W993" s="51"/>
      <c r="X993" s="51"/>
      <c r="Y993" s="51"/>
      <c r="Z993" s="51"/>
      <c r="AA993" s="51"/>
      <c r="AB993" s="51"/>
    </row>
    <row r="994" customFormat="false" ht="15.75" hidden="false" customHeight="false" outlineLevel="0" collapsed="false">
      <c r="A994" s="51"/>
      <c r="B994" s="51"/>
      <c r="C994" s="6"/>
      <c r="D994" s="49"/>
      <c r="E994" s="51"/>
      <c r="F994" s="6"/>
      <c r="G994" s="6"/>
      <c r="H994" s="6"/>
      <c r="I994" s="6"/>
      <c r="J994" s="6"/>
      <c r="K994" s="51"/>
      <c r="L994" s="51"/>
      <c r="M994" s="51"/>
      <c r="N994" s="51"/>
      <c r="O994" s="51"/>
      <c r="P994" s="51"/>
      <c r="Q994" s="51"/>
      <c r="R994" s="51"/>
      <c r="S994" s="51"/>
      <c r="T994" s="51"/>
      <c r="U994" s="51"/>
      <c r="V994" s="51"/>
      <c r="W994" s="51"/>
      <c r="X994" s="51"/>
      <c r="Y994" s="51"/>
      <c r="Z994" s="51"/>
      <c r="AA994" s="51"/>
      <c r="AB994" s="51"/>
    </row>
    <row r="995" customFormat="false" ht="15.75" hidden="false" customHeight="false" outlineLevel="0" collapsed="false">
      <c r="A995" s="51"/>
      <c r="B995" s="51"/>
      <c r="C995" s="6"/>
      <c r="D995" s="49"/>
      <c r="E995" s="51"/>
      <c r="F995" s="6"/>
      <c r="G995" s="6"/>
      <c r="H995" s="6"/>
      <c r="I995" s="6"/>
      <c r="J995" s="6"/>
      <c r="K995" s="51"/>
      <c r="L995" s="51"/>
      <c r="M995" s="51"/>
      <c r="N995" s="51"/>
      <c r="O995" s="51"/>
      <c r="P995" s="51"/>
      <c r="Q995" s="51"/>
      <c r="R995" s="51"/>
      <c r="S995" s="51"/>
      <c r="T995" s="51"/>
      <c r="U995" s="51"/>
      <c r="V995" s="51"/>
      <c r="W995" s="51"/>
      <c r="X995" s="51"/>
      <c r="Y995" s="51"/>
      <c r="Z995" s="51"/>
      <c r="AA995" s="51"/>
      <c r="AB995" s="51"/>
    </row>
    <row r="996" customFormat="false" ht="15.75" hidden="false" customHeight="false" outlineLevel="0" collapsed="false">
      <c r="A996" s="51"/>
      <c r="B996" s="51"/>
      <c r="C996" s="6"/>
      <c r="D996" s="49"/>
      <c r="E996" s="51"/>
      <c r="F996" s="6"/>
      <c r="G996" s="6"/>
      <c r="H996" s="6"/>
      <c r="I996" s="6"/>
      <c r="J996" s="6"/>
      <c r="K996" s="51"/>
      <c r="L996" s="51"/>
      <c r="M996" s="51"/>
      <c r="N996" s="51"/>
      <c r="O996" s="51"/>
      <c r="P996" s="51"/>
      <c r="Q996" s="51"/>
      <c r="R996" s="51"/>
      <c r="S996" s="51"/>
      <c r="T996" s="51"/>
      <c r="U996" s="51"/>
      <c r="V996" s="51"/>
      <c r="W996" s="51"/>
      <c r="X996" s="51"/>
      <c r="Y996" s="51"/>
      <c r="Z996" s="51"/>
      <c r="AA996" s="51"/>
      <c r="AB996" s="51"/>
    </row>
    <row r="997" customFormat="false" ht="15.75" hidden="false" customHeight="false" outlineLevel="0" collapsed="false">
      <c r="A997" s="51"/>
      <c r="B997" s="51"/>
      <c r="C997" s="6"/>
      <c r="D997" s="49"/>
      <c r="E997" s="51"/>
      <c r="F997" s="6"/>
      <c r="G997" s="6"/>
      <c r="H997" s="6"/>
      <c r="I997" s="6"/>
      <c r="J997" s="6"/>
      <c r="K997" s="51"/>
      <c r="L997" s="51"/>
      <c r="M997" s="51"/>
      <c r="N997" s="51"/>
      <c r="O997" s="51"/>
      <c r="P997" s="51"/>
      <c r="Q997" s="51"/>
      <c r="R997" s="51"/>
      <c r="S997" s="51"/>
      <c r="T997" s="51"/>
      <c r="U997" s="51"/>
      <c r="V997" s="51"/>
      <c r="W997" s="51"/>
      <c r="X997" s="51"/>
      <c r="Y997" s="51"/>
      <c r="Z997" s="51"/>
      <c r="AA997" s="51"/>
      <c r="AB997" s="51"/>
    </row>
    <row r="998" customFormat="false" ht="15.75" hidden="false" customHeight="false" outlineLevel="0" collapsed="false">
      <c r="A998" s="51"/>
      <c r="B998" s="51"/>
      <c r="C998" s="6"/>
      <c r="D998" s="49"/>
      <c r="E998" s="51"/>
      <c r="F998" s="6"/>
      <c r="G998" s="6"/>
      <c r="H998" s="6"/>
      <c r="I998" s="6"/>
      <c r="J998" s="6"/>
      <c r="K998" s="51"/>
      <c r="L998" s="51"/>
      <c r="M998" s="51"/>
      <c r="N998" s="51"/>
      <c r="O998" s="51"/>
      <c r="P998" s="51"/>
      <c r="Q998" s="51"/>
      <c r="R998" s="51"/>
      <c r="S998" s="51"/>
      <c r="T998" s="51"/>
      <c r="U998" s="51"/>
      <c r="V998" s="51"/>
      <c r="W998" s="51"/>
      <c r="X998" s="51"/>
      <c r="Y998" s="51"/>
      <c r="Z998" s="51"/>
      <c r="AA998" s="51"/>
      <c r="AB998" s="51"/>
    </row>
    <row r="999" customFormat="false" ht="15.75" hidden="false" customHeight="false" outlineLevel="0" collapsed="false">
      <c r="A999" s="51"/>
      <c r="B999" s="51"/>
      <c r="C999" s="6"/>
      <c r="D999" s="49"/>
      <c r="E999" s="51"/>
      <c r="F999" s="6"/>
      <c r="G999" s="6"/>
      <c r="H999" s="6"/>
      <c r="I999" s="6"/>
      <c r="J999" s="6"/>
      <c r="K999" s="51"/>
      <c r="L999" s="51"/>
      <c r="M999" s="51"/>
      <c r="N999" s="51"/>
      <c r="O999" s="51"/>
      <c r="P999" s="51"/>
      <c r="Q999" s="51"/>
      <c r="R999" s="51"/>
      <c r="S999" s="51"/>
      <c r="T999" s="51"/>
      <c r="U999" s="51"/>
      <c r="V999" s="51"/>
      <c r="W999" s="51"/>
      <c r="X999" s="51"/>
      <c r="Y999" s="51"/>
      <c r="Z999" s="51"/>
      <c r="AA999" s="51"/>
      <c r="AB999" s="51"/>
    </row>
    <row r="1000" customFormat="false" ht="15.75" hidden="false" customHeight="false" outlineLevel="0" collapsed="false">
      <c r="A1000" s="51"/>
      <c r="B1000" s="51"/>
      <c r="C1000" s="6"/>
      <c r="D1000" s="49"/>
      <c r="E1000" s="51"/>
      <c r="F1000" s="6"/>
      <c r="G1000" s="6"/>
      <c r="H1000" s="6"/>
      <c r="I1000" s="6"/>
      <c r="J1000" s="6"/>
      <c r="K1000" s="51"/>
      <c r="L1000" s="51"/>
      <c r="M1000" s="51"/>
      <c r="N1000" s="51"/>
      <c r="O1000" s="51"/>
      <c r="P1000" s="51"/>
      <c r="Q1000" s="51"/>
      <c r="R1000" s="51"/>
      <c r="S1000" s="51"/>
      <c r="T1000" s="51"/>
      <c r="U1000" s="51"/>
      <c r="V1000" s="51"/>
      <c r="W1000" s="51"/>
      <c r="X1000" s="51"/>
      <c r="Y1000" s="51"/>
      <c r="Z1000" s="51"/>
      <c r="AA1000" s="51"/>
      <c r="AB1000" s="51"/>
    </row>
    <row r="1001" customFormat="false" ht="15.75" hidden="false" customHeight="false" outlineLevel="0" collapsed="false">
      <c r="A1001" s="51"/>
      <c r="B1001" s="51"/>
      <c r="C1001" s="6"/>
      <c r="D1001" s="49"/>
      <c r="E1001" s="51"/>
      <c r="F1001" s="6"/>
      <c r="G1001" s="6"/>
      <c r="H1001" s="6"/>
      <c r="I1001" s="6"/>
      <c r="J1001" s="6"/>
      <c r="K1001" s="51"/>
      <c r="L1001" s="51"/>
      <c r="M1001" s="51"/>
      <c r="N1001" s="51"/>
      <c r="O1001" s="51"/>
      <c r="P1001" s="51"/>
      <c r="Q1001" s="51"/>
      <c r="R1001" s="51"/>
      <c r="S1001" s="51"/>
      <c r="T1001" s="51"/>
      <c r="U1001" s="51"/>
      <c r="V1001" s="51"/>
      <c r="W1001" s="51"/>
      <c r="X1001" s="51"/>
      <c r="Y1001" s="51"/>
      <c r="Z1001" s="51"/>
      <c r="AA1001" s="51"/>
      <c r="AB1001" s="51"/>
    </row>
    <row r="1002" customFormat="false" ht="15.75" hidden="false" customHeight="false" outlineLevel="0" collapsed="false">
      <c r="A1002" s="51"/>
      <c r="B1002" s="51"/>
      <c r="C1002" s="6"/>
      <c r="D1002" s="49"/>
      <c r="E1002" s="51"/>
      <c r="F1002" s="6"/>
      <c r="G1002" s="6"/>
      <c r="H1002" s="6"/>
      <c r="I1002" s="6"/>
      <c r="J1002" s="6"/>
      <c r="K1002" s="51"/>
      <c r="L1002" s="51"/>
      <c r="M1002" s="51"/>
      <c r="N1002" s="51"/>
      <c r="O1002" s="51"/>
      <c r="P1002" s="51"/>
      <c r="Q1002" s="51"/>
      <c r="R1002" s="51"/>
      <c r="S1002" s="51"/>
      <c r="T1002" s="51"/>
      <c r="U1002" s="51"/>
      <c r="V1002" s="51"/>
      <c r="W1002" s="51"/>
      <c r="X1002" s="51"/>
      <c r="Y1002" s="51"/>
      <c r="Z1002" s="51"/>
      <c r="AA1002" s="51"/>
      <c r="AB1002" s="51"/>
    </row>
  </sheetData>
  <mergeCells count="66">
    <mergeCell ref="A2:A5"/>
    <mergeCell ref="B2:B5"/>
    <mergeCell ref="A7:A10"/>
    <mergeCell ref="B7:B10"/>
    <mergeCell ref="A12:A15"/>
    <mergeCell ref="B12:B15"/>
    <mergeCell ref="A17:A20"/>
    <mergeCell ref="B17:B20"/>
    <mergeCell ref="A22:A25"/>
    <mergeCell ref="B22:B25"/>
    <mergeCell ref="A27:A30"/>
    <mergeCell ref="B27:B30"/>
    <mergeCell ref="A32:A35"/>
    <mergeCell ref="B32:B35"/>
    <mergeCell ref="A37:A40"/>
    <mergeCell ref="B37:B40"/>
    <mergeCell ref="A42:A45"/>
    <mergeCell ref="B42:B45"/>
    <mergeCell ref="A47:A50"/>
    <mergeCell ref="B47:B50"/>
    <mergeCell ref="A52:A55"/>
    <mergeCell ref="B52:B55"/>
    <mergeCell ref="A57:A60"/>
    <mergeCell ref="B57:B60"/>
    <mergeCell ref="A62:A65"/>
    <mergeCell ref="B62:B65"/>
    <mergeCell ref="A67:A70"/>
    <mergeCell ref="B67:B70"/>
    <mergeCell ref="A72:A75"/>
    <mergeCell ref="B72:B75"/>
    <mergeCell ref="A77:A80"/>
    <mergeCell ref="B77:B80"/>
    <mergeCell ref="A82:A85"/>
    <mergeCell ref="B82:B85"/>
    <mergeCell ref="A87:A90"/>
    <mergeCell ref="B87:B90"/>
    <mergeCell ref="A92:A95"/>
    <mergeCell ref="B92:B95"/>
    <mergeCell ref="A97:A100"/>
    <mergeCell ref="B97:B100"/>
    <mergeCell ref="A102:A105"/>
    <mergeCell ref="B102:B105"/>
    <mergeCell ref="A107:A110"/>
    <mergeCell ref="B107:B110"/>
    <mergeCell ref="A112:A115"/>
    <mergeCell ref="B112:B115"/>
    <mergeCell ref="A117:A120"/>
    <mergeCell ref="B117:B120"/>
    <mergeCell ref="A122:A125"/>
    <mergeCell ref="B122:B125"/>
    <mergeCell ref="A127:A130"/>
    <mergeCell ref="B127:B130"/>
    <mergeCell ref="A132:A135"/>
    <mergeCell ref="B132:B135"/>
    <mergeCell ref="A137:A140"/>
    <mergeCell ref="B137:B140"/>
    <mergeCell ref="A142:A145"/>
    <mergeCell ref="B142:B145"/>
    <mergeCell ref="A147:A150"/>
    <mergeCell ref="B147:B150"/>
    <mergeCell ref="A152:A155"/>
    <mergeCell ref="B152:B155"/>
    <mergeCell ref="A157:A160"/>
    <mergeCell ref="B157:B160"/>
    <mergeCell ref="A162:A165"/>
    <mergeCell ref="B162:B165"/>
  </mergeCells>
  <conditionalFormatting sqref="E7:E10 E12:E15 E17:E20 E22:E25 E27:E30 E32:E35 E37:E40 E42:E45 E47:E50 E52:E55 E57:E60 E62:E65 E67:E70 E72:E75 E77:E80 E82:E85 E87:E90 E92:E95 E97:E100 E102:E105 E107:E110 E112:E115 E117:E120 E122:E125 E127:E130 E132:E135 E137:E140 E142:E145 E147:E150 E152:E155 E157:E160 E162:E165">
    <cfRule type="colorScale" priority="2">
      <colorScale>
        <cfvo type="formula" val="0"/>
        <cfvo type="formula" val="0.5"/>
        <cfvo type="formula" val="1"/>
        <color rgb="FFFFFFFF"/>
        <color rgb="FFF3BEB9"/>
        <color rgb="FFE67C73"/>
      </colorScale>
    </cfRule>
  </conditionalFormatting>
  <conditionalFormatting sqref="E2:E1002">
    <cfRule type="colorScale" priority="3">
      <colorScale>
        <cfvo type="formula" val="0"/>
        <cfvo type="formula" val="1"/>
        <color rgb="FFFFFFFF"/>
        <color rgb="FFE67C73"/>
      </colorScale>
    </cfRule>
  </conditionalFormatting>
  <dataValidations count="2">
    <dataValidation allowBlank="true" errorStyle="stop" operator="between" showDropDown="false" showErrorMessage="true" showInputMessage="false" sqref="F2:J1002" type="list">
      <formula1>"1,2,3,4,5"</formula1>
      <formula2>0</formula2>
    </dataValidation>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type="list">
      <formula1>"5W1H,Base,CoT,tldr"</formula1>
      <formula2>0</formula2>
    </dataValidation>
  </dataValidations>
  <hyperlinks>
    <hyperlink ref="A2" r:id="rId2" display="https://www.berria.eus/ekonomia/urte-eta-erdiko-kartzela-zigorra-eta-30000-euroko-kalte-ordainak-zorroza-gestion-enpresan-hil-zen-langileagatik_2124960_102.html"/>
    <hyperlink ref="A7" r:id="rId3" display="https://www.berria.eus/kirola/hirutik-hiru-jaka-mariezkurrenarentzat_2117677_102.html"/>
    <hyperlink ref="A12" r:id="rId4" display="https://www.berria.eus/bizigiro/larreen-eta-larrabereen-balioaz_2126273_102.html"/>
    <hyperlink ref="A17" r:id="rId5" display="https://www.berria.eus/kirola/olatua-hartuta-parisera_2121856_102.html"/>
    <hyperlink ref="A22" r:id="rId6" display="https://www.berria.eus/bizigiro/badago-ezkutuan-dagoen-sektore-bat-sarietatik-kanpo-idazten-ari-dena_2119644_102.html"/>
    <hyperlink ref="A27" r:id="rId7" display="https://www.berria.eus/bizigiro/istorioak-irudien-bidez-kontatzen-ditut-oso-hizkuntza-unibertsala-da_2121576_102.html"/>
    <hyperlink ref="A32" r:id="rId8" display="https://www.berria.eus/euskal-herria/etxeko-atxiloaldia-ezarri-diote-labioko-hiltzaileari_2124515_102.html"/>
    <hyperlink ref="A37" r:id="rId9" display="https://www.berria.eus/ekonomia/sektore-eolikoa-eta-milaka-lanpostu-desagertzeko-arriskuaz-ohartarazi-du-elak_233844_102.html"/>
    <hyperlink ref="A42" r:id="rId10" display="https://www.berria.eus/kultura/mikroipuinak-txikiak-baina-ez-hutsalak_2121931_102.html"/>
    <hyperlink ref="A47" r:id="rId11" display="https://www.berria.eus/euskal-herria/guardia-zibilak-dio-europako-speed-laborategi-handiena-aurkitu-duela-euskal-herrian_2125543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ColWidth="12.6328125" defaultRowHeight="15.75" zeroHeight="false" outlineLevelRow="0" outlineLevelCol="0"/>
  <cols>
    <col collapsed="false" customWidth="true" hidden="false" outlineLevel="0" max="1" min="1" style="1" width="3"/>
    <col collapsed="false" customWidth="true" hidden="false" outlineLevel="0" max="2" min="2" style="1" width="63.88"/>
    <col collapsed="false" customWidth="true" hidden="false" outlineLevel="0" max="4" min="4" style="1" width="77"/>
    <col collapsed="false" customWidth="true" hidden="false" outlineLevel="0" max="5" min="5" style="1" width="5.75"/>
  </cols>
  <sheetData>
    <row r="1" customFormat="false" ht="15.75" hidden="false" customHeight="false" outlineLevel="0" collapsed="false">
      <c r="A1" s="3" t="s">
        <v>0</v>
      </c>
      <c r="B1" s="3" t="s">
        <v>27</v>
      </c>
      <c r="C1" s="3" t="s">
        <v>2</v>
      </c>
      <c r="D1" s="45" t="s">
        <v>29</v>
      </c>
      <c r="E1" s="46" t="s">
        <v>3</v>
      </c>
      <c r="F1" s="3" t="s">
        <v>4</v>
      </c>
      <c r="G1" s="3" t="s">
        <v>5</v>
      </c>
      <c r="H1" s="3" t="s">
        <v>6</v>
      </c>
      <c r="I1" s="3" t="s">
        <v>7</v>
      </c>
      <c r="J1" s="3" t="s">
        <v>8</v>
      </c>
      <c r="K1" s="3"/>
      <c r="L1" s="3"/>
      <c r="M1" s="3"/>
      <c r="N1" s="3"/>
      <c r="O1" s="3"/>
      <c r="P1" s="3"/>
      <c r="Q1" s="3"/>
      <c r="R1" s="3"/>
      <c r="S1" s="3"/>
      <c r="T1" s="3"/>
      <c r="U1" s="3"/>
      <c r="V1" s="3"/>
      <c r="W1" s="3"/>
      <c r="X1" s="3"/>
      <c r="Y1" s="3"/>
      <c r="Z1" s="3"/>
      <c r="AA1" s="3"/>
      <c r="AB1" s="3"/>
    </row>
    <row r="2" customFormat="false" ht="225" hidden="false" customHeight="true" outlineLevel="0" collapsed="false">
      <c r="A2" s="47" t="s">
        <v>30</v>
      </c>
      <c r="B2" s="48" t="s">
        <v>31</v>
      </c>
      <c r="C2" s="6" t="s">
        <v>18</v>
      </c>
      <c r="D2" s="77" t="s">
        <v>111</v>
      </c>
      <c r="E2" s="76" t="n">
        <f aca="false">IFERROR(__xludf.dummyfunction("COUNTA(SPLIT(D2,"" ""))/COUNTA(SPLIT($B$2,"" ""))"),0.912820512820513)</f>
        <v>0.9128205128</v>
      </c>
      <c r="F2" s="6" t="n">
        <v>2</v>
      </c>
      <c r="G2" s="6" t="n">
        <v>3</v>
      </c>
      <c r="H2" s="6" t="n">
        <v>2</v>
      </c>
      <c r="I2" s="6" t="n">
        <v>2</v>
      </c>
      <c r="J2" s="6" t="n">
        <v>3</v>
      </c>
      <c r="K2" s="51"/>
      <c r="L2" s="51"/>
      <c r="M2" s="51"/>
      <c r="N2" s="51"/>
      <c r="O2" s="51"/>
      <c r="P2" s="51"/>
      <c r="Q2" s="51"/>
      <c r="R2" s="51"/>
      <c r="S2" s="51"/>
      <c r="T2" s="51"/>
      <c r="U2" s="51"/>
      <c r="V2" s="51"/>
      <c r="W2" s="51"/>
      <c r="X2" s="51"/>
      <c r="Y2" s="51"/>
      <c r="Z2" s="51"/>
      <c r="AA2" s="51"/>
      <c r="AB2" s="51"/>
    </row>
    <row r="3" customFormat="false" ht="225" hidden="false" customHeight="true" outlineLevel="0" collapsed="false">
      <c r="A3" s="47"/>
      <c r="B3" s="47"/>
      <c r="C3" s="6" t="s">
        <v>19</v>
      </c>
      <c r="D3" s="77" t="s">
        <v>112</v>
      </c>
      <c r="E3" s="78" t="n">
        <f aca="false">IFERROR(__xludf.dummyfunction("COUNTA(SPLIT(D3,"" ""))/COUNTA(SPLIT($B$2,"" ""))"),0.384615384615385)</f>
        <v>0.3846153846</v>
      </c>
      <c r="F3" s="6" t="n">
        <v>2</v>
      </c>
      <c r="G3" s="6" t="n">
        <v>4</v>
      </c>
      <c r="H3" s="6" t="n">
        <v>3</v>
      </c>
      <c r="I3" s="6" t="n">
        <v>3</v>
      </c>
      <c r="J3" s="6" t="n">
        <v>3</v>
      </c>
      <c r="K3" s="51"/>
      <c r="L3" s="51"/>
      <c r="M3" s="51"/>
      <c r="N3" s="51"/>
      <c r="O3" s="51"/>
      <c r="P3" s="51"/>
      <c r="Q3" s="51"/>
      <c r="R3" s="51"/>
      <c r="S3" s="51"/>
      <c r="T3" s="51"/>
      <c r="U3" s="51"/>
      <c r="V3" s="51"/>
      <c r="W3" s="51"/>
      <c r="X3" s="51"/>
      <c r="Y3" s="51"/>
      <c r="Z3" s="51"/>
      <c r="AA3" s="51"/>
      <c r="AB3" s="51"/>
    </row>
    <row r="4" customFormat="false" ht="225" hidden="false" customHeight="true" outlineLevel="0" collapsed="false">
      <c r="A4" s="47"/>
      <c r="B4" s="47"/>
      <c r="C4" s="6" t="s">
        <v>8</v>
      </c>
      <c r="D4" s="49" t="s">
        <v>113</v>
      </c>
      <c r="E4" s="79" t="n">
        <f aca="false">IFERROR(__xludf.dummyfunction("COUNTA(SPLIT(D4,"" ""))/COUNTA(SPLIT($B$2,"" ""))"),0.717948717948718)</f>
        <v>0.7179487179</v>
      </c>
      <c r="F4" s="6" t="n">
        <v>3</v>
      </c>
      <c r="G4" s="6" t="n">
        <v>5</v>
      </c>
      <c r="H4" s="6" t="n">
        <v>3</v>
      </c>
      <c r="I4" s="6" t="n">
        <v>4</v>
      </c>
      <c r="J4" s="6" t="n">
        <v>4</v>
      </c>
      <c r="K4" s="51"/>
      <c r="L4" s="51"/>
      <c r="M4" s="51"/>
      <c r="N4" s="51"/>
      <c r="O4" s="51"/>
      <c r="P4" s="51"/>
      <c r="Q4" s="51"/>
      <c r="R4" s="51"/>
      <c r="S4" s="51"/>
      <c r="T4" s="51"/>
      <c r="U4" s="51"/>
      <c r="V4" s="51"/>
      <c r="W4" s="51"/>
      <c r="X4" s="51"/>
      <c r="Y4" s="51"/>
      <c r="Z4" s="51"/>
      <c r="AA4" s="51"/>
      <c r="AB4" s="51"/>
    </row>
    <row r="5" customFormat="false" ht="225" hidden="false" customHeight="true" outlineLevel="0" collapsed="false">
      <c r="A5" s="47"/>
      <c r="B5" s="47"/>
      <c r="C5" s="6" t="s">
        <v>20</v>
      </c>
      <c r="D5" s="103" t="s">
        <v>114</v>
      </c>
      <c r="E5" s="80" t="n">
        <f aca="false">IFERROR(__xludf.dummyfunction("COUNTA(SPLIT(D5,"" ""))/COUNTA(SPLIT($B$2,"" ""))"),0.764102564102564)</f>
        <v>0.7641025641</v>
      </c>
      <c r="F5" s="6" t="n">
        <v>3</v>
      </c>
      <c r="G5" s="6" t="n">
        <v>4</v>
      </c>
      <c r="H5" s="6" t="n">
        <v>3</v>
      </c>
      <c r="I5" s="6" t="n">
        <v>2</v>
      </c>
      <c r="J5" s="6" t="n">
        <v>5</v>
      </c>
      <c r="K5" s="51"/>
      <c r="L5" s="51"/>
      <c r="M5" s="51"/>
      <c r="N5" s="51"/>
      <c r="O5" s="51"/>
      <c r="P5" s="51"/>
      <c r="Q5" s="51"/>
      <c r="R5" s="51"/>
      <c r="S5" s="51"/>
      <c r="T5" s="51"/>
      <c r="U5" s="51"/>
      <c r="V5" s="51"/>
      <c r="W5" s="51"/>
      <c r="X5" s="51"/>
      <c r="Y5" s="51"/>
      <c r="Z5" s="51"/>
      <c r="AA5" s="51"/>
      <c r="AB5" s="51"/>
    </row>
    <row r="6" customFormat="false" ht="15.75" hidden="false" customHeight="false" outlineLevel="0" collapsed="false">
      <c r="A6" s="51"/>
      <c r="B6" s="51"/>
      <c r="C6" s="6"/>
      <c r="D6" s="49"/>
      <c r="E6" s="53"/>
      <c r="F6" s="6"/>
      <c r="G6" s="6"/>
      <c r="H6" s="6"/>
      <c r="I6" s="6"/>
      <c r="J6" s="6"/>
      <c r="K6" s="51"/>
      <c r="L6" s="51"/>
      <c r="M6" s="51"/>
      <c r="N6" s="51"/>
      <c r="O6" s="51"/>
      <c r="P6" s="51"/>
      <c r="Q6" s="51"/>
      <c r="R6" s="51"/>
      <c r="S6" s="51"/>
      <c r="T6" s="51"/>
      <c r="U6" s="51"/>
      <c r="V6" s="51"/>
      <c r="W6" s="51"/>
      <c r="X6" s="51"/>
      <c r="Y6" s="51"/>
      <c r="Z6" s="51"/>
      <c r="AA6" s="51"/>
      <c r="AB6" s="51"/>
    </row>
    <row r="7" customFormat="false" ht="225" hidden="false" customHeight="true" outlineLevel="0" collapsed="false">
      <c r="A7" s="54" t="s">
        <v>35</v>
      </c>
      <c r="B7" s="55" t="s">
        <v>36</v>
      </c>
      <c r="C7" s="56" t="s">
        <v>18</v>
      </c>
      <c r="D7" s="104" t="s">
        <v>115</v>
      </c>
      <c r="E7" s="81" t="n">
        <f aca="false">IFERROR(__xludf.dummyfunction("COUNTA(SPLIT(D7,"" ""))/COUNTA(SPLIT($B$7,"" ""))"),0.93452380952381)</f>
        <v>0.9345238095</v>
      </c>
      <c r="F7" s="56" t="n">
        <v>3</v>
      </c>
      <c r="G7" s="56" t="n">
        <v>2</v>
      </c>
      <c r="H7" s="56" t="n">
        <v>2</v>
      </c>
      <c r="I7" s="56" t="n">
        <v>1</v>
      </c>
      <c r="J7" s="56" t="n">
        <v>4</v>
      </c>
      <c r="K7" s="59"/>
      <c r="L7" s="59"/>
      <c r="M7" s="59"/>
      <c r="N7" s="59"/>
      <c r="O7" s="59"/>
      <c r="P7" s="59"/>
      <c r="Q7" s="59"/>
      <c r="R7" s="59"/>
      <c r="S7" s="59"/>
      <c r="T7" s="59"/>
      <c r="U7" s="59"/>
      <c r="V7" s="59"/>
      <c r="W7" s="59"/>
      <c r="X7" s="59"/>
      <c r="Y7" s="59"/>
      <c r="Z7" s="59"/>
      <c r="AA7" s="59"/>
      <c r="AB7" s="59"/>
    </row>
    <row r="8" customFormat="false" ht="225" hidden="false" customHeight="true" outlineLevel="0" collapsed="false">
      <c r="A8" s="54"/>
      <c r="B8" s="54"/>
      <c r="C8" s="6" t="s">
        <v>19</v>
      </c>
      <c r="D8" s="49" t="s">
        <v>116</v>
      </c>
      <c r="E8" s="82" t="n">
        <f aca="false">IFERROR(__xludf.dummyfunction("COUNTA(SPLIT(D8,"" ""))/COUNTA(SPLIT($B$7,"" ""))"),0.80952380952381)</f>
        <v>0.8095238095</v>
      </c>
      <c r="F8" s="6" t="n">
        <v>2</v>
      </c>
      <c r="G8" s="6" t="n">
        <v>2</v>
      </c>
      <c r="H8" s="6" t="n">
        <v>2</v>
      </c>
      <c r="I8" s="6" t="n">
        <v>2</v>
      </c>
      <c r="J8" s="6" t="n">
        <v>2</v>
      </c>
      <c r="K8" s="51"/>
      <c r="L8" s="51"/>
      <c r="M8" s="51"/>
      <c r="N8" s="51"/>
      <c r="O8" s="51"/>
      <c r="P8" s="51"/>
      <c r="Q8" s="51"/>
      <c r="R8" s="51"/>
      <c r="S8" s="51"/>
      <c r="T8" s="51"/>
      <c r="U8" s="51"/>
      <c r="V8" s="51"/>
      <c r="W8" s="51"/>
      <c r="X8" s="51"/>
      <c r="Y8" s="51"/>
      <c r="Z8" s="51"/>
      <c r="AA8" s="51"/>
      <c r="AB8" s="51"/>
    </row>
    <row r="9" customFormat="false" ht="225" hidden="false" customHeight="true" outlineLevel="0" collapsed="false">
      <c r="A9" s="54"/>
      <c r="B9" s="54"/>
      <c r="C9" s="6" t="s">
        <v>8</v>
      </c>
      <c r="D9" s="49" t="s">
        <v>117</v>
      </c>
      <c r="E9" s="83" t="n">
        <f aca="false">IFERROR(__xludf.dummyfunction("COUNTA(SPLIT(D9,"" ""))/COUNTA(SPLIT($B$7,"" ""))"),0.958333333333333)</f>
        <v>0.9583333333</v>
      </c>
      <c r="F9" s="6" t="n">
        <v>3</v>
      </c>
      <c r="G9" s="6" t="n">
        <v>4</v>
      </c>
      <c r="H9" s="6" t="n">
        <v>3</v>
      </c>
      <c r="I9" s="6" t="n">
        <v>3</v>
      </c>
      <c r="J9" s="6" t="n">
        <v>4</v>
      </c>
      <c r="K9" s="51"/>
      <c r="L9" s="51"/>
      <c r="M9" s="51"/>
      <c r="N9" s="51"/>
      <c r="O9" s="51"/>
      <c r="P9" s="51"/>
      <c r="Q9" s="51"/>
      <c r="R9" s="51"/>
      <c r="S9" s="51"/>
      <c r="T9" s="51"/>
      <c r="U9" s="51"/>
      <c r="V9" s="51"/>
      <c r="W9" s="51"/>
      <c r="X9" s="51"/>
      <c r="Y9" s="51"/>
      <c r="Z9" s="51"/>
      <c r="AA9" s="51"/>
      <c r="AB9" s="51"/>
    </row>
    <row r="10" customFormat="false" ht="225" hidden="false" customHeight="true" outlineLevel="0" collapsed="false">
      <c r="A10" s="54"/>
      <c r="B10" s="54"/>
      <c r="C10" s="6" t="s">
        <v>20</v>
      </c>
      <c r="D10" s="49" t="s">
        <v>118</v>
      </c>
      <c r="E10" s="66" t="n">
        <f aca="false">IFERROR(__xludf.dummyfunction("COUNTA(SPLIT(D10,"" ""))/COUNTA(SPLIT($B$7,"" ""))"),0.113095238095238)</f>
        <v>0.1130952381</v>
      </c>
      <c r="F10" s="6" t="n">
        <v>4</v>
      </c>
      <c r="G10" s="6" t="n">
        <v>5</v>
      </c>
      <c r="H10" s="6" t="n">
        <v>3</v>
      </c>
      <c r="I10" s="6" t="n">
        <v>4</v>
      </c>
      <c r="J10" s="6" t="n">
        <v>2</v>
      </c>
      <c r="K10" s="51"/>
      <c r="L10" s="51"/>
      <c r="M10" s="51"/>
      <c r="N10" s="51"/>
      <c r="O10" s="51"/>
      <c r="P10" s="51"/>
      <c r="Q10" s="51"/>
      <c r="R10" s="51"/>
      <c r="S10" s="51"/>
      <c r="T10" s="51"/>
      <c r="U10" s="51"/>
      <c r="V10" s="51"/>
      <c r="W10" s="51"/>
      <c r="X10" s="51"/>
      <c r="Y10" s="51"/>
      <c r="Z10" s="51"/>
      <c r="AA10" s="51"/>
      <c r="AB10" s="51"/>
    </row>
    <row r="11" customFormat="false" ht="15.75" hidden="false" customHeight="false" outlineLevel="0" collapsed="false">
      <c r="A11" s="51"/>
      <c r="B11" s="51"/>
      <c r="C11" s="6"/>
      <c r="D11" s="49"/>
      <c r="E11" s="53"/>
      <c r="F11" s="6"/>
      <c r="G11" s="6"/>
      <c r="H11" s="6"/>
      <c r="I11" s="6"/>
      <c r="J11" s="6"/>
      <c r="K11" s="51"/>
      <c r="L11" s="51"/>
      <c r="M11" s="51"/>
      <c r="N11" s="51"/>
      <c r="O11" s="51"/>
      <c r="P11" s="51"/>
      <c r="Q11" s="51"/>
      <c r="R11" s="51"/>
      <c r="S11" s="51"/>
      <c r="T11" s="51"/>
      <c r="U11" s="51"/>
      <c r="V11" s="51"/>
      <c r="W11" s="51"/>
      <c r="X11" s="51"/>
      <c r="Y11" s="51"/>
      <c r="Z11" s="51"/>
      <c r="AA11" s="51"/>
      <c r="AB11" s="51"/>
    </row>
    <row r="12" customFormat="false" ht="225" hidden="false" customHeight="true" outlineLevel="0" collapsed="false">
      <c r="A12" s="54" t="s">
        <v>39</v>
      </c>
      <c r="B12" s="55" t="s">
        <v>40</v>
      </c>
      <c r="C12" s="56" t="s">
        <v>18</v>
      </c>
      <c r="D12" s="57" t="s">
        <v>119</v>
      </c>
      <c r="E12" s="84" t="n">
        <f aca="false">IFERROR(__xludf.dummyfunction("COUNTA(SPLIT(D12,"" ""))/COUNTA(SPLIT($B$12,"" ""))"),0.68421052631579)</f>
        <v>0.6842105263</v>
      </c>
      <c r="F12" s="56" t="n">
        <v>4</v>
      </c>
      <c r="G12" s="56" t="n">
        <v>4</v>
      </c>
      <c r="H12" s="56" t="n">
        <v>2</v>
      </c>
      <c r="I12" s="56" t="n">
        <v>2</v>
      </c>
      <c r="J12" s="56" t="n">
        <v>4</v>
      </c>
      <c r="K12" s="59"/>
      <c r="L12" s="59"/>
      <c r="M12" s="59"/>
      <c r="N12" s="59"/>
      <c r="O12" s="59"/>
      <c r="P12" s="59"/>
      <c r="Q12" s="59"/>
      <c r="R12" s="59"/>
      <c r="S12" s="59"/>
      <c r="T12" s="59"/>
      <c r="U12" s="59"/>
      <c r="V12" s="59"/>
      <c r="W12" s="59"/>
      <c r="X12" s="59"/>
      <c r="Y12" s="59"/>
      <c r="Z12" s="59"/>
      <c r="AA12" s="59"/>
      <c r="AB12" s="59"/>
    </row>
    <row r="13" customFormat="false" ht="225" hidden="false" customHeight="true" outlineLevel="0" collapsed="false">
      <c r="A13" s="54"/>
      <c r="B13" s="54"/>
      <c r="C13" s="6" t="s">
        <v>19</v>
      </c>
      <c r="D13" s="49" t="s">
        <v>120</v>
      </c>
      <c r="E13" s="84" t="n">
        <f aca="false">IFERROR(__xludf.dummyfunction("COUNTA(SPLIT(D13,"" ""))/COUNTA(SPLIT($B$12,"" ""))"),0.169336384439359)</f>
        <v>0.1693363844</v>
      </c>
      <c r="F13" s="6" t="n">
        <v>2</v>
      </c>
      <c r="G13" s="6" t="n">
        <v>5</v>
      </c>
      <c r="H13" s="6" t="n">
        <v>4</v>
      </c>
      <c r="I13" s="6" t="n">
        <v>2</v>
      </c>
      <c r="J13" s="6" t="n">
        <v>2</v>
      </c>
      <c r="K13" s="51"/>
      <c r="L13" s="51"/>
      <c r="M13" s="51"/>
      <c r="N13" s="51"/>
      <c r="O13" s="51"/>
      <c r="P13" s="51"/>
      <c r="Q13" s="51"/>
      <c r="R13" s="51"/>
      <c r="S13" s="51"/>
      <c r="T13" s="51"/>
      <c r="U13" s="51"/>
      <c r="V13" s="51"/>
      <c r="W13" s="51"/>
      <c r="X13" s="51"/>
      <c r="Y13" s="51"/>
      <c r="Z13" s="51"/>
      <c r="AA13" s="51"/>
      <c r="AB13" s="51"/>
    </row>
    <row r="14" customFormat="false" ht="225" hidden="false" customHeight="true" outlineLevel="0" collapsed="false">
      <c r="A14" s="54"/>
      <c r="B14" s="54"/>
      <c r="C14" s="6" t="s">
        <v>8</v>
      </c>
      <c r="D14" s="49" t="s">
        <v>121</v>
      </c>
      <c r="E14" s="85" t="n">
        <f aca="false">IFERROR(__xludf.dummyfunction("COUNTA(SPLIT(D14,"" ""))/COUNTA(SPLIT($B$12,"" ""))"),0.164759725400458)</f>
        <v>0.1647597254</v>
      </c>
      <c r="F14" s="6" t="n">
        <v>3</v>
      </c>
      <c r="G14" s="6" t="n">
        <v>3</v>
      </c>
      <c r="H14" s="6" t="n">
        <v>4</v>
      </c>
      <c r="I14" s="6" t="n">
        <v>3</v>
      </c>
      <c r="J14" s="6" t="n">
        <v>3</v>
      </c>
      <c r="K14" s="51"/>
      <c r="L14" s="51"/>
      <c r="M14" s="51"/>
      <c r="N14" s="51"/>
      <c r="O14" s="51"/>
      <c r="P14" s="51"/>
      <c r="Q14" s="51"/>
      <c r="R14" s="51"/>
      <c r="S14" s="51"/>
      <c r="T14" s="51"/>
      <c r="U14" s="51"/>
      <c r="V14" s="51"/>
      <c r="W14" s="51"/>
      <c r="X14" s="51"/>
      <c r="Y14" s="51"/>
      <c r="Z14" s="51"/>
      <c r="AA14" s="51"/>
      <c r="AB14" s="51"/>
    </row>
    <row r="15" customFormat="false" ht="225" hidden="false" customHeight="true" outlineLevel="0" collapsed="false">
      <c r="A15" s="54"/>
      <c r="B15" s="54"/>
      <c r="C15" s="6" t="s">
        <v>20</v>
      </c>
      <c r="D15" s="103" t="s">
        <v>122</v>
      </c>
      <c r="E15" s="86" t="n">
        <f aca="false">IFERROR(__xludf.dummyfunction("COUNTA(SPLIT(D15,"" ""))/COUNTA(SPLIT($B$12,"" ""))"),0.180778032036613)</f>
        <v>0.180778032</v>
      </c>
      <c r="F15" s="6" t="n">
        <v>1</v>
      </c>
      <c r="G15" s="6" t="n">
        <v>3</v>
      </c>
      <c r="H15" s="6" t="n">
        <v>3</v>
      </c>
      <c r="I15" s="6" t="n">
        <v>4</v>
      </c>
      <c r="J15" s="6" t="n">
        <v>3</v>
      </c>
      <c r="K15" s="51"/>
      <c r="L15" s="51"/>
      <c r="M15" s="51"/>
      <c r="N15" s="51"/>
      <c r="O15" s="51"/>
      <c r="P15" s="51"/>
      <c r="Q15" s="51"/>
      <c r="R15" s="51"/>
      <c r="S15" s="51"/>
      <c r="T15" s="51"/>
      <c r="U15" s="51"/>
      <c r="V15" s="51"/>
      <c r="W15" s="51"/>
      <c r="X15" s="51"/>
      <c r="Y15" s="51"/>
      <c r="Z15" s="51"/>
      <c r="AA15" s="51"/>
      <c r="AB15" s="51"/>
    </row>
    <row r="16" customFormat="false" ht="15.75" hidden="false" customHeight="false" outlineLevel="0" collapsed="false">
      <c r="A16" s="51"/>
      <c r="B16" s="51"/>
      <c r="C16" s="6"/>
      <c r="D16" s="49"/>
      <c r="E16" s="53"/>
      <c r="F16" s="6"/>
      <c r="G16" s="6"/>
      <c r="H16" s="6"/>
      <c r="I16" s="6"/>
      <c r="J16" s="6"/>
      <c r="K16" s="51"/>
      <c r="L16" s="51"/>
      <c r="M16" s="51"/>
      <c r="N16" s="51"/>
      <c r="O16" s="51"/>
      <c r="P16" s="51"/>
      <c r="Q16" s="51"/>
      <c r="R16" s="51"/>
      <c r="S16" s="51"/>
      <c r="T16" s="51"/>
      <c r="U16" s="51"/>
      <c r="V16" s="51"/>
      <c r="W16" s="51"/>
      <c r="X16" s="51"/>
      <c r="Y16" s="51"/>
      <c r="Z16" s="51"/>
      <c r="AA16" s="51"/>
      <c r="AB16" s="51"/>
    </row>
    <row r="17" customFormat="false" ht="225" hidden="false" customHeight="true" outlineLevel="0" collapsed="false">
      <c r="A17" s="54" t="s">
        <v>43</v>
      </c>
      <c r="B17" s="55" t="s">
        <v>44</v>
      </c>
      <c r="C17" s="56" t="s">
        <v>18</v>
      </c>
      <c r="D17" s="57" t="s">
        <v>123</v>
      </c>
      <c r="E17" s="87" t="n">
        <f aca="false">IFERROR(__xludf.dummyfunction("COUNTA(SPLIT(D17,"" ""))/COUNTA(SPLIT($B$17,"" ""))"),0.434010152284264)</f>
        <v>0.4340101523</v>
      </c>
      <c r="F17" s="56" t="n">
        <v>3</v>
      </c>
      <c r="G17" s="56" t="n">
        <v>4</v>
      </c>
      <c r="H17" s="56" t="n">
        <v>2</v>
      </c>
      <c r="I17" s="56" t="n">
        <v>4</v>
      </c>
      <c r="J17" s="56" t="n">
        <v>4</v>
      </c>
      <c r="K17" s="59"/>
      <c r="L17" s="59"/>
      <c r="M17" s="59"/>
      <c r="N17" s="59"/>
      <c r="O17" s="59"/>
      <c r="P17" s="59"/>
      <c r="Q17" s="59"/>
      <c r="R17" s="59"/>
      <c r="S17" s="59"/>
      <c r="T17" s="59"/>
      <c r="U17" s="59"/>
      <c r="V17" s="59"/>
      <c r="W17" s="59"/>
      <c r="X17" s="59"/>
      <c r="Y17" s="59"/>
      <c r="Z17" s="59"/>
      <c r="AA17" s="59"/>
      <c r="AB17" s="59"/>
    </row>
    <row r="18" customFormat="false" ht="225" hidden="false" customHeight="true" outlineLevel="0" collapsed="false">
      <c r="A18" s="54"/>
      <c r="B18" s="54"/>
      <c r="C18" s="6" t="s">
        <v>19</v>
      </c>
      <c r="D18" s="49" t="s">
        <v>124</v>
      </c>
      <c r="E18" s="88" t="n">
        <f aca="false">IFERROR(__xludf.dummyfunction("COUNTA(SPLIT(D18,"" ""))/COUNTA(SPLIT($B$17,"" ""))"),0.548223350253807)</f>
        <v>0.5482233503</v>
      </c>
      <c r="F18" s="6" t="n">
        <v>1</v>
      </c>
      <c r="G18" s="6" t="n">
        <v>2</v>
      </c>
      <c r="H18" s="6" t="n">
        <v>2</v>
      </c>
      <c r="I18" s="6" t="n">
        <v>2</v>
      </c>
      <c r="J18" s="6" t="n">
        <v>2</v>
      </c>
      <c r="K18" s="51"/>
      <c r="L18" s="51"/>
      <c r="M18" s="51"/>
      <c r="N18" s="51"/>
      <c r="O18" s="51"/>
      <c r="P18" s="51"/>
      <c r="Q18" s="51"/>
      <c r="R18" s="51"/>
      <c r="S18" s="51"/>
      <c r="T18" s="51"/>
      <c r="U18" s="51"/>
      <c r="V18" s="51"/>
      <c r="W18" s="51"/>
      <c r="X18" s="51"/>
      <c r="Y18" s="51"/>
      <c r="Z18" s="51"/>
      <c r="AA18" s="51"/>
      <c r="AB18" s="51"/>
    </row>
    <row r="19" customFormat="false" ht="225" hidden="false" customHeight="true" outlineLevel="0" collapsed="false">
      <c r="A19" s="54"/>
      <c r="B19" s="54"/>
      <c r="C19" s="6" t="s">
        <v>8</v>
      </c>
      <c r="D19" s="49" t="s">
        <v>125</v>
      </c>
      <c r="E19" s="84" t="n">
        <f aca="false">IFERROR(__xludf.dummyfunction("COUNTA(SPLIT(D19,"" ""))/COUNTA(SPLIT($B$17,"" ""))"),0.230964467005076)</f>
        <v>0.230964467</v>
      </c>
      <c r="F19" s="6" t="n">
        <v>2</v>
      </c>
      <c r="G19" s="6" t="n">
        <v>2</v>
      </c>
      <c r="H19" s="6" t="n">
        <v>1</v>
      </c>
      <c r="I19" s="6" t="n">
        <v>5</v>
      </c>
      <c r="J19" s="6" t="n">
        <v>2</v>
      </c>
      <c r="K19" s="51"/>
      <c r="L19" s="51"/>
      <c r="M19" s="51"/>
      <c r="N19" s="51"/>
      <c r="O19" s="51"/>
      <c r="P19" s="51"/>
      <c r="Q19" s="51"/>
      <c r="R19" s="51"/>
      <c r="S19" s="51"/>
      <c r="T19" s="51"/>
      <c r="U19" s="51"/>
      <c r="V19" s="51"/>
      <c r="W19" s="51"/>
      <c r="X19" s="51"/>
      <c r="Y19" s="51"/>
      <c r="Z19" s="51"/>
      <c r="AA19" s="51"/>
      <c r="AB19" s="51"/>
    </row>
    <row r="20" customFormat="false" ht="225" hidden="false" customHeight="true" outlineLevel="0" collapsed="false">
      <c r="A20" s="54"/>
      <c r="B20" s="54"/>
      <c r="C20" s="6" t="s">
        <v>20</v>
      </c>
      <c r="D20" s="49" t="s">
        <v>126</v>
      </c>
      <c r="E20" s="89" t="n">
        <f aca="false">IFERROR(__xludf.dummyfunction("COUNTA(SPLIT(D20,"" ""))/COUNTA(SPLIT($B$17,"" ""))"),2.04822335025381)</f>
        <v>2.04822335</v>
      </c>
      <c r="F20" s="6" t="n">
        <v>1</v>
      </c>
      <c r="G20" s="6" t="n">
        <v>5</v>
      </c>
      <c r="H20" s="6" t="n">
        <v>1</v>
      </c>
      <c r="I20" s="6" t="n">
        <v>1</v>
      </c>
      <c r="J20" s="6" t="n">
        <v>5</v>
      </c>
      <c r="K20" s="51"/>
      <c r="L20" s="51"/>
      <c r="M20" s="51"/>
      <c r="N20" s="51"/>
      <c r="O20" s="51"/>
      <c r="P20" s="51"/>
      <c r="Q20" s="51"/>
      <c r="R20" s="51"/>
      <c r="S20" s="51"/>
      <c r="T20" s="51"/>
      <c r="U20" s="51"/>
      <c r="V20" s="51"/>
      <c r="W20" s="51"/>
      <c r="X20" s="51"/>
      <c r="Y20" s="51"/>
      <c r="Z20" s="51"/>
      <c r="AA20" s="51"/>
      <c r="AB20" s="51"/>
    </row>
    <row r="21" customFormat="false" ht="15.75" hidden="false" customHeight="false" outlineLevel="0" collapsed="false">
      <c r="A21" s="51"/>
      <c r="B21" s="51"/>
      <c r="C21" s="6"/>
      <c r="D21" s="49"/>
      <c r="E21" s="53"/>
      <c r="F21" s="6"/>
      <c r="G21" s="6"/>
      <c r="H21" s="6"/>
      <c r="I21" s="6"/>
      <c r="J21" s="6"/>
      <c r="K21" s="51"/>
      <c r="L21" s="51"/>
      <c r="M21" s="51"/>
      <c r="N21" s="51"/>
      <c r="O21" s="51"/>
      <c r="P21" s="51"/>
      <c r="Q21" s="51"/>
      <c r="R21" s="51"/>
      <c r="S21" s="51"/>
      <c r="T21" s="51"/>
      <c r="U21" s="51"/>
      <c r="V21" s="51"/>
      <c r="W21" s="51"/>
      <c r="X21" s="51"/>
      <c r="Y21" s="51"/>
      <c r="Z21" s="51"/>
      <c r="AA21" s="51"/>
      <c r="AB21" s="51"/>
    </row>
    <row r="22" customFormat="false" ht="225" hidden="false" customHeight="true" outlineLevel="0" collapsed="false">
      <c r="A22" s="54" t="s">
        <v>47</v>
      </c>
      <c r="B22" s="55" t="s">
        <v>48</v>
      </c>
      <c r="C22" s="56" t="s">
        <v>18</v>
      </c>
      <c r="D22" s="57" t="s">
        <v>127</v>
      </c>
      <c r="E22" s="90" t="n">
        <f aca="false">IFERROR(__xludf.dummyfunction("COUNTA(SPLIT(D22,"" ""))/COUNTA(SPLIT($B$22,"" ""))"),0.741573033707865)</f>
        <v>0.7415730337</v>
      </c>
      <c r="F22" s="56" t="n">
        <v>1</v>
      </c>
      <c r="G22" s="56" t="n">
        <v>2</v>
      </c>
      <c r="H22" s="56" t="n">
        <v>2</v>
      </c>
      <c r="I22" s="56" t="n">
        <v>2</v>
      </c>
      <c r="J22" s="56" t="n">
        <v>3</v>
      </c>
      <c r="K22" s="59"/>
      <c r="L22" s="59"/>
      <c r="M22" s="59"/>
      <c r="N22" s="59"/>
      <c r="O22" s="59"/>
      <c r="P22" s="59"/>
      <c r="Q22" s="59"/>
      <c r="R22" s="59"/>
      <c r="S22" s="59"/>
      <c r="T22" s="59"/>
      <c r="U22" s="59"/>
      <c r="V22" s="59"/>
      <c r="W22" s="59"/>
      <c r="X22" s="59"/>
      <c r="Y22" s="59"/>
      <c r="Z22" s="59"/>
      <c r="AA22" s="59"/>
      <c r="AB22" s="59"/>
    </row>
    <row r="23" customFormat="false" ht="225" hidden="false" customHeight="true" outlineLevel="0" collapsed="false">
      <c r="A23" s="54"/>
      <c r="B23" s="54"/>
      <c r="C23" s="6" t="s">
        <v>19</v>
      </c>
      <c r="D23" s="49" t="s">
        <v>128</v>
      </c>
      <c r="E23" s="91" t="n">
        <f aca="false">IFERROR(__xludf.dummyfunction("COUNTA(SPLIT(D23,"" ""))/COUNTA(SPLIT($B$22,"" ""))"),0.143820224719101)</f>
        <v>0.1438202247</v>
      </c>
      <c r="F23" s="6" t="n">
        <v>1</v>
      </c>
      <c r="G23" s="6" t="n">
        <v>1</v>
      </c>
      <c r="H23" s="6" t="n">
        <v>2</v>
      </c>
      <c r="I23" s="6" t="n">
        <v>1</v>
      </c>
      <c r="J23" s="6" t="n">
        <v>1</v>
      </c>
      <c r="K23" s="51"/>
      <c r="L23" s="51"/>
      <c r="M23" s="51"/>
      <c r="N23" s="51"/>
      <c r="O23" s="51"/>
      <c r="P23" s="51"/>
      <c r="Q23" s="51"/>
      <c r="R23" s="51"/>
      <c r="S23" s="51"/>
      <c r="T23" s="51"/>
      <c r="U23" s="51"/>
      <c r="V23" s="51"/>
      <c r="W23" s="51"/>
      <c r="X23" s="51"/>
      <c r="Y23" s="51"/>
      <c r="Z23" s="51"/>
      <c r="AA23" s="51"/>
      <c r="AB23" s="51"/>
    </row>
    <row r="24" customFormat="false" ht="225" hidden="false" customHeight="true" outlineLevel="0" collapsed="false">
      <c r="A24" s="54"/>
      <c r="B24" s="54"/>
      <c r="C24" s="6" t="s">
        <v>8</v>
      </c>
      <c r="D24" s="49" t="s">
        <v>129</v>
      </c>
      <c r="E24" s="92" t="n">
        <f aca="false">IFERROR(__xludf.dummyfunction("COUNTA(SPLIT(D24,"" ""))/COUNTA(SPLIT($B$22,"" ""))"),0.474157303370787)</f>
        <v>0.4741573034</v>
      </c>
      <c r="F24" s="6" t="n">
        <v>2</v>
      </c>
      <c r="G24" s="6" t="n">
        <v>2</v>
      </c>
      <c r="H24" s="6" t="n">
        <v>3</v>
      </c>
      <c r="I24" s="6" t="n">
        <v>2</v>
      </c>
      <c r="J24" s="6" t="n">
        <v>3</v>
      </c>
      <c r="K24" s="51"/>
      <c r="L24" s="51"/>
      <c r="M24" s="51"/>
      <c r="N24" s="51"/>
      <c r="O24" s="51"/>
      <c r="P24" s="51"/>
      <c r="Q24" s="51"/>
      <c r="R24" s="51"/>
      <c r="S24" s="51"/>
      <c r="T24" s="51"/>
      <c r="U24" s="51"/>
      <c r="V24" s="51"/>
      <c r="W24" s="51"/>
      <c r="X24" s="51"/>
      <c r="Y24" s="51"/>
      <c r="Z24" s="51"/>
      <c r="AA24" s="51"/>
      <c r="AB24" s="51"/>
    </row>
    <row r="25" customFormat="false" ht="225" hidden="false" customHeight="true" outlineLevel="0" collapsed="false">
      <c r="A25" s="54"/>
      <c r="B25" s="54"/>
      <c r="C25" s="6" t="s">
        <v>20</v>
      </c>
      <c r="D25" s="49" t="s">
        <v>130</v>
      </c>
      <c r="E25" s="69" t="n">
        <f aca="false">IFERROR(__xludf.dummyfunction("COUNTA(SPLIT(D25,"" ""))/COUNTA(SPLIT($B$22,"" ""))"),1.56179775280899)</f>
        <v>1.561797753</v>
      </c>
      <c r="F25" s="6" t="n">
        <v>4</v>
      </c>
      <c r="G25" s="6" t="n">
        <v>2</v>
      </c>
      <c r="H25" s="6" t="n">
        <v>1</v>
      </c>
      <c r="I25" s="6" t="n">
        <v>1</v>
      </c>
      <c r="J25" s="6" t="n">
        <v>4</v>
      </c>
      <c r="K25" s="51"/>
      <c r="L25" s="51"/>
      <c r="M25" s="51"/>
      <c r="N25" s="51"/>
      <c r="O25" s="51"/>
      <c r="P25" s="51"/>
      <c r="Q25" s="51"/>
      <c r="R25" s="51"/>
      <c r="S25" s="51"/>
      <c r="T25" s="51"/>
      <c r="U25" s="51"/>
      <c r="V25" s="51"/>
      <c r="W25" s="51"/>
      <c r="X25" s="51"/>
      <c r="Y25" s="51"/>
      <c r="Z25" s="51"/>
      <c r="AA25" s="51"/>
      <c r="AB25" s="51"/>
    </row>
    <row r="26" customFormat="false" ht="15.75" hidden="false" customHeight="false" outlineLevel="0" collapsed="false">
      <c r="A26" s="51"/>
      <c r="B26" s="51"/>
      <c r="C26" s="6"/>
      <c r="D26" s="49"/>
      <c r="E26" s="53"/>
      <c r="F26" s="6"/>
      <c r="G26" s="6"/>
      <c r="H26" s="6"/>
      <c r="I26" s="6"/>
      <c r="J26" s="6"/>
      <c r="K26" s="51"/>
      <c r="L26" s="51"/>
      <c r="M26" s="51"/>
      <c r="N26" s="51"/>
      <c r="O26" s="51"/>
      <c r="P26" s="51"/>
      <c r="Q26" s="51"/>
      <c r="R26" s="51"/>
      <c r="S26" s="51"/>
      <c r="T26" s="51"/>
      <c r="U26" s="51"/>
      <c r="V26" s="51"/>
      <c r="W26" s="51"/>
      <c r="X26" s="51"/>
      <c r="Y26" s="51"/>
      <c r="Z26" s="51"/>
      <c r="AA26" s="51"/>
      <c r="AB26" s="51"/>
    </row>
    <row r="27" customFormat="false" ht="225" hidden="false" customHeight="true" outlineLevel="0" collapsed="false">
      <c r="A27" s="54" t="s">
        <v>51</v>
      </c>
      <c r="B27" s="55" t="s">
        <v>52</v>
      </c>
      <c r="C27" s="56" t="s">
        <v>18</v>
      </c>
      <c r="D27" s="57" t="s">
        <v>131</v>
      </c>
      <c r="E27" s="94" t="n">
        <f aca="false">IFERROR(__xludf.dummyfunction("COUNTA(SPLIT(D27,"" ""))/COUNTA(SPLIT($B$27,"" ""))"),0.186252771618625)</f>
        <v>0.1862527716</v>
      </c>
      <c r="F27" s="56" t="n">
        <v>1</v>
      </c>
      <c r="G27" s="56" t="n">
        <v>1</v>
      </c>
      <c r="H27" s="56" t="n">
        <v>2</v>
      </c>
      <c r="I27" s="56" t="n">
        <v>1</v>
      </c>
      <c r="J27" s="56" t="n">
        <v>1</v>
      </c>
      <c r="K27" s="59"/>
      <c r="L27" s="59"/>
      <c r="M27" s="59"/>
      <c r="N27" s="59"/>
      <c r="O27" s="59"/>
      <c r="P27" s="59"/>
      <c r="Q27" s="59"/>
      <c r="R27" s="59"/>
      <c r="S27" s="59"/>
      <c r="T27" s="59"/>
      <c r="U27" s="59"/>
      <c r="V27" s="59"/>
      <c r="W27" s="59"/>
      <c r="X27" s="59"/>
      <c r="Y27" s="59"/>
      <c r="Z27" s="59"/>
      <c r="AA27" s="59"/>
      <c r="AB27" s="59"/>
    </row>
    <row r="28" customFormat="false" ht="225" hidden="false" customHeight="true" outlineLevel="0" collapsed="false">
      <c r="A28" s="54"/>
      <c r="B28" s="54"/>
      <c r="C28" s="6" t="s">
        <v>19</v>
      </c>
      <c r="D28" s="103" t="s">
        <v>132</v>
      </c>
      <c r="E28" s="95" t="n">
        <f aca="false">IFERROR(__xludf.dummyfunction("COUNTA(SPLIT(D28,"" ""))/COUNTA(SPLIT($B$27,"" ""))"),0.713968957871397)</f>
        <v>0.7139689579</v>
      </c>
      <c r="F28" s="6" t="n">
        <v>1</v>
      </c>
      <c r="G28" s="6" t="n">
        <v>2</v>
      </c>
      <c r="H28" s="6" t="n">
        <v>2</v>
      </c>
      <c r="I28" s="6" t="n">
        <v>2</v>
      </c>
      <c r="J28" s="6" t="n">
        <v>3</v>
      </c>
      <c r="K28" s="51"/>
      <c r="L28" s="51"/>
      <c r="M28" s="51"/>
      <c r="N28" s="51"/>
      <c r="O28" s="51"/>
      <c r="P28" s="51"/>
      <c r="Q28" s="51"/>
      <c r="R28" s="51"/>
      <c r="S28" s="51"/>
      <c r="T28" s="51"/>
      <c r="U28" s="51"/>
      <c r="V28" s="51"/>
      <c r="W28" s="51"/>
      <c r="X28" s="51"/>
      <c r="Y28" s="51"/>
      <c r="Z28" s="51"/>
      <c r="AA28" s="51"/>
      <c r="AB28" s="51"/>
    </row>
    <row r="29" customFormat="false" ht="225" hidden="false" customHeight="true" outlineLevel="0" collapsed="false">
      <c r="A29" s="54"/>
      <c r="B29" s="54"/>
      <c r="C29" s="6" t="s">
        <v>8</v>
      </c>
      <c r="D29" s="49" t="s">
        <v>133</v>
      </c>
      <c r="E29" s="89" t="n">
        <f aca="false">IFERROR(__xludf.dummyfunction("COUNTA(SPLIT(D29,"" ""))/COUNTA(SPLIT($B$27,"" ""))"),0.487804878048781)</f>
        <v>0.487804878</v>
      </c>
      <c r="F29" s="6" t="n">
        <v>1</v>
      </c>
      <c r="G29" s="6" t="n">
        <v>4</v>
      </c>
      <c r="H29" s="6" t="n">
        <v>3</v>
      </c>
      <c r="I29" s="6" t="n">
        <v>4</v>
      </c>
      <c r="J29" s="6" t="n">
        <v>3</v>
      </c>
      <c r="K29" s="51"/>
      <c r="L29" s="51"/>
      <c r="M29" s="51"/>
      <c r="N29" s="51"/>
      <c r="O29" s="51"/>
      <c r="P29" s="51"/>
      <c r="Q29" s="51"/>
      <c r="R29" s="51"/>
      <c r="S29" s="51"/>
      <c r="T29" s="51"/>
      <c r="U29" s="51"/>
      <c r="V29" s="51"/>
      <c r="W29" s="51"/>
      <c r="X29" s="51"/>
      <c r="Y29" s="51"/>
      <c r="Z29" s="51"/>
      <c r="AA29" s="51"/>
      <c r="AB29" s="51"/>
    </row>
    <row r="30" customFormat="false" ht="225" hidden="false" customHeight="true" outlineLevel="0" collapsed="false">
      <c r="A30" s="54"/>
      <c r="B30" s="54"/>
      <c r="C30" s="6" t="s">
        <v>20</v>
      </c>
      <c r="D30" s="49" t="s">
        <v>134</v>
      </c>
      <c r="E30" s="96" t="n">
        <f aca="false">IFERROR(__xludf.dummyfunction("COUNTA(SPLIT(D30,"" ""))/COUNTA(SPLIT($B$27,"" ""))"),0.485587583148559)</f>
        <v>0.4855875831</v>
      </c>
      <c r="F30" s="6" t="n">
        <v>2</v>
      </c>
      <c r="G30" s="6" t="n">
        <v>5</v>
      </c>
      <c r="H30" s="6" t="n">
        <v>3</v>
      </c>
      <c r="I30" s="6" t="n">
        <v>4</v>
      </c>
      <c r="J30" s="6" t="n">
        <v>4</v>
      </c>
      <c r="K30" s="51"/>
      <c r="L30" s="51"/>
      <c r="M30" s="51"/>
      <c r="N30" s="51"/>
      <c r="O30" s="51"/>
      <c r="P30" s="51"/>
      <c r="Q30" s="51"/>
      <c r="R30" s="51"/>
      <c r="S30" s="51"/>
      <c r="T30" s="51"/>
      <c r="U30" s="51"/>
      <c r="V30" s="51"/>
      <c r="W30" s="51"/>
      <c r="X30" s="51"/>
      <c r="Y30" s="51"/>
      <c r="Z30" s="51"/>
      <c r="AA30" s="51"/>
      <c r="AB30" s="51"/>
    </row>
    <row r="31" customFormat="false" ht="15.75" hidden="false" customHeight="false" outlineLevel="0" collapsed="false">
      <c r="A31" s="51"/>
      <c r="B31" s="51"/>
      <c r="C31" s="6"/>
      <c r="D31" s="49"/>
      <c r="E31" s="53"/>
      <c r="F31" s="6"/>
      <c r="G31" s="6"/>
      <c r="H31" s="6"/>
      <c r="I31" s="6"/>
      <c r="J31" s="6"/>
      <c r="K31" s="51"/>
      <c r="L31" s="51"/>
      <c r="M31" s="51"/>
      <c r="N31" s="51"/>
      <c r="O31" s="51"/>
      <c r="P31" s="51"/>
      <c r="Q31" s="51"/>
      <c r="R31" s="51"/>
      <c r="S31" s="51"/>
      <c r="T31" s="51"/>
      <c r="U31" s="51"/>
      <c r="V31" s="51"/>
      <c r="W31" s="51"/>
      <c r="X31" s="51"/>
      <c r="Y31" s="51"/>
      <c r="Z31" s="51"/>
      <c r="AA31" s="51"/>
      <c r="AB31" s="51"/>
    </row>
    <row r="32" customFormat="false" ht="225" hidden="false" customHeight="true" outlineLevel="0" collapsed="false">
      <c r="A32" s="54" t="s">
        <v>55</v>
      </c>
      <c r="B32" s="55" t="s">
        <v>56</v>
      </c>
      <c r="C32" s="56" t="s">
        <v>18</v>
      </c>
      <c r="D32" s="57" t="s">
        <v>135</v>
      </c>
      <c r="E32" s="68" t="n">
        <f aca="false">IFERROR(__xludf.dummyfunction("COUNTA(SPLIT(D32,"" ""))/COUNTA(SPLIT($B$32,"" ""))"),0.72962962962963)</f>
        <v>0.7296296296</v>
      </c>
      <c r="F32" s="56" t="n">
        <v>3</v>
      </c>
      <c r="G32" s="56" t="n">
        <v>2</v>
      </c>
      <c r="H32" s="56" t="n">
        <v>2</v>
      </c>
      <c r="I32" s="56" t="n">
        <v>2</v>
      </c>
      <c r="J32" s="56" t="n">
        <v>3</v>
      </c>
      <c r="K32" s="59"/>
      <c r="L32" s="59"/>
      <c r="M32" s="59"/>
      <c r="N32" s="59"/>
      <c r="O32" s="59"/>
      <c r="P32" s="59"/>
      <c r="Q32" s="59"/>
      <c r="R32" s="59"/>
      <c r="S32" s="59"/>
      <c r="T32" s="59"/>
      <c r="U32" s="59"/>
      <c r="V32" s="59"/>
      <c r="W32" s="59"/>
      <c r="X32" s="59"/>
      <c r="Y32" s="59"/>
      <c r="Z32" s="59"/>
      <c r="AA32" s="59"/>
      <c r="AB32" s="59"/>
    </row>
    <row r="33" customFormat="false" ht="225" hidden="false" customHeight="true" outlineLevel="0" collapsed="false">
      <c r="A33" s="54"/>
      <c r="B33" s="54"/>
      <c r="C33" s="6" t="s">
        <v>19</v>
      </c>
      <c r="D33" s="105" t="s">
        <v>136</v>
      </c>
      <c r="E33" s="97" t="n">
        <f aca="false">IFERROR(__xludf.dummyfunction("COUNTA(SPLIT(D33,"" ""))/COUNTA(SPLIT($B$32,"" ""))"),0.803703703703704)</f>
        <v>0.8037037037</v>
      </c>
      <c r="F33" s="6" t="n">
        <v>3</v>
      </c>
      <c r="G33" s="6" t="n">
        <v>5</v>
      </c>
      <c r="H33" s="6" t="n">
        <v>2</v>
      </c>
      <c r="I33" s="6" t="n">
        <v>2</v>
      </c>
      <c r="J33" s="6" t="n">
        <v>5</v>
      </c>
      <c r="K33" s="51"/>
      <c r="L33" s="51"/>
      <c r="M33" s="51"/>
      <c r="N33" s="51"/>
      <c r="O33" s="51"/>
      <c r="P33" s="51"/>
      <c r="Q33" s="51"/>
      <c r="R33" s="51"/>
      <c r="S33" s="51"/>
      <c r="T33" s="51"/>
      <c r="U33" s="51"/>
      <c r="V33" s="51"/>
      <c r="W33" s="51"/>
      <c r="X33" s="51"/>
      <c r="Y33" s="51"/>
      <c r="Z33" s="51"/>
      <c r="AA33" s="51"/>
      <c r="AB33" s="51"/>
    </row>
    <row r="34" customFormat="false" ht="225" hidden="false" customHeight="true" outlineLevel="0" collapsed="false">
      <c r="A34" s="54"/>
      <c r="B34" s="54"/>
      <c r="C34" s="6" t="s">
        <v>8</v>
      </c>
      <c r="D34" s="49" t="s">
        <v>137</v>
      </c>
      <c r="E34" s="98" t="n">
        <f aca="false">IFERROR(__xludf.dummyfunction("COUNTA(SPLIT(D34,"" ""))/COUNTA(SPLIT($B$32,"" ""))"),0.485185185185185)</f>
        <v>0.4851851852</v>
      </c>
      <c r="F34" s="6" t="n">
        <v>1</v>
      </c>
      <c r="G34" s="6" t="n">
        <v>2</v>
      </c>
      <c r="H34" s="6" t="n">
        <v>2</v>
      </c>
      <c r="I34" s="6" t="n">
        <v>3</v>
      </c>
      <c r="J34" s="6" t="n">
        <v>4</v>
      </c>
      <c r="K34" s="51"/>
      <c r="L34" s="51"/>
      <c r="M34" s="51"/>
      <c r="N34" s="51"/>
      <c r="O34" s="51"/>
      <c r="P34" s="51"/>
      <c r="Q34" s="51"/>
      <c r="R34" s="51"/>
      <c r="S34" s="51"/>
      <c r="T34" s="51"/>
      <c r="U34" s="51"/>
      <c r="V34" s="51"/>
      <c r="W34" s="51"/>
      <c r="X34" s="51"/>
      <c r="Y34" s="51"/>
      <c r="Z34" s="51"/>
      <c r="AA34" s="51"/>
      <c r="AB34" s="51"/>
    </row>
    <row r="35" customFormat="false" ht="225" hidden="false" customHeight="true" outlineLevel="0" collapsed="false">
      <c r="A35" s="54"/>
      <c r="B35" s="54"/>
      <c r="C35" s="6" t="s">
        <v>20</v>
      </c>
      <c r="D35" s="49" t="s">
        <v>138</v>
      </c>
      <c r="E35" s="64" t="n">
        <f aca="false">IFERROR(__xludf.dummyfunction("COUNTA(SPLIT(D35,"" ""))/COUNTA(SPLIT($B$32,"" ""))"),1.30740740740741)</f>
        <v>1.307407407</v>
      </c>
      <c r="F35" s="6" t="n">
        <v>4</v>
      </c>
      <c r="G35" s="6" t="n">
        <v>1</v>
      </c>
      <c r="H35" s="6" t="n">
        <v>1</v>
      </c>
      <c r="I35" s="6" t="n">
        <v>1</v>
      </c>
      <c r="J35" s="6" t="n">
        <v>1</v>
      </c>
      <c r="K35" s="51"/>
      <c r="L35" s="51"/>
      <c r="M35" s="51"/>
      <c r="N35" s="51"/>
      <c r="O35" s="51"/>
      <c r="P35" s="51"/>
      <c r="Q35" s="51"/>
      <c r="R35" s="51"/>
      <c r="S35" s="51"/>
      <c r="T35" s="51"/>
      <c r="U35" s="51"/>
      <c r="V35" s="51"/>
      <c r="W35" s="51"/>
      <c r="X35" s="51"/>
      <c r="Y35" s="51"/>
      <c r="Z35" s="51"/>
      <c r="AA35" s="51"/>
      <c r="AB35" s="51"/>
    </row>
    <row r="36" customFormat="false" ht="15.75" hidden="false" customHeight="false" outlineLevel="0" collapsed="false">
      <c r="A36" s="51"/>
      <c r="B36" s="51"/>
      <c r="C36" s="6"/>
      <c r="D36" s="49"/>
      <c r="E36" s="53"/>
      <c r="F36" s="6"/>
      <c r="G36" s="6"/>
      <c r="H36" s="6"/>
      <c r="I36" s="6"/>
      <c r="J36" s="6"/>
      <c r="K36" s="51"/>
      <c r="L36" s="51"/>
      <c r="M36" s="51"/>
      <c r="N36" s="51"/>
      <c r="O36" s="51"/>
      <c r="P36" s="51"/>
      <c r="Q36" s="51"/>
      <c r="R36" s="51"/>
      <c r="S36" s="51"/>
      <c r="T36" s="51"/>
      <c r="U36" s="51"/>
      <c r="V36" s="51"/>
      <c r="W36" s="51"/>
      <c r="X36" s="51"/>
      <c r="Y36" s="51"/>
      <c r="Z36" s="51"/>
      <c r="AA36" s="51"/>
      <c r="AB36" s="51"/>
    </row>
    <row r="37" customFormat="false" ht="225" hidden="false" customHeight="true" outlineLevel="0" collapsed="false">
      <c r="A37" s="99" t="s">
        <v>59</v>
      </c>
      <c r="B37" s="55" t="s">
        <v>60</v>
      </c>
      <c r="C37" s="56" t="s">
        <v>18</v>
      </c>
      <c r="D37" s="57" t="s">
        <v>139</v>
      </c>
      <c r="E37" s="78" t="n">
        <f aca="false">IFERROR(__xludf.dummyfunction("COUNTA(SPLIT(D37,"" ""))/COUNTA(SPLIT($B$37,"" ""))"),0.389150943396226)</f>
        <v>0.3891509434</v>
      </c>
      <c r="F37" s="56" t="n">
        <v>3</v>
      </c>
      <c r="G37" s="56" t="n">
        <v>4</v>
      </c>
      <c r="H37" s="56" t="n">
        <v>2</v>
      </c>
      <c r="I37" s="56" t="n">
        <v>4</v>
      </c>
      <c r="J37" s="56" t="n">
        <v>3</v>
      </c>
      <c r="K37" s="59"/>
      <c r="L37" s="59"/>
      <c r="M37" s="59"/>
      <c r="N37" s="59"/>
      <c r="O37" s="59"/>
      <c r="P37" s="59"/>
      <c r="Q37" s="59"/>
      <c r="R37" s="59"/>
      <c r="S37" s="59"/>
      <c r="T37" s="59"/>
      <c r="U37" s="59"/>
      <c r="V37" s="59"/>
      <c r="W37" s="59"/>
      <c r="X37" s="59"/>
      <c r="Y37" s="59"/>
      <c r="Z37" s="59"/>
      <c r="AA37" s="59"/>
      <c r="AB37" s="59"/>
    </row>
    <row r="38" customFormat="false" ht="225" hidden="false" customHeight="true" outlineLevel="0" collapsed="false">
      <c r="A38" s="99"/>
      <c r="B38" s="99"/>
      <c r="C38" s="6" t="s">
        <v>19</v>
      </c>
      <c r="D38" s="49" t="s">
        <v>140</v>
      </c>
      <c r="E38" s="100" t="n">
        <f aca="false">IFERROR(__xludf.dummyfunction("COUNTA(SPLIT(D38,"" ""))/COUNTA(SPLIT($B$37,"" ""))"),0.349056603773585)</f>
        <v>0.3490566038</v>
      </c>
      <c r="F38" s="6" t="n">
        <v>1</v>
      </c>
      <c r="G38" s="6" t="n">
        <v>5</v>
      </c>
      <c r="H38" s="6" t="n">
        <v>4</v>
      </c>
      <c r="I38" s="6" t="n">
        <v>2</v>
      </c>
      <c r="J38" s="6" t="n">
        <v>2</v>
      </c>
      <c r="K38" s="51"/>
      <c r="L38" s="51"/>
      <c r="M38" s="51"/>
      <c r="N38" s="51"/>
      <c r="O38" s="51"/>
      <c r="P38" s="51"/>
      <c r="Q38" s="51"/>
      <c r="R38" s="51"/>
      <c r="S38" s="51"/>
      <c r="T38" s="51"/>
      <c r="U38" s="51"/>
      <c r="V38" s="51"/>
      <c r="W38" s="51"/>
      <c r="X38" s="51"/>
      <c r="Y38" s="51"/>
      <c r="Z38" s="51"/>
      <c r="AA38" s="51"/>
      <c r="AB38" s="51"/>
    </row>
    <row r="39" customFormat="false" ht="225" hidden="false" customHeight="true" outlineLevel="0" collapsed="false">
      <c r="A39" s="99"/>
      <c r="B39" s="99"/>
      <c r="C39" s="6" t="s">
        <v>8</v>
      </c>
      <c r="D39" s="49" t="s">
        <v>141</v>
      </c>
      <c r="E39" s="86" t="n">
        <f aca="false">IFERROR(__xludf.dummyfunction("COUNTA(SPLIT(D39,"" ""))/COUNTA(SPLIT($B$37,"" ""))"),0.257075471698113)</f>
        <v>0.2570754717</v>
      </c>
      <c r="F39" s="6" t="n">
        <v>2</v>
      </c>
      <c r="G39" s="6" t="n">
        <v>5</v>
      </c>
      <c r="H39" s="6" t="n">
        <v>3</v>
      </c>
      <c r="I39" s="6" t="n">
        <v>3</v>
      </c>
      <c r="J39" s="6" t="n">
        <v>3</v>
      </c>
      <c r="K39" s="51"/>
      <c r="L39" s="51"/>
      <c r="M39" s="51"/>
      <c r="N39" s="51"/>
      <c r="O39" s="51"/>
      <c r="P39" s="51"/>
      <c r="Q39" s="51"/>
      <c r="R39" s="51"/>
      <c r="S39" s="51"/>
      <c r="T39" s="51"/>
      <c r="U39" s="51"/>
      <c r="V39" s="51"/>
      <c r="W39" s="51"/>
      <c r="X39" s="51"/>
      <c r="Y39" s="51"/>
      <c r="Z39" s="51"/>
      <c r="AA39" s="51"/>
      <c r="AB39" s="51"/>
    </row>
    <row r="40" customFormat="false" ht="225" hidden="false" customHeight="true" outlineLevel="0" collapsed="false">
      <c r="A40" s="99"/>
      <c r="B40" s="99"/>
      <c r="C40" s="6" t="s">
        <v>20</v>
      </c>
      <c r="D40" s="49" t="s">
        <v>142</v>
      </c>
      <c r="E40" s="80" t="n">
        <f aca="false">IFERROR(__xludf.dummyfunction("COUNTA(SPLIT(D40,"" ""))/COUNTA(SPLIT($B$37,"" ""))"),0.523584905660377)</f>
        <v>0.5235849057</v>
      </c>
      <c r="F40" s="6" t="n">
        <v>3</v>
      </c>
      <c r="G40" s="6" t="n">
        <v>3</v>
      </c>
      <c r="H40" s="6" t="n">
        <v>2</v>
      </c>
      <c r="I40" s="6" t="n">
        <v>3</v>
      </c>
      <c r="J40" s="6" t="n">
        <v>4</v>
      </c>
      <c r="K40" s="51"/>
      <c r="L40" s="51"/>
      <c r="M40" s="51"/>
      <c r="N40" s="51"/>
      <c r="O40" s="51"/>
      <c r="P40" s="51"/>
      <c r="Q40" s="51"/>
      <c r="R40" s="51"/>
      <c r="S40" s="51"/>
      <c r="T40" s="51"/>
      <c r="U40" s="51"/>
      <c r="V40" s="51"/>
      <c r="W40" s="51"/>
      <c r="X40" s="51"/>
      <c r="Y40" s="51"/>
      <c r="Z40" s="51"/>
      <c r="AA40" s="51"/>
      <c r="AB40" s="51"/>
    </row>
    <row r="41" customFormat="false" ht="15.75" hidden="false" customHeight="false" outlineLevel="0" collapsed="false">
      <c r="A41" s="51"/>
      <c r="B41" s="51"/>
      <c r="C41" s="6"/>
      <c r="D41" s="49"/>
      <c r="E41" s="53"/>
      <c r="F41" s="6"/>
      <c r="G41" s="6"/>
      <c r="H41" s="6"/>
      <c r="I41" s="6"/>
      <c r="J41" s="6"/>
      <c r="K41" s="51"/>
      <c r="L41" s="51"/>
      <c r="M41" s="51"/>
      <c r="N41" s="51"/>
      <c r="O41" s="51"/>
      <c r="P41" s="51"/>
      <c r="Q41" s="51"/>
      <c r="R41" s="51"/>
      <c r="S41" s="51"/>
      <c r="T41" s="51"/>
      <c r="U41" s="51"/>
      <c r="V41" s="51"/>
      <c r="W41" s="51"/>
      <c r="X41" s="51"/>
      <c r="Y41" s="51"/>
      <c r="Z41" s="51"/>
      <c r="AA41" s="51"/>
      <c r="AB41" s="51"/>
    </row>
    <row r="42" customFormat="false" ht="225" hidden="false" customHeight="true" outlineLevel="0" collapsed="false">
      <c r="A42" s="54" t="s">
        <v>63</v>
      </c>
      <c r="B42" s="55" t="s">
        <v>64</v>
      </c>
      <c r="C42" s="56" t="s">
        <v>18</v>
      </c>
      <c r="D42" s="57" t="s">
        <v>143</v>
      </c>
      <c r="E42" s="78" t="n">
        <f aca="false">IFERROR(__xludf.dummyfunction("COUNTA(SPLIT(D42,"" ""))/COUNTA(SPLIT($B$42,"" ""))"),0.392733564013841)</f>
        <v>0.392733564</v>
      </c>
      <c r="F42" s="56" t="n">
        <v>2</v>
      </c>
      <c r="G42" s="56" t="n">
        <v>4</v>
      </c>
      <c r="H42" s="56" t="n">
        <v>3</v>
      </c>
      <c r="I42" s="56" t="n">
        <v>3</v>
      </c>
      <c r="J42" s="56" t="n">
        <v>5</v>
      </c>
      <c r="K42" s="59"/>
      <c r="L42" s="59"/>
      <c r="M42" s="59"/>
      <c r="N42" s="59"/>
      <c r="O42" s="59"/>
      <c r="P42" s="59"/>
      <c r="Q42" s="59"/>
      <c r="R42" s="59"/>
      <c r="S42" s="59"/>
      <c r="T42" s="59"/>
      <c r="U42" s="59"/>
      <c r="V42" s="59"/>
      <c r="W42" s="59"/>
      <c r="X42" s="59"/>
      <c r="Y42" s="59"/>
      <c r="Z42" s="59"/>
      <c r="AA42" s="59"/>
      <c r="AB42" s="59"/>
    </row>
    <row r="43" customFormat="false" ht="225" hidden="false" customHeight="true" outlineLevel="0" collapsed="false">
      <c r="A43" s="54"/>
      <c r="B43" s="54"/>
      <c r="C43" s="6" t="s">
        <v>19</v>
      </c>
      <c r="D43" s="49" t="s">
        <v>144</v>
      </c>
      <c r="E43" s="78" t="n">
        <f aca="false">IFERROR(__xludf.dummyfunction("COUNTA(SPLIT(D43,"" ""))/COUNTA(SPLIT($B$42,"" ""))"),0.129757785467128)</f>
        <v>0.1297577855</v>
      </c>
      <c r="F43" s="6" t="n">
        <v>4</v>
      </c>
      <c r="G43" s="6" t="n">
        <v>4</v>
      </c>
      <c r="H43" s="6" t="n">
        <v>2</v>
      </c>
      <c r="I43" s="6" t="n">
        <v>4</v>
      </c>
      <c r="J43" s="6" t="n">
        <v>2</v>
      </c>
      <c r="K43" s="51"/>
      <c r="L43" s="51"/>
      <c r="M43" s="51"/>
      <c r="N43" s="51"/>
      <c r="O43" s="51"/>
      <c r="P43" s="51"/>
      <c r="Q43" s="51"/>
      <c r="R43" s="51"/>
      <c r="S43" s="51"/>
      <c r="T43" s="51"/>
      <c r="U43" s="51"/>
      <c r="V43" s="51"/>
      <c r="W43" s="51"/>
      <c r="X43" s="51"/>
      <c r="Y43" s="51"/>
      <c r="Z43" s="51"/>
      <c r="AA43" s="51"/>
      <c r="AB43" s="51"/>
    </row>
    <row r="44" customFormat="false" ht="225" hidden="false" customHeight="true" outlineLevel="0" collapsed="false">
      <c r="A44" s="54"/>
      <c r="B44" s="54"/>
      <c r="C44" s="6" t="s">
        <v>8</v>
      </c>
      <c r="D44" s="49" t="s">
        <v>145</v>
      </c>
      <c r="E44" s="101" t="n">
        <f aca="false">IFERROR(__xludf.dummyfunction("COUNTA(SPLIT(D44,"" ""))/COUNTA(SPLIT($B$42,"" ""))"),0.176470588235294)</f>
        <v>0.1764705882</v>
      </c>
      <c r="F44" s="6" t="n">
        <v>2</v>
      </c>
      <c r="G44" s="6" t="n">
        <v>4</v>
      </c>
      <c r="H44" s="6" t="n">
        <v>3</v>
      </c>
      <c r="I44" s="6" t="n">
        <v>4</v>
      </c>
      <c r="J44" s="6" t="n">
        <v>3</v>
      </c>
      <c r="K44" s="51"/>
      <c r="L44" s="51"/>
      <c r="M44" s="51"/>
      <c r="N44" s="51"/>
      <c r="O44" s="51"/>
      <c r="P44" s="51"/>
      <c r="Q44" s="51"/>
      <c r="R44" s="51"/>
      <c r="S44" s="51"/>
      <c r="T44" s="51"/>
      <c r="U44" s="51"/>
      <c r="V44" s="51"/>
      <c r="W44" s="51"/>
      <c r="X44" s="51"/>
      <c r="Y44" s="51"/>
      <c r="Z44" s="51"/>
      <c r="AA44" s="51"/>
      <c r="AB44" s="51"/>
    </row>
    <row r="45" customFormat="false" ht="225" hidden="false" customHeight="true" outlineLevel="0" collapsed="false">
      <c r="A45" s="54"/>
      <c r="B45" s="54"/>
      <c r="C45" s="6" t="s">
        <v>20</v>
      </c>
      <c r="D45" s="49" t="s">
        <v>146</v>
      </c>
      <c r="E45" s="96" t="n">
        <f aca="false">IFERROR(__xludf.dummyfunction("COUNTA(SPLIT(D45,"" ""))/COUNTA(SPLIT($B$42,"" ""))"),0.899653979238754)</f>
        <v>0.8996539792</v>
      </c>
      <c r="F45" s="6" t="n">
        <v>5</v>
      </c>
      <c r="G45" s="6" t="n">
        <v>3</v>
      </c>
      <c r="H45" s="6" t="n">
        <v>1</v>
      </c>
      <c r="I45" s="6" t="n">
        <v>1</v>
      </c>
      <c r="J45" s="6" t="n">
        <v>5</v>
      </c>
      <c r="K45" s="51"/>
      <c r="L45" s="51"/>
      <c r="M45" s="51"/>
      <c r="N45" s="51"/>
      <c r="O45" s="51"/>
      <c r="P45" s="51"/>
      <c r="Q45" s="51"/>
      <c r="R45" s="51"/>
      <c r="S45" s="51"/>
      <c r="T45" s="51"/>
      <c r="U45" s="51"/>
      <c r="V45" s="51"/>
      <c r="W45" s="51"/>
      <c r="X45" s="51"/>
      <c r="Y45" s="51"/>
      <c r="Z45" s="51"/>
      <c r="AA45" s="51"/>
      <c r="AB45" s="51"/>
    </row>
    <row r="46" customFormat="false" ht="15.75" hidden="false" customHeight="false" outlineLevel="0" collapsed="false">
      <c r="A46" s="51"/>
      <c r="B46" s="51"/>
      <c r="C46" s="6"/>
      <c r="D46" s="49"/>
      <c r="E46" s="53"/>
      <c r="F46" s="6"/>
      <c r="G46" s="6"/>
      <c r="H46" s="6"/>
      <c r="I46" s="6"/>
      <c r="J46" s="6"/>
      <c r="K46" s="51"/>
      <c r="L46" s="51"/>
      <c r="M46" s="51"/>
      <c r="N46" s="51"/>
      <c r="O46" s="51"/>
      <c r="P46" s="51"/>
      <c r="Q46" s="51"/>
      <c r="R46" s="51"/>
      <c r="S46" s="51"/>
      <c r="T46" s="51"/>
      <c r="U46" s="51"/>
      <c r="V46" s="51"/>
      <c r="W46" s="51"/>
      <c r="X46" s="51"/>
      <c r="Y46" s="51"/>
      <c r="Z46" s="51"/>
      <c r="AA46" s="51"/>
      <c r="AB46" s="51"/>
    </row>
    <row r="47" customFormat="false" ht="225" hidden="false" customHeight="true" outlineLevel="0" collapsed="false">
      <c r="A47" s="54" t="s">
        <v>67</v>
      </c>
      <c r="B47" s="55" t="s">
        <v>68</v>
      </c>
      <c r="C47" s="56" t="s">
        <v>18</v>
      </c>
      <c r="D47" s="57" t="s">
        <v>147</v>
      </c>
      <c r="E47" s="102" t="n">
        <f aca="false">IFERROR(__xludf.dummyfunction("COUNTA(SPLIT(D47,"" ""))/COUNTA(SPLIT($B$47,"" ""))"),0.785714285714286)</f>
        <v>0.7857142857</v>
      </c>
      <c r="F47" s="56" t="n">
        <v>3</v>
      </c>
      <c r="G47" s="56" t="n">
        <v>4</v>
      </c>
      <c r="H47" s="56" t="n">
        <v>3</v>
      </c>
      <c r="I47" s="56" t="n">
        <v>3</v>
      </c>
      <c r="J47" s="56" t="n">
        <v>5</v>
      </c>
      <c r="K47" s="59"/>
      <c r="L47" s="59"/>
      <c r="M47" s="59"/>
      <c r="N47" s="59"/>
      <c r="O47" s="59"/>
      <c r="P47" s="59"/>
      <c r="Q47" s="59"/>
      <c r="R47" s="59"/>
      <c r="S47" s="59"/>
      <c r="T47" s="59"/>
      <c r="U47" s="59"/>
      <c r="V47" s="59"/>
      <c r="W47" s="59"/>
      <c r="X47" s="59"/>
      <c r="Y47" s="59"/>
      <c r="Z47" s="59"/>
      <c r="AA47" s="59"/>
      <c r="AB47" s="59"/>
    </row>
    <row r="48" customFormat="false" ht="225" hidden="false" customHeight="true" outlineLevel="0" collapsed="false">
      <c r="A48" s="54"/>
      <c r="B48" s="54"/>
      <c r="C48" s="6" t="s">
        <v>19</v>
      </c>
      <c r="D48" s="77" t="s">
        <v>148</v>
      </c>
      <c r="E48" s="73" t="n">
        <f aca="false">IFERROR(__xludf.dummyfunction("COUNTA(SPLIT(D48,"" ""))/COUNTA(SPLIT($B$47,"" ""))"),0.642857142857143)</f>
        <v>0.6428571429</v>
      </c>
      <c r="F48" s="6" t="n">
        <v>2</v>
      </c>
      <c r="G48" s="6" t="n">
        <v>5</v>
      </c>
      <c r="H48" s="6" t="n">
        <v>3</v>
      </c>
      <c r="I48" s="6" t="n">
        <v>2</v>
      </c>
      <c r="J48" s="6" t="n">
        <v>2</v>
      </c>
      <c r="K48" s="51"/>
      <c r="L48" s="51"/>
      <c r="M48" s="51"/>
      <c r="N48" s="51"/>
      <c r="O48" s="51"/>
      <c r="P48" s="51"/>
      <c r="Q48" s="51"/>
      <c r="R48" s="51"/>
      <c r="S48" s="51"/>
      <c r="T48" s="51"/>
      <c r="U48" s="51"/>
      <c r="V48" s="51"/>
      <c r="W48" s="51"/>
      <c r="X48" s="51"/>
      <c r="Y48" s="51"/>
      <c r="Z48" s="51"/>
      <c r="AA48" s="51"/>
      <c r="AB48" s="51"/>
    </row>
    <row r="49" customFormat="false" ht="225" hidden="false" customHeight="true" outlineLevel="0" collapsed="false">
      <c r="A49" s="54"/>
      <c r="B49" s="54"/>
      <c r="C49" s="6" t="s">
        <v>8</v>
      </c>
      <c r="D49" s="49" t="s">
        <v>149</v>
      </c>
      <c r="E49" s="74" t="n">
        <f aca="false">IFERROR(__xludf.dummyfunction("COUNTA(SPLIT(D49,"" ""))/COUNTA(SPLIT($B$47,"" ""))"),0.8)</f>
        <v>0.8</v>
      </c>
      <c r="F49" s="6" t="n">
        <v>2</v>
      </c>
      <c r="G49" s="6" t="n">
        <v>4</v>
      </c>
      <c r="H49" s="6" t="n">
        <v>3</v>
      </c>
      <c r="I49" s="6" t="n">
        <v>3</v>
      </c>
      <c r="J49" s="6" t="n">
        <v>5</v>
      </c>
      <c r="K49" s="51"/>
      <c r="L49" s="51"/>
      <c r="M49" s="51"/>
      <c r="N49" s="51"/>
      <c r="O49" s="51"/>
      <c r="P49" s="51"/>
      <c r="Q49" s="51"/>
      <c r="R49" s="51"/>
      <c r="S49" s="51"/>
      <c r="T49" s="51"/>
      <c r="U49" s="51"/>
      <c r="V49" s="51"/>
      <c r="W49" s="51"/>
      <c r="X49" s="51"/>
      <c r="Y49" s="51"/>
      <c r="Z49" s="51"/>
      <c r="AA49" s="51"/>
      <c r="AB49" s="51"/>
    </row>
    <row r="50" customFormat="false" ht="225" hidden="false" customHeight="true" outlineLevel="0" collapsed="false">
      <c r="A50" s="54"/>
      <c r="B50" s="54"/>
      <c r="C50" s="6" t="s">
        <v>20</v>
      </c>
      <c r="D50" s="49" t="s">
        <v>150</v>
      </c>
      <c r="E50" s="75" t="n">
        <f aca="false">IFERROR(__xludf.dummyfunction("COUNTA(SPLIT(D50,"" ""))/COUNTA(SPLIT($B$47,"" ""))"),0.261904761904762)</f>
        <v>0.2619047619</v>
      </c>
      <c r="F50" s="6" t="n">
        <v>2</v>
      </c>
      <c r="G50" s="6" t="n">
        <v>4</v>
      </c>
      <c r="H50" s="6" t="n">
        <v>3</v>
      </c>
      <c r="I50" s="6" t="n">
        <v>4</v>
      </c>
      <c r="J50" s="6" t="n">
        <v>3</v>
      </c>
      <c r="K50" s="51"/>
      <c r="L50" s="51"/>
      <c r="M50" s="51"/>
      <c r="N50" s="51"/>
      <c r="O50" s="51"/>
      <c r="P50" s="51"/>
      <c r="Q50" s="51"/>
      <c r="R50" s="51"/>
      <c r="S50" s="51"/>
      <c r="T50" s="51"/>
      <c r="U50" s="51"/>
      <c r="V50" s="51"/>
      <c r="W50" s="51"/>
      <c r="X50" s="51"/>
      <c r="Y50" s="51"/>
      <c r="Z50" s="51"/>
      <c r="AA50" s="51"/>
      <c r="AB50" s="51"/>
    </row>
    <row r="51" customFormat="false" ht="15.75" hidden="false" customHeight="false" outlineLevel="0" collapsed="false">
      <c r="A51" s="51"/>
      <c r="B51" s="51"/>
      <c r="C51" s="6"/>
      <c r="D51" s="49"/>
      <c r="E51" s="51"/>
      <c r="F51" s="6"/>
      <c r="G51" s="6"/>
      <c r="H51" s="6"/>
      <c r="I51" s="6"/>
      <c r="J51" s="6"/>
      <c r="K51" s="51"/>
      <c r="L51" s="51"/>
      <c r="M51" s="51"/>
      <c r="N51" s="51"/>
      <c r="O51" s="51"/>
      <c r="P51" s="51"/>
      <c r="Q51" s="51"/>
      <c r="R51" s="51"/>
      <c r="S51" s="51"/>
      <c r="T51" s="51"/>
      <c r="U51" s="51"/>
      <c r="V51" s="51"/>
      <c r="W51" s="51"/>
      <c r="X51" s="51"/>
      <c r="Y51" s="51"/>
      <c r="Z51" s="51"/>
      <c r="AA51" s="51"/>
      <c r="AB51" s="51"/>
    </row>
    <row r="52" customFormat="false" ht="15.75" hidden="false" customHeight="false" outlineLevel="0" collapsed="false">
      <c r="A52" s="71"/>
      <c r="B52" s="55"/>
      <c r="C52" s="56" t="s">
        <v>18</v>
      </c>
      <c r="D52" s="57"/>
      <c r="E52" s="72" t="n">
        <f aca="false">IFERROR(__xludf.dummyfunction("COUNTA(SPLIT(D52,"" ""))/COUNTA(SPLIT($B$47,"" ""))"),0.00476190476190476)</f>
        <v>0.004761904762</v>
      </c>
      <c r="F52" s="56"/>
      <c r="G52" s="56"/>
      <c r="H52" s="56"/>
      <c r="I52" s="56"/>
      <c r="J52" s="56"/>
      <c r="K52" s="59"/>
      <c r="L52" s="59"/>
      <c r="M52" s="59"/>
      <c r="N52" s="59"/>
      <c r="O52" s="59"/>
      <c r="P52" s="59"/>
      <c r="Q52" s="59"/>
      <c r="R52" s="59"/>
      <c r="S52" s="59"/>
      <c r="T52" s="59"/>
      <c r="U52" s="59"/>
      <c r="V52" s="59"/>
      <c r="W52" s="59"/>
      <c r="X52" s="59"/>
      <c r="Y52" s="59"/>
      <c r="Z52" s="59"/>
      <c r="AA52" s="59"/>
      <c r="AB52" s="59"/>
    </row>
    <row r="53" customFormat="false" ht="15.75" hidden="false" customHeight="false" outlineLevel="0" collapsed="false">
      <c r="A53" s="71"/>
      <c r="B53" s="71"/>
      <c r="C53" s="6" t="s">
        <v>19</v>
      </c>
      <c r="D53" s="49"/>
      <c r="E53" s="73" t="n">
        <f aca="false">IFERROR(__xludf.dummyfunction("COUNTA(SPLIT(D53,"" ""))/COUNTA(SPLIT($B$47,"" ""))"),0.00476190476190476)</f>
        <v>0.004761904762</v>
      </c>
      <c r="F53" s="6"/>
      <c r="G53" s="6"/>
      <c r="H53" s="6"/>
      <c r="I53" s="6"/>
      <c r="J53" s="6"/>
      <c r="K53" s="51"/>
      <c r="L53" s="51"/>
      <c r="M53" s="51"/>
      <c r="N53" s="51"/>
      <c r="O53" s="51"/>
      <c r="P53" s="51"/>
      <c r="Q53" s="51"/>
      <c r="R53" s="51"/>
      <c r="S53" s="51"/>
      <c r="T53" s="51"/>
      <c r="U53" s="51"/>
      <c r="V53" s="51"/>
      <c r="W53" s="51"/>
      <c r="X53" s="51"/>
      <c r="Y53" s="51"/>
      <c r="Z53" s="51"/>
      <c r="AA53" s="51"/>
      <c r="AB53" s="51"/>
    </row>
    <row r="54" customFormat="false" ht="15.75" hidden="false" customHeight="false" outlineLevel="0" collapsed="false">
      <c r="A54" s="71"/>
      <c r="B54" s="71"/>
      <c r="C54" s="6" t="s">
        <v>8</v>
      </c>
      <c r="D54" s="49"/>
      <c r="E54" s="74" t="n">
        <f aca="false">IFERROR(__xludf.dummyfunction("COUNTA(SPLIT(D54,"" ""))/COUNTA(SPLIT($B$47,"" ""))"),0.00476190476190476)</f>
        <v>0.004761904762</v>
      </c>
      <c r="F54" s="6"/>
      <c r="G54" s="6"/>
      <c r="H54" s="6"/>
      <c r="I54" s="6"/>
      <c r="J54" s="6"/>
      <c r="K54" s="51"/>
      <c r="L54" s="51"/>
      <c r="M54" s="51"/>
      <c r="N54" s="51"/>
      <c r="O54" s="51"/>
      <c r="P54" s="51"/>
      <c r="Q54" s="51"/>
      <c r="R54" s="51"/>
      <c r="S54" s="51"/>
      <c r="T54" s="51"/>
      <c r="U54" s="51"/>
      <c r="V54" s="51"/>
      <c r="W54" s="51"/>
      <c r="X54" s="51"/>
      <c r="Y54" s="51"/>
      <c r="Z54" s="51"/>
      <c r="AA54" s="51"/>
      <c r="AB54" s="51"/>
    </row>
    <row r="55" customFormat="false" ht="15.75" hidden="false" customHeight="false" outlineLevel="0" collapsed="false">
      <c r="A55" s="71"/>
      <c r="B55" s="71"/>
      <c r="C55" s="6" t="s">
        <v>20</v>
      </c>
      <c r="D55" s="49"/>
      <c r="E55" s="75" t="n">
        <f aca="false">IFERROR(__xludf.dummyfunction("COUNTA(SPLIT(D55,"" ""))/COUNTA(SPLIT($B$47,"" ""))"),0.00476190476190476)</f>
        <v>0.004761904762</v>
      </c>
      <c r="F55" s="6"/>
      <c r="G55" s="6"/>
      <c r="H55" s="6"/>
      <c r="I55" s="6"/>
      <c r="J55" s="6"/>
      <c r="K55" s="51"/>
      <c r="L55" s="51"/>
      <c r="M55" s="51"/>
      <c r="N55" s="51"/>
      <c r="O55" s="51"/>
      <c r="P55" s="51"/>
      <c r="Q55" s="51"/>
      <c r="R55" s="51"/>
      <c r="S55" s="51"/>
      <c r="T55" s="51"/>
      <c r="U55" s="51"/>
      <c r="V55" s="51"/>
      <c r="W55" s="51"/>
      <c r="X55" s="51"/>
      <c r="Y55" s="51"/>
      <c r="Z55" s="51"/>
      <c r="AA55" s="51"/>
      <c r="AB55" s="51"/>
    </row>
    <row r="56" customFormat="false" ht="15.75" hidden="false" customHeight="false" outlineLevel="0" collapsed="false">
      <c r="A56" s="51"/>
      <c r="B56" s="51"/>
      <c r="C56" s="6"/>
      <c r="D56" s="49"/>
      <c r="E56" s="51"/>
      <c r="F56" s="6"/>
      <c r="G56" s="6"/>
      <c r="H56" s="6"/>
      <c r="I56" s="6"/>
      <c r="J56" s="6"/>
      <c r="K56" s="51"/>
      <c r="L56" s="51"/>
      <c r="M56" s="51"/>
      <c r="N56" s="51"/>
      <c r="O56" s="51"/>
      <c r="P56" s="51"/>
      <c r="Q56" s="51"/>
      <c r="R56" s="51"/>
      <c r="S56" s="51"/>
      <c r="T56" s="51"/>
      <c r="U56" s="51"/>
      <c r="V56" s="51"/>
      <c r="W56" s="51"/>
      <c r="X56" s="51"/>
      <c r="Y56" s="51"/>
      <c r="Z56" s="51"/>
      <c r="AA56" s="51"/>
      <c r="AB56" s="51"/>
    </row>
    <row r="57" customFormat="false" ht="15.75" hidden="false" customHeight="false" outlineLevel="0" collapsed="false">
      <c r="A57" s="71"/>
      <c r="B57" s="55"/>
      <c r="C57" s="56" t="s">
        <v>18</v>
      </c>
      <c r="D57" s="57"/>
      <c r="E57" s="72" t="n">
        <f aca="false">IFERROR(__xludf.dummyfunction("COUNTA(SPLIT(D57,"" ""))/COUNTA(SPLIT($B$47,"" ""))"),0.00476190476190476)</f>
        <v>0.004761904762</v>
      </c>
      <c r="F57" s="56"/>
      <c r="G57" s="56"/>
      <c r="H57" s="56"/>
      <c r="I57" s="56"/>
      <c r="J57" s="56"/>
      <c r="K57" s="59"/>
      <c r="L57" s="59"/>
      <c r="M57" s="59"/>
      <c r="N57" s="59"/>
      <c r="O57" s="59"/>
      <c r="P57" s="59"/>
      <c r="Q57" s="59"/>
      <c r="R57" s="59"/>
      <c r="S57" s="59"/>
      <c r="T57" s="59"/>
      <c r="U57" s="59"/>
      <c r="V57" s="59"/>
      <c r="W57" s="59"/>
      <c r="X57" s="59"/>
      <c r="Y57" s="59"/>
      <c r="Z57" s="59"/>
      <c r="AA57" s="59"/>
      <c r="AB57" s="59"/>
    </row>
    <row r="58" customFormat="false" ht="15.75" hidden="false" customHeight="false" outlineLevel="0" collapsed="false">
      <c r="A58" s="71"/>
      <c r="B58" s="71"/>
      <c r="C58" s="6" t="s">
        <v>19</v>
      </c>
      <c r="D58" s="49"/>
      <c r="E58" s="73" t="n">
        <f aca="false">IFERROR(__xludf.dummyfunction("COUNTA(SPLIT(D58,"" ""))/COUNTA(SPLIT($B$47,"" ""))"),0.00476190476190476)</f>
        <v>0.004761904762</v>
      </c>
      <c r="F58" s="6"/>
      <c r="G58" s="6"/>
      <c r="H58" s="6"/>
      <c r="I58" s="6"/>
      <c r="J58" s="6"/>
      <c r="K58" s="51"/>
      <c r="L58" s="51"/>
      <c r="M58" s="51"/>
      <c r="N58" s="51"/>
      <c r="O58" s="51"/>
      <c r="P58" s="51"/>
      <c r="Q58" s="51"/>
      <c r="R58" s="51"/>
      <c r="S58" s="51"/>
      <c r="T58" s="51"/>
      <c r="U58" s="51"/>
      <c r="V58" s="51"/>
      <c r="W58" s="51"/>
      <c r="X58" s="51"/>
      <c r="Y58" s="51"/>
      <c r="Z58" s="51"/>
      <c r="AA58" s="51"/>
      <c r="AB58" s="51"/>
    </row>
    <row r="59" customFormat="false" ht="15.75" hidden="false" customHeight="false" outlineLevel="0" collapsed="false">
      <c r="A59" s="71"/>
      <c r="B59" s="71"/>
      <c r="C59" s="6" t="s">
        <v>8</v>
      </c>
      <c r="D59" s="49"/>
      <c r="E59" s="74" t="n">
        <f aca="false">IFERROR(__xludf.dummyfunction("COUNTA(SPLIT(D59,"" ""))/COUNTA(SPLIT($B$47,"" ""))"),0.00476190476190476)</f>
        <v>0.004761904762</v>
      </c>
      <c r="F59" s="6"/>
      <c r="G59" s="6"/>
      <c r="H59" s="6"/>
      <c r="I59" s="6"/>
      <c r="J59" s="6"/>
      <c r="K59" s="51"/>
      <c r="L59" s="51"/>
      <c r="M59" s="51"/>
      <c r="N59" s="51"/>
      <c r="O59" s="51"/>
      <c r="P59" s="51"/>
      <c r="Q59" s="51"/>
      <c r="R59" s="51"/>
      <c r="S59" s="51"/>
      <c r="T59" s="51"/>
      <c r="U59" s="51"/>
      <c r="V59" s="51"/>
      <c r="W59" s="51"/>
      <c r="X59" s="51"/>
      <c r="Y59" s="51"/>
      <c r="Z59" s="51"/>
      <c r="AA59" s="51"/>
      <c r="AB59" s="51"/>
    </row>
    <row r="60" customFormat="false" ht="15.75" hidden="false" customHeight="false" outlineLevel="0" collapsed="false">
      <c r="A60" s="71"/>
      <c r="B60" s="71"/>
      <c r="C60" s="6" t="s">
        <v>20</v>
      </c>
      <c r="D60" s="49"/>
      <c r="E60" s="75" t="n">
        <f aca="false">IFERROR(__xludf.dummyfunction("COUNTA(SPLIT(D60,"" ""))/COUNTA(SPLIT($B$47,"" ""))"),0.00476190476190476)</f>
        <v>0.004761904762</v>
      </c>
      <c r="F60" s="6"/>
      <c r="G60" s="6"/>
      <c r="H60" s="6"/>
      <c r="I60" s="6"/>
      <c r="J60" s="6"/>
      <c r="K60" s="51"/>
      <c r="L60" s="51"/>
      <c r="M60" s="51"/>
      <c r="N60" s="51"/>
      <c r="O60" s="51"/>
      <c r="P60" s="51"/>
      <c r="Q60" s="51"/>
      <c r="R60" s="51"/>
      <c r="S60" s="51"/>
      <c r="T60" s="51"/>
      <c r="U60" s="51"/>
      <c r="V60" s="51"/>
      <c r="W60" s="51"/>
      <c r="X60" s="51"/>
      <c r="Y60" s="51"/>
      <c r="Z60" s="51"/>
      <c r="AA60" s="51"/>
      <c r="AB60" s="51"/>
    </row>
    <row r="61" customFormat="false" ht="15.75" hidden="false" customHeight="false" outlineLevel="0" collapsed="false">
      <c r="A61" s="51"/>
      <c r="B61" s="51"/>
      <c r="C61" s="6"/>
      <c r="D61" s="49"/>
      <c r="E61" s="51"/>
      <c r="F61" s="6"/>
      <c r="G61" s="6"/>
      <c r="H61" s="6"/>
      <c r="I61" s="6"/>
      <c r="J61" s="6"/>
      <c r="K61" s="51"/>
      <c r="L61" s="51"/>
      <c r="M61" s="51"/>
      <c r="N61" s="51"/>
      <c r="O61" s="51"/>
      <c r="P61" s="51"/>
      <c r="Q61" s="51"/>
      <c r="R61" s="51"/>
      <c r="S61" s="51"/>
      <c r="T61" s="51"/>
      <c r="U61" s="51"/>
      <c r="V61" s="51"/>
      <c r="W61" s="51"/>
      <c r="X61" s="51"/>
      <c r="Y61" s="51"/>
      <c r="Z61" s="51"/>
      <c r="AA61" s="51"/>
      <c r="AB61" s="51"/>
    </row>
    <row r="62" customFormat="false" ht="15.75" hidden="false" customHeight="false" outlineLevel="0" collapsed="false">
      <c r="A62" s="71"/>
      <c r="B62" s="55"/>
      <c r="C62" s="56" t="s">
        <v>18</v>
      </c>
      <c r="D62" s="57"/>
      <c r="E62" s="72" t="n">
        <f aca="false">IFERROR(__xludf.dummyfunction("COUNTA(SPLIT(D62,"" ""))/COUNTA(SPLIT($B$47,"" ""))"),0.00476190476190476)</f>
        <v>0.004761904762</v>
      </c>
      <c r="F62" s="56"/>
      <c r="G62" s="56"/>
      <c r="H62" s="56"/>
      <c r="I62" s="56"/>
      <c r="J62" s="56"/>
      <c r="K62" s="59"/>
      <c r="L62" s="59"/>
      <c r="M62" s="59"/>
      <c r="N62" s="59"/>
      <c r="O62" s="59"/>
      <c r="P62" s="59"/>
      <c r="Q62" s="59"/>
      <c r="R62" s="59"/>
      <c r="S62" s="59"/>
      <c r="T62" s="59"/>
      <c r="U62" s="59"/>
      <c r="V62" s="59"/>
      <c r="W62" s="59"/>
      <c r="X62" s="59"/>
      <c r="Y62" s="59"/>
      <c r="Z62" s="59"/>
      <c r="AA62" s="59"/>
      <c r="AB62" s="59"/>
    </row>
    <row r="63" customFormat="false" ht="15.75" hidden="false" customHeight="false" outlineLevel="0" collapsed="false">
      <c r="A63" s="71"/>
      <c r="B63" s="71"/>
      <c r="C63" s="6" t="s">
        <v>19</v>
      </c>
      <c r="D63" s="49"/>
      <c r="E63" s="73" t="n">
        <f aca="false">IFERROR(__xludf.dummyfunction("COUNTA(SPLIT(D63,"" ""))/COUNTA(SPLIT($B$47,"" ""))"),0.00476190476190476)</f>
        <v>0.004761904762</v>
      </c>
      <c r="F63" s="6"/>
      <c r="G63" s="6"/>
      <c r="H63" s="6"/>
      <c r="I63" s="6"/>
      <c r="J63" s="6"/>
      <c r="K63" s="51"/>
      <c r="L63" s="51"/>
      <c r="M63" s="51"/>
      <c r="N63" s="51"/>
      <c r="O63" s="51"/>
      <c r="P63" s="51"/>
      <c r="Q63" s="51"/>
      <c r="R63" s="51"/>
      <c r="S63" s="51"/>
      <c r="T63" s="51"/>
      <c r="U63" s="51"/>
      <c r="V63" s="51"/>
      <c r="W63" s="51"/>
      <c r="X63" s="51"/>
      <c r="Y63" s="51"/>
      <c r="Z63" s="51"/>
      <c r="AA63" s="51"/>
      <c r="AB63" s="51"/>
    </row>
    <row r="64" customFormat="false" ht="15.75" hidden="false" customHeight="false" outlineLevel="0" collapsed="false">
      <c r="A64" s="71"/>
      <c r="B64" s="71"/>
      <c r="C64" s="6" t="s">
        <v>8</v>
      </c>
      <c r="D64" s="49"/>
      <c r="E64" s="74" t="n">
        <f aca="false">IFERROR(__xludf.dummyfunction("COUNTA(SPLIT(D64,"" ""))/COUNTA(SPLIT($B$47,"" ""))"),0.00476190476190476)</f>
        <v>0.004761904762</v>
      </c>
      <c r="F64" s="6"/>
      <c r="G64" s="6"/>
      <c r="H64" s="6"/>
      <c r="I64" s="6"/>
      <c r="J64" s="6"/>
      <c r="K64" s="51"/>
      <c r="L64" s="51"/>
      <c r="M64" s="51"/>
      <c r="N64" s="51"/>
      <c r="O64" s="51"/>
      <c r="P64" s="51"/>
      <c r="Q64" s="51"/>
      <c r="R64" s="51"/>
      <c r="S64" s="51"/>
      <c r="T64" s="51"/>
      <c r="U64" s="51"/>
      <c r="V64" s="51"/>
      <c r="W64" s="51"/>
      <c r="X64" s="51"/>
      <c r="Y64" s="51"/>
      <c r="Z64" s="51"/>
      <c r="AA64" s="51"/>
      <c r="AB64" s="51"/>
    </row>
    <row r="65" customFormat="false" ht="15.75" hidden="false" customHeight="false" outlineLevel="0" collapsed="false">
      <c r="A65" s="71"/>
      <c r="B65" s="71"/>
      <c r="C65" s="6" t="s">
        <v>20</v>
      </c>
      <c r="D65" s="49"/>
      <c r="E65" s="75" t="n">
        <f aca="false">IFERROR(__xludf.dummyfunction("COUNTA(SPLIT(D65,"" ""))/COUNTA(SPLIT($B$47,"" ""))"),0.00476190476190476)</f>
        <v>0.004761904762</v>
      </c>
      <c r="F65" s="6"/>
      <c r="G65" s="6"/>
      <c r="H65" s="6"/>
      <c r="I65" s="6"/>
      <c r="J65" s="6"/>
      <c r="K65" s="51"/>
      <c r="L65" s="51"/>
      <c r="M65" s="51"/>
      <c r="N65" s="51"/>
      <c r="O65" s="51"/>
      <c r="P65" s="51"/>
      <c r="Q65" s="51"/>
      <c r="R65" s="51"/>
      <c r="S65" s="51"/>
      <c r="T65" s="51"/>
      <c r="U65" s="51"/>
      <c r="V65" s="51"/>
      <c r="W65" s="51"/>
      <c r="X65" s="51"/>
      <c r="Y65" s="51"/>
      <c r="Z65" s="51"/>
      <c r="AA65" s="51"/>
      <c r="AB65" s="51"/>
    </row>
    <row r="66" customFormat="false" ht="15.75" hidden="false" customHeight="false" outlineLevel="0" collapsed="false">
      <c r="A66" s="51"/>
      <c r="B66" s="51"/>
      <c r="C66" s="6"/>
      <c r="D66" s="49"/>
      <c r="E66" s="51"/>
      <c r="F66" s="6"/>
      <c r="G66" s="6"/>
      <c r="H66" s="6"/>
      <c r="I66" s="6"/>
      <c r="J66" s="6"/>
      <c r="K66" s="51"/>
      <c r="L66" s="51"/>
      <c r="M66" s="51"/>
      <c r="N66" s="51"/>
      <c r="O66" s="51"/>
      <c r="P66" s="51"/>
      <c r="Q66" s="51"/>
      <c r="R66" s="51"/>
      <c r="S66" s="51"/>
      <c r="T66" s="51"/>
      <c r="U66" s="51"/>
      <c r="V66" s="51"/>
      <c r="W66" s="51"/>
      <c r="X66" s="51"/>
      <c r="Y66" s="51"/>
      <c r="Z66" s="51"/>
      <c r="AA66" s="51"/>
      <c r="AB66" s="51"/>
    </row>
    <row r="67" customFormat="false" ht="15.75" hidden="false" customHeight="false" outlineLevel="0" collapsed="false">
      <c r="A67" s="71"/>
      <c r="B67" s="55"/>
      <c r="C67" s="56" t="s">
        <v>18</v>
      </c>
      <c r="D67" s="57"/>
      <c r="E67" s="72" t="n">
        <f aca="false">IFERROR(__xludf.dummyfunction("COUNTA(SPLIT(D67,"" ""))/COUNTA(SPLIT($B$47,"" ""))"),0.00476190476190476)</f>
        <v>0.004761904762</v>
      </c>
      <c r="F67" s="56"/>
      <c r="G67" s="56"/>
      <c r="H67" s="56"/>
      <c r="I67" s="56"/>
      <c r="J67" s="56"/>
      <c r="K67" s="59"/>
      <c r="L67" s="59"/>
      <c r="M67" s="59"/>
      <c r="N67" s="59"/>
      <c r="O67" s="59"/>
      <c r="P67" s="59"/>
      <c r="Q67" s="59"/>
      <c r="R67" s="59"/>
      <c r="S67" s="59"/>
      <c r="T67" s="59"/>
      <c r="U67" s="59"/>
      <c r="V67" s="59"/>
      <c r="W67" s="59"/>
      <c r="X67" s="59"/>
      <c r="Y67" s="59"/>
      <c r="Z67" s="59"/>
      <c r="AA67" s="59"/>
      <c r="AB67" s="59"/>
    </row>
    <row r="68" customFormat="false" ht="15.75" hidden="false" customHeight="false" outlineLevel="0" collapsed="false">
      <c r="A68" s="71"/>
      <c r="B68" s="71"/>
      <c r="C68" s="6" t="s">
        <v>19</v>
      </c>
      <c r="D68" s="49"/>
      <c r="E68" s="73" t="n">
        <f aca="false">IFERROR(__xludf.dummyfunction("COUNTA(SPLIT(D68,"" ""))/COUNTA(SPLIT($B$47,"" ""))"),0.00476190476190476)</f>
        <v>0.004761904762</v>
      </c>
      <c r="F68" s="6"/>
      <c r="G68" s="6"/>
      <c r="H68" s="6"/>
      <c r="I68" s="6"/>
      <c r="J68" s="6"/>
      <c r="K68" s="51"/>
      <c r="L68" s="51"/>
      <c r="M68" s="51"/>
      <c r="N68" s="51"/>
      <c r="O68" s="51"/>
      <c r="P68" s="51"/>
      <c r="Q68" s="51"/>
      <c r="R68" s="51"/>
      <c r="S68" s="51"/>
      <c r="T68" s="51"/>
      <c r="U68" s="51"/>
      <c r="V68" s="51"/>
      <c r="W68" s="51"/>
      <c r="X68" s="51"/>
      <c r="Y68" s="51"/>
      <c r="Z68" s="51"/>
      <c r="AA68" s="51"/>
      <c r="AB68" s="51"/>
    </row>
    <row r="69" customFormat="false" ht="15.75" hidden="false" customHeight="false" outlineLevel="0" collapsed="false">
      <c r="A69" s="71"/>
      <c r="B69" s="71"/>
      <c r="C69" s="6" t="s">
        <v>8</v>
      </c>
      <c r="D69" s="49"/>
      <c r="E69" s="74" t="n">
        <f aca="false">IFERROR(__xludf.dummyfunction("COUNTA(SPLIT(D69,"" ""))/COUNTA(SPLIT($B$47,"" ""))"),0.00476190476190476)</f>
        <v>0.004761904762</v>
      </c>
      <c r="F69" s="6"/>
      <c r="G69" s="6"/>
      <c r="H69" s="6"/>
      <c r="I69" s="6"/>
      <c r="J69" s="6"/>
      <c r="K69" s="51"/>
      <c r="L69" s="51"/>
      <c r="M69" s="51"/>
      <c r="N69" s="51"/>
      <c r="O69" s="51"/>
      <c r="P69" s="51"/>
      <c r="Q69" s="51"/>
      <c r="R69" s="51"/>
      <c r="S69" s="51"/>
      <c r="T69" s="51"/>
      <c r="U69" s="51"/>
      <c r="V69" s="51"/>
      <c r="W69" s="51"/>
      <c r="X69" s="51"/>
      <c r="Y69" s="51"/>
      <c r="Z69" s="51"/>
      <c r="AA69" s="51"/>
      <c r="AB69" s="51"/>
    </row>
    <row r="70" customFormat="false" ht="15.75" hidden="false" customHeight="false" outlineLevel="0" collapsed="false">
      <c r="A70" s="71"/>
      <c r="B70" s="71"/>
      <c r="C70" s="6" t="s">
        <v>20</v>
      </c>
      <c r="D70" s="49"/>
      <c r="E70" s="75" t="n">
        <f aca="false">IFERROR(__xludf.dummyfunction("COUNTA(SPLIT(D70,"" ""))/COUNTA(SPLIT($B$47,"" ""))"),0.00476190476190476)</f>
        <v>0.004761904762</v>
      </c>
      <c r="F70" s="6"/>
      <c r="G70" s="6"/>
      <c r="H70" s="6"/>
      <c r="I70" s="6"/>
      <c r="J70" s="6"/>
      <c r="K70" s="51"/>
      <c r="L70" s="51"/>
      <c r="M70" s="51"/>
      <c r="N70" s="51"/>
      <c r="O70" s="51"/>
      <c r="P70" s="51"/>
      <c r="Q70" s="51"/>
      <c r="R70" s="51"/>
      <c r="S70" s="51"/>
      <c r="T70" s="51"/>
      <c r="U70" s="51"/>
      <c r="V70" s="51"/>
      <c r="W70" s="51"/>
      <c r="X70" s="51"/>
      <c r="Y70" s="51"/>
      <c r="Z70" s="51"/>
      <c r="AA70" s="51"/>
      <c r="AB70" s="51"/>
    </row>
    <row r="71" customFormat="false" ht="15.75" hidden="false" customHeight="false" outlineLevel="0" collapsed="false">
      <c r="A71" s="51"/>
      <c r="B71" s="51"/>
      <c r="C71" s="6"/>
      <c r="D71" s="49"/>
      <c r="E71" s="51"/>
      <c r="F71" s="6"/>
      <c r="G71" s="6"/>
      <c r="H71" s="6"/>
      <c r="I71" s="6"/>
      <c r="J71" s="6"/>
      <c r="K71" s="51"/>
      <c r="L71" s="51"/>
      <c r="M71" s="51"/>
      <c r="N71" s="51"/>
      <c r="O71" s="51"/>
      <c r="P71" s="51"/>
      <c r="Q71" s="51"/>
      <c r="R71" s="51"/>
      <c r="S71" s="51"/>
      <c r="T71" s="51"/>
      <c r="U71" s="51"/>
      <c r="V71" s="51"/>
      <c r="W71" s="51"/>
      <c r="X71" s="51"/>
      <c r="Y71" s="51"/>
      <c r="Z71" s="51"/>
      <c r="AA71" s="51"/>
      <c r="AB71" s="51"/>
    </row>
    <row r="72" customFormat="false" ht="15.75" hidden="false" customHeight="false" outlineLevel="0" collapsed="false">
      <c r="A72" s="71"/>
      <c r="B72" s="55"/>
      <c r="C72" s="56" t="s">
        <v>18</v>
      </c>
      <c r="D72" s="57"/>
      <c r="E72" s="72" t="n">
        <f aca="false">IFERROR(__xludf.dummyfunction("COUNTA(SPLIT(D72,"" ""))/COUNTA(SPLIT($B$47,"" ""))"),0.00476190476190476)</f>
        <v>0.004761904762</v>
      </c>
      <c r="F72" s="56"/>
      <c r="G72" s="56"/>
      <c r="H72" s="56"/>
      <c r="I72" s="56"/>
      <c r="J72" s="56"/>
      <c r="K72" s="59"/>
      <c r="L72" s="59"/>
      <c r="M72" s="59"/>
      <c r="N72" s="59"/>
      <c r="O72" s="59"/>
      <c r="P72" s="59"/>
      <c r="Q72" s="59"/>
      <c r="R72" s="59"/>
      <c r="S72" s="59"/>
      <c r="T72" s="59"/>
      <c r="U72" s="59"/>
      <c r="V72" s="59"/>
      <c r="W72" s="59"/>
      <c r="X72" s="59"/>
      <c r="Y72" s="59"/>
      <c r="Z72" s="59"/>
      <c r="AA72" s="59"/>
      <c r="AB72" s="59"/>
    </row>
    <row r="73" customFormat="false" ht="15.75" hidden="false" customHeight="false" outlineLevel="0" collapsed="false">
      <c r="A73" s="71"/>
      <c r="B73" s="71"/>
      <c r="C73" s="6" t="s">
        <v>19</v>
      </c>
      <c r="D73" s="49"/>
      <c r="E73" s="73" t="n">
        <f aca="false">IFERROR(__xludf.dummyfunction("COUNTA(SPLIT(D73,"" ""))/COUNTA(SPLIT($B$47,"" ""))"),0.00476190476190476)</f>
        <v>0.004761904762</v>
      </c>
      <c r="F73" s="6"/>
      <c r="G73" s="6"/>
      <c r="H73" s="6"/>
      <c r="I73" s="6"/>
      <c r="J73" s="6"/>
      <c r="K73" s="51"/>
      <c r="L73" s="51"/>
      <c r="M73" s="51"/>
      <c r="N73" s="51"/>
      <c r="O73" s="51"/>
      <c r="P73" s="51"/>
      <c r="Q73" s="51"/>
      <c r="R73" s="51"/>
      <c r="S73" s="51"/>
      <c r="T73" s="51"/>
      <c r="U73" s="51"/>
      <c r="V73" s="51"/>
      <c r="W73" s="51"/>
      <c r="X73" s="51"/>
      <c r="Y73" s="51"/>
      <c r="Z73" s="51"/>
      <c r="AA73" s="51"/>
      <c r="AB73" s="51"/>
    </row>
    <row r="74" customFormat="false" ht="15.75" hidden="false" customHeight="false" outlineLevel="0" collapsed="false">
      <c r="A74" s="71"/>
      <c r="B74" s="71"/>
      <c r="C74" s="6" t="s">
        <v>8</v>
      </c>
      <c r="D74" s="49"/>
      <c r="E74" s="74" t="n">
        <f aca="false">IFERROR(__xludf.dummyfunction("COUNTA(SPLIT(D74,"" ""))/COUNTA(SPLIT($B$47,"" ""))"),0.00476190476190476)</f>
        <v>0.004761904762</v>
      </c>
      <c r="F74" s="6"/>
      <c r="G74" s="6"/>
      <c r="H74" s="6"/>
      <c r="I74" s="6"/>
      <c r="J74" s="6"/>
      <c r="K74" s="51"/>
      <c r="L74" s="51"/>
      <c r="M74" s="51"/>
      <c r="N74" s="51"/>
      <c r="O74" s="51"/>
      <c r="P74" s="51"/>
      <c r="Q74" s="51"/>
      <c r="R74" s="51"/>
      <c r="S74" s="51"/>
      <c r="T74" s="51"/>
      <c r="U74" s="51"/>
      <c r="V74" s="51"/>
      <c r="W74" s="51"/>
      <c r="X74" s="51"/>
      <c r="Y74" s="51"/>
      <c r="Z74" s="51"/>
      <c r="AA74" s="51"/>
      <c r="AB74" s="51"/>
    </row>
    <row r="75" customFormat="false" ht="15.75" hidden="false" customHeight="false" outlineLevel="0" collapsed="false">
      <c r="A75" s="71"/>
      <c r="B75" s="71"/>
      <c r="C75" s="6" t="s">
        <v>20</v>
      </c>
      <c r="D75" s="49"/>
      <c r="E75" s="75" t="n">
        <f aca="false">IFERROR(__xludf.dummyfunction("COUNTA(SPLIT(D75,"" ""))/COUNTA(SPLIT($B$47,"" ""))"),0.00476190476190476)</f>
        <v>0.004761904762</v>
      </c>
      <c r="F75" s="6"/>
      <c r="G75" s="6"/>
      <c r="H75" s="6"/>
      <c r="I75" s="6"/>
      <c r="J75" s="6"/>
      <c r="K75" s="51"/>
      <c r="L75" s="51"/>
      <c r="M75" s="51"/>
      <c r="N75" s="51"/>
      <c r="O75" s="51"/>
      <c r="P75" s="51"/>
      <c r="Q75" s="51"/>
      <c r="R75" s="51"/>
      <c r="S75" s="51"/>
      <c r="T75" s="51"/>
      <c r="U75" s="51"/>
      <c r="V75" s="51"/>
      <c r="W75" s="51"/>
      <c r="X75" s="51"/>
      <c r="Y75" s="51"/>
      <c r="Z75" s="51"/>
      <c r="AA75" s="51"/>
      <c r="AB75" s="51"/>
    </row>
    <row r="76" customFormat="false" ht="15.75" hidden="false" customHeight="false" outlineLevel="0" collapsed="false">
      <c r="A76" s="51"/>
      <c r="B76" s="51"/>
      <c r="C76" s="6"/>
      <c r="D76" s="49"/>
      <c r="E76" s="51"/>
      <c r="F76" s="6"/>
      <c r="G76" s="6"/>
      <c r="H76" s="6"/>
      <c r="I76" s="6"/>
      <c r="J76" s="6"/>
      <c r="K76" s="51"/>
      <c r="L76" s="51"/>
      <c r="M76" s="51"/>
      <c r="N76" s="51"/>
      <c r="O76" s="51"/>
      <c r="P76" s="51"/>
      <c r="Q76" s="51"/>
      <c r="R76" s="51"/>
      <c r="S76" s="51"/>
      <c r="T76" s="51"/>
      <c r="U76" s="51"/>
      <c r="V76" s="51"/>
      <c r="W76" s="51"/>
      <c r="X76" s="51"/>
      <c r="Y76" s="51"/>
      <c r="Z76" s="51"/>
      <c r="AA76" s="51"/>
      <c r="AB76" s="51"/>
    </row>
    <row r="77" customFormat="false" ht="15.75" hidden="false" customHeight="false" outlineLevel="0" collapsed="false">
      <c r="A77" s="71"/>
      <c r="B77" s="55"/>
      <c r="C77" s="56" t="s">
        <v>18</v>
      </c>
      <c r="D77" s="57"/>
      <c r="E77" s="72" t="n">
        <f aca="false">IFERROR(__xludf.dummyfunction("COUNTA(SPLIT(D77,"" ""))/COUNTA(SPLIT($B$47,"" ""))"),0.00476190476190476)</f>
        <v>0.004761904762</v>
      </c>
      <c r="F77" s="56"/>
      <c r="G77" s="56"/>
      <c r="H77" s="56"/>
      <c r="I77" s="56"/>
      <c r="J77" s="56"/>
      <c r="K77" s="59"/>
      <c r="L77" s="59"/>
      <c r="M77" s="59"/>
      <c r="N77" s="59"/>
      <c r="O77" s="59"/>
      <c r="P77" s="59"/>
      <c r="Q77" s="59"/>
      <c r="R77" s="59"/>
      <c r="S77" s="59"/>
      <c r="T77" s="59"/>
      <c r="U77" s="59"/>
      <c r="V77" s="59"/>
      <c r="W77" s="59"/>
      <c r="X77" s="59"/>
      <c r="Y77" s="59"/>
      <c r="Z77" s="59"/>
      <c r="AA77" s="59"/>
      <c r="AB77" s="59"/>
    </row>
    <row r="78" customFormat="false" ht="15.75" hidden="false" customHeight="false" outlineLevel="0" collapsed="false">
      <c r="A78" s="71"/>
      <c r="B78" s="71"/>
      <c r="C78" s="6" t="s">
        <v>19</v>
      </c>
      <c r="D78" s="49"/>
      <c r="E78" s="73" t="n">
        <f aca="false">IFERROR(__xludf.dummyfunction("COUNTA(SPLIT(D78,"" ""))/COUNTA(SPLIT($B$47,"" ""))"),0.00476190476190476)</f>
        <v>0.004761904762</v>
      </c>
      <c r="F78" s="6"/>
      <c r="G78" s="6"/>
      <c r="H78" s="6"/>
      <c r="I78" s="6"/>
      <c r="J78" s="6"/>
      <c r="K78" s="51"/>
      <c r="L78" s="51"/>
      <c r="M78" s="51"/>
      <c r="N78" s="51"/>
      <c r="O78" s="51"/>
      <c r="P78" s="51"/>
      <c r="Q78" s="51"/>
      <c r="R78" s="51"/>
      <c r="S78" s="51"/>
      <c r="T78" s="51"/>
      <c r="U78" s="51"/>
      <c r="V78" s="51"/>
      <c r="W78" s="51"/>
      <c r="X78" s="51"/>
      <c r="Y78" s="51"/>
      <c r="Z78" s="51"/>
      <c r="AA78" s="51"/>
      <c r="AB78" s="51"/>
    </row>
    <row r="79" customFormat="false" ht="15.75" hidden="false" customHeight="false" outlineLevel="0" collapsed="false">
      <c r="A79" s="71"/>
      <c r="B79" s="71"/>
      <c r="C79" s="6" t="s">
        <v>8</v>
      </c>
      <c r="D79" s="49"/>
      <c r="E79" s="74" t="n">
        <f aca="false">IFERROR(__xludf.dummyfunction("COUNTA(SPLIT(D79,"" ""))/COUNTA(SPLIT($B$47,"" ""))"),0.00476190476190476)</f>
        <v>0.004761904762</v>
      </c>
      <c r="F79" s="6"/>
      <c r="G79" s="6"/>
      <c r="H79" s="6"/>
      <c r="I79" s="6"/>
      <c r="J79" s="6"/>
      <c r="K79" s="51"/>
      <c r="L79" s="51"/>
      <c r="M79" s="51"/>
      <c r="N79" s="51"/>
      <c r="O79" s="51"/>
      <c r="P79" s="51"/>
      <c r="Q79" s="51"/>
      <c r="R79" s="51"/>
      <c r="S79" s="51"/>
      <c r="T79" s="51"/>
      <c r="U79" s="51"/>
      <c r="V79" s="51"/>
      <c r="W79" s="51"/>
      <c r="X79" s="51"/>
      <c r="Y79" s="51"/>
      <c r="Z79" s="51"/>
      <c r="AA79" s="51"/>
      <c r="AB79" s="51"/>
    </row>
    <row r="80" customFormat="false" ht="15.75" hidden="false" customHeight="false" outlineLevel="0" collapsed="false">
      <c r="A80" s="71"/>
      <c r="B80" s="71"/>
      <c r="C80" s="6" t="s">
        <v>20</v>
      </c>
      <c r="D80" s="49"/>
      <c r="E80" s="75" t="n">
        <f aca="false">IFERROR(__xludf.dummyfunction("COUNTA(SPLIT(D80,"" ""))/COUNTA(SPLIT($B$47,"" ""))"),0.00476190476190476)</f>
        <v>0.004761904762</v>
      </c>
      <c r="F80" s="6"/>
      <c r="G80" s="6"/>
      <c r="H80" s="6"/>
      <c r="I80" s="6"/>
      <c r="J80" s="6"/>
      <c r="K80" s="51"/>
      <c r="L80" s="51"/>
      <c r="M80" s="51"/>
      <c r="N80" s="51"/>
      <c r="O80" s="51"/>
      <c r="P80" s="51"/>
      <c r="Q80" s="51"/>
      <c r="R80" s="51"/>
      <c r="S80" s="51"/>
      <c r="T80" s="51"/>
      <c r="U80" s="51"/>
      <c r="V80" s="51"/>
      <c r="W80" s="51"/>
      <c r="X80" s="51"/>
      <c r="Y80" s="51"/>
      <c r="Z80" s="51"/>
      <c r="AA80" s="51"/>
      <c r="AB80" s="51"/>
    </row>
    <row r="81" customFormat="false" ht="15.75" hidden="false" customHeight="false" outlineLevel="0" collapsed="false">
      <c r="A81" s="51"/>
      <c r="B81" s="51"/>
      <c r="C81" s="6"/>
      <c r="D81" s="49"/>
      <c r="E81" s="51"/>
      <c r="F81" s="6"/>
      <c r="G81" s="6"/>
      <c r="H81" s="6"/>
      <c r="I81" s="6"/>
      <c r="J81" s="6"/>
      <c r="K81" s="51"/>
      <c r="L81" s="51"/>
      <c r="M81" s="51"/>
      <c r="N81" s="51"/>
      <c r="O81" s="51"/>
      <c r="P81" s="51"/>
      <c r="Q81" s="51"/>
      <c r="R81" s="51"/>
      <c r="S81" s="51"/>
      <c r="T81" s="51"/>
      <c r="U81" s="51"/>
      <c r="V81" s="51"/>
      <c r="W81" s="51"/>
      <c r="X81" s="51"/>
      <c r="Y81" s="51"/>
      <c r="Z81" s="51"/>
      <c r="AA81" s="51"/>
      <c r="AB81" s="51"/>
    </row>
    <row r="82" customFormat="false" ht="15.75" hidden="false" customHeight="false" outlineLevel="0" collapsed="false">
      <c r="A82" s="71"/>
      <c r="B82" s="55"/>
      <c r="C82" s="56" t="s">
        <v>18</v>
      </c>
      <c r="D82" s="57"/>
      <c r="E82" s="72" t="n">
        <f aca="false">IFERROR(__xludf.dummyfunction("COUNTA(SPLIT(D82,"" ""))/COUNTA(SPLIT($B$47,"" ""))"),0.00476190476190476)</f>
        <v>0.004761904762</v>
      </c>
      <c r="F82" s="56"/>
      <c r="G82" s="56"/>
      <c r="H82" s="56"/>
      <c r="I82" s="56"/>
      <c r="J82" s="56"/>
      <c r="K82" s="59"/>
      <c r="L82" s="59"/>
      <c r="M82" s="59"/>
      <c r="N82" s="59"/>
      <c r="O82" s="59"/>
      <c r="P82" s="59"/>
      <c r="Q82" s="59"/>
      <c r="R82" s="59"/>
      <c r="S82" s="59"/>
      <c r="T82" s="59"/>
      <c r="U82" s="59"/>
      <c r="V82" s="59"/>
      <c r="W82" s="59"/>
      <c r="X82" s="59"/>
      <c r="Y82" s="59"/>
      <c r="Z82" s="59"/>
      <c r="AA82" s="59"/>
      <c r="AB82" s="59"/>
    </row>
    <row r="83" customFormat="false" ht="15.75" hidden="false" customHeight="false" outlineLevel="0" collapsed="false">
      <c r="A83" s="71"/>
      <c r="B83" s="71"/>
      <c r="C83" s="6" t="s">
        <v>19</v>
      </c>
      <c r="D83" s="49"/>
      <c r="E83" s="73" t="n">
        <f aca="false">IFERROR(__xludf.dummyfunction("COUNTA(SPLIT(D83,"" ""))/COUNTA(SPLIT($B$47,"" ""))"),0.00476190476190476)</f>
        <v>0.004761904762</v>
      </c>
      <c r="F83" s="6"/>
      <c r="G83" s="6"/>
      <c r="H83" s="6"/>
      <c r="I83" s="6"/>
      <c r="J83" s="6"/>
      <c r="K83" s="51"/>
      <c r="L83" s="51"/>
      <c r="M83" s="51"/>
      <c r="N83" s="51"/>
      <c r="O83" s="51"/>
      <c r="P83" s="51"/>
      <c r="Q83" s="51"/>
      <c r="R83" s="51"/>
      <c r="S83" s="51"/>
      <c r="T83" s="51"/>
      <c r="U83" s="51"/>
      <c r="V83" s="51"/>
      <c r="W83" s="51"/>
      <c r="X83" s="51"/>
      <c r="Y83" s="51"/>
      <c r="Z83" s="51"/>
      <c r="AA83" s="51"/>
      <c r="AB83" s="51"/>
    </row>
    <row r="84" customFormat="false" ht="15.75" hidden="false" customHeight="false" outlineLevel="0" collapsed="false">
      <c r="A84" s="71"/>
      <c r="B84" s="71"/>
      <c r="C84" s="6" t="s">
        <v>8</v>
      </c>
      <c r="D84" s="49"/>
      <c r="E84" s="74" t="n">
        <f aca="false">IFERROR(__xludf.dummyfunction("COUNTA(SPLIT(D84,"" ""))/COUNTA(SPLIT($B$47,"" ""))"),0.00476190476190476)</f>
        <v>0.004761904762</v>
      </c>
      <c r="F84" s="6"/>
      <c r="G84" s="6"/>
      <c r="H84" s="6"/>
      <c r="I84" s="6"/>
      <c r="J84" s="6"/>
      <c r="K84" s="51"/>
      <c r="L84" s="51"/>
      <c r="M84" s="51"/>
      <c r="N84" s="51"/>
      <c r="O84" s="51"/>
      <c r="P84" s="51"/>
      <c r="Q84" s="51"/>
      <c r="R84" s="51"/>
      <c r="S84" s="51"/>
      <c r="T84" s="51"/>
      <c r="U84" s="51"/>
      <c r="V84" s="51"/>
      <c r="W84" s="51"/>
      <c r="X84" s="51"/>
      <c r="Y84" s="51"/>
      <c r="Z84" s="51"/>
      <c r="AA84" s="51"/>
      <c r="AB84" s="51"/>
    </row>
    <row r="85" customFormat="false" ht="15.75" hidden="false" customHeight="false" outlineLevel="0" collapsed="false">
      <c r="A85" s="71"/>
      <c r="B85" s="71"/>
      <c r="C85" s="6" t="s">
        <v>20</v>
      </c>
      <c r="D85" s="49"/>
      <c r="E85" s="75" t="n">
        <f aca="false">IFERROR(__xludf.dummyfunction("COUNTA(SPLIT(D85,"" ""))/COUNTA(SPLIT($B$47,"" ""))"),0.00476190476190476)</f>
        <v>0.004761904762</v>
      </c>
      <c r="F85" s="6"/>
      <c r="G85" s="6"/>
      <c r="H85" s="6"/>
      <c r="I85" s="6"/>
      <c r="J85" s="6"/>
      <c r="K85" s="51"/>
      <c r="L85" s="51"/>
      <c r="M85" s="51"/>
      <c r="N85" s="51"/>
      <c r="O85" s="51"/>
      <c r="P85" s="51"/>
      <c r="Q85" s="51"/>
      <c r="R85" s="51"/>
      <c r="S85" s="51"/>
      <c r="T85" s="51"/>
      <c r="U85" s="51"/>
      <c r="V85" s="51"/>
      <c r="W85" s="51"/>
      <c r="X85" s="51"/>
      <c r="Y85" s="51"/>
      <c r="Z85" s="51"/>
      <c r="AA85" s="51"/>
      <c r="AB85" s="51"/>
    </row>
    <row r="86" customFormat="false" ht="15.75" hidden="false" customHeight="false" outlineLevel="0" collapsed="false">
      <c r="A86" s="51"/>
      <c r="B86" s="51"/>
      <c r="C86" s="6"/>
      <c r="D86" s="49"/>
      <c r="E86" s="51"/>
      <c r="F86" s="6"/>
      <c r="G86" s="6"/>
      <c r="H86" s="6"/>
      <c r="I86" s="6"/>
      <c r="J86" s="6"/>
      <c r="K86" s="51"/>
      <c r="L86" s="51"/>
      <c r="M86" s="51"/>
      <c r="N86" s="51"/>
      <c r="O86" s="51"/>
      <c r="P86" s="51"/>
      <c r="Q86" s="51"/>
      <c r="R86" s="51"/>
      <c r="S86" s="51"/>
      <c r="T86" s="51"/>
      <c r="U86" s="51"/>
      <c r="V86" s="51"/>
      <c r="W86" s="51"/>
      <c r="X86" s="51"/>
      <c r="Y86" s="51"/>
      <c r="Z86" s="51"/>
      <c r="AA86" s="51"/>
      <c r="AB86" s="51"/>
    </row>
    <row r="87" customFormat="false" ht="15.75" hidden="false" customHeight="false" outlineLevel="0" collapsed="false">
      <c r="A87" s="71"/>
      <c r="B87" s="55"/>
      <c r="C87" s="56" t="s">
        <v>18</v>
      </c>
      <c r="D87" s="57"/>
      <c r="E87" s="72" t="n">
        <f aca="false">IFERROR(__xludf.dummyfunction("COUNTA(SPLIT(D87,"" ""))/COUNTA(SPLIT($B$47,"" ""))"),0.00476190476190476)</f>
        <v>0.004761904762</v>
      </c>
      <c r="F87" s="56"/>
      <c r="G87" s="56"/>
      <c r="H87" s="56"/>
      <c r="I87" s="56"/>
      <c r="J87" s="56"/>
      <c r="K87" s="59"/>
      <c r="L87" s="59"/>
      <c r="M87" s="59"/>
      <c r="N87" s="59"/>
      <c r="O87" s="59"/>
      <c r="P87" s="59"/>
      <c r="Q87" s="59"/>
      <c r="R87" s="59"/>
      <c r="S87" s="59"/>
      <c r="T87" s="59"/>
      <c r="U87" s="59"/>
      <c r="V87" s="59"/>
      <c r="W87" s="59"/>
      <c r="X87" s="59"/>
      <c r="Y87" s="59"/>
      <c r="Z87" s="59"/>
      <c r="AA87" s="59"/>
      <c r="AB87" s="59"/>
    </row>
    <row r="88" customFormat="false" ht="15.75" hidden="false" customHeight="false" outlineLevel="0" collapsed="false">
      <c r="A88" s="71"/>
      <c r="B88" s="71"/>
      <c r="C88" s="6" t="s">
        <v>19</v>
      </c>
      <c r="D88" s="49"/>
      <c r="E88" s="73" t="n">
        <f aca="false">IFERROR(__xludf.dummyfunction("COUNTA(SPLIT(D88,"" ""))/COUNTA(SPLIT($B$47,"" ""))"),0.00476190476190476)</f>
        <v>0.004761904762</v>
      </c>
      <c r="F88" s="6"/>
      <c r="G88" s="6"/>
      <c r="H88" s="6"/>
      <c r="I88" s="6"/>
      <c r="J88" s="6"/>
      <c r="K88" s="51"/>
      <c r="L88" s="51"/>
      <c r="M88" s="51"/>
      <c r="N88" s="51"/>
      <c r="O88" s="51"/>
      <c r="P88" s="51"/>
      <c r="Q88" s="51"/>
      <c r="R88" s="51"/>
      <c r="S88" s="51"/>
      <c r="T88" s="51"/>
      <c r="U88" s="51"/>
      <c r="V88" s="51"/>
      <c r="W88" s="51"/>
      <c r="X88" s="51"/>
      <c r="Y88" s="51"/>
      <c r="Z88" s="51"/>
      <c r="AA88" s="51"/>
      <c r="AB88" s="51"/>
    </row>
    <row r="89" customFormat="false" ht="15.75" hidden="false" customHeight="false" outlineLevel="0" collapsed="false">
      <c r="A89" s="71"/>
      <c r="B89" s="71"/>
      <c r="C89" s="6" t="s">
        <v>8</v>
      </c>
      <c r="D89" s="49"/>
      <c r="E89" s="74" t="n">
        <f aca="false">IFERROR(__xludf.dummyfunction("COUNTA(SPLIT(D89,"" ""))/COUNTA(SPLIT($B$47,"" ""))"),0.00476190476190476)</f>
        <v>0.004761904762</v>
      </c>
      <c r="F89" s="6"/>
      <c r="G89" s="6"/>
      <c r="H89" s="6"/>
      <c r="I89" s="6"/>
      <c r="J89" s="6"/>
      <c r="K89" s="51"/>
      <c r="L89" s="51"/>
      <c r="M89" s="51"/>
      <c r="N89" s="51"/>
      <c r="O89" s="51"/>
      <c r="P89" s="51"/>
      <c r="Q89" s="51"/>
      <c r="R89" s="51"/>
      <c r="S89" s="51"/>
      <c r="T89" s="51"/>
      <c r="U89" s="51"/>
      <c r="V89" s="51"/>
      <c r="W89" s="51"/>
      <c r="X89" s="51"/>
      <c r="Y89" s="51"/>
      <c r="Z89" s="51"/>
      <c r="AA89" s="51"/>
      <c r="AB89" s="51"/>
    </row>
    <row r="90" customFormat="false" ht="15.75" hidden="false" customHeight="false" outlineLevel="0" collapsed="false">
      <c r="A90" s="71"/>
      <c r="B90" s="71"/>
      <c r="C90" s="6" t="s">
        <v>20</v>
      </c>
      <c r="D90" s="49"/>
      <c r="E90" s="75" t="n">
        <f aca="false">IFERROR(__xludf.dummyfunction("COUNTA(SPLIT(D90,"" ""))/COUNTA(SPLIT($B$47,"" ""))"),0.00476190476190476)</f>
        <v>0.004761904762</v>
      </c>
      <c r="F90" s="6"/>
      <c r="G90" s="6"/>
      <c r="H90" s="6"/>
      <c r="I90" s="6"/>
      <c r="J90" s="6"/>
      <c r="K90" s="51"/>
      <c r="L90" s="51"/>
      <c r="M90" s="51"/>
      <c r="N90" s="51"/>
      <c r="O90" s="51"/>
      <c r="P90" s="51"/>
      <c r="Q90" s="51"/>
      <c r="R90" s="51"/>
      <c r="S90" s="51"/>
      <c r="T90" s="51"/>
      <c r="U90" s="51"/>
      <c r="V90" s="51"/>
      <c r="W90" s="51"/>
      <c r="X90" s="51"/>
      <c r="Y90" s="51"/>
      <c r="Z90" s="51"/>
      <c r="AA90" s="51"/>
      <c r="AB90" s="51"/>
    </row>
    <row r="91" customFormat="false" ht="15.75" hidden="false" customHeight="false" outlineLevel="0" collapsed="false">
      <c r="A91" s="51"/>
      <c r="B91" s="51"/>
      <c r="C91" s="6"/>
      <c r="D91" s="49"/>
      <c r="E91" s="51"/>
      <c r="F91" s="6"/>
      <c r="G91" s="6"/>
      <c r="H91" s="6"/>
      <c r="I91" s="6"/>
      <c r="J91" s="6"/>
      <c r="K91" s="51"/>
      <c r="L91" s="51"/>
      <c r="M91" s="51"/>
      <c r="N91" s="51"/>
      <c r="O91" s="51"/>
      <c r="P91" s="51"/>
      <c r="Q91" s="51"/>
      <c r="R91" s="51"/>
      <c r="S91" s="51"/>
      <c r="T91" s="51"/>
      <c r="U91" s="51"/>
      <c r="V91" s="51"/>
      <c r="W91" s="51"/>
      <c r="X91" s="51"/>
      <c r="Y91" s="51"/>
      <c r="Z91" s="51"/>
      <c r="AA91" s="51"/>
      <c r="AB91" s="51"/>
    </row>
    <row r="92" customFormat="false" ht="15.75" hidden="false" customHeight="false" outlineLevel="0" collapsed="false">
      <c r="A92" s="71"/>
      <c r="B92" s="55"/>
      <c r="C92" s="56" t="s">
        <v>18</v>
      </c>
      <c r="D92" s="57"/>
      <c r="E92" s="72" t="n">
        <f aca="false">IFERROR(__xludf.dummyfunction("COUNTA(SPLIT(D92,"" ""))/COUNTA(SPLIT($B$47,"" ""))"),0.00476190476190476)</f>
        <v>0.004761904762</v>
      </c>
      <c r="F92" s="56"/>
      <c r="G92" s="56"/>
      <c r="H92" s="56"/>
      <c r="I92" s="56"/>
      <c r="J92" s="56"/>
      <c r="K92" s="59"/>
      <c r="L92" s="59"/>
      <c r="M92" s="59"/>
      <c r="N92" s="59"/>
      <c r="O92" s="59"/>
      <c r="P92" s="59"/>
      <c r="Q92" s="59"/>
      <c r="R92" s="59"/>
      <c r="S92" s="59"/>
      <c r="T92" s="59"/>
      <c r="U92" s="59"/>
      <c r="V92" s="59"/>
      <c r="W92" s="59"/>
      <c r="X92" s="59"/>
      <c r="Y92" s="59"/>
      <c r="Z92" s="59"/>
      <c r="AA92" s="59"/>
      <c r="AB92" s="59"/>
    </row>
    <row r="93" customFormat="false" ht="15.75" hidden="false" customHeight="false" outlineLevel="0" collapsed="false">
      <c r="A93" s="71"/>
      <c r="B93" s="71"/>
      <c r="C93" s="6" t="s">
        <v>19</v>
      </c>
      <c r="D93" s="49"/>
      <c r="E93" s="73" t="n">
        <f aca="false">IFERROR(__xludf.dummyfunction("COUNTA(SPLIT(D93,"" ""))/COUNTA(SPLIT($B$47,"" ""))"),0.00476190476190476)</f>
        <v>0.004761904762</v>
      </c>
      <c r="F93" s="6"/>
      <c r="G93" s="6"/>
      <c r="H93" s="6"/>
      <c r="I93" s="6"/>
      <c r="J93" s="6"/>
      <c r="K93" s="51"/>
      <c r="L93" s="51"/>
      <c r="M93" s="51"/>
      <c r="N93" s="51"/>
      <c r="O93" s="51"/>
      <c r="P93" s="51"/>
      <c r="Q93" s="51"/>
      <c r="R93" s="51"/>
      <c r="S93" s="51"/>
      <c r="T93" s="51"/>
      <c r="U93" s="51"/>
      <c r="V93" s="51"/>
      <c r="W93" s="51"/>
      <c r="X93" s="51"/>
      <c r="Y93" s="51"/>
      <c r="Z93" s="51"/>
      <c r="AA93" s="51"/>
      <c r="AB93" s="51"/>
    </row>
    <row r="94" customFormat="false" ht="15.75" hidden="false" customHeight="false" outlineLevel="0" collapsed="false">
      <c r="A94" s="71"/>
      <c r="B94" s="71"/>
      <c r="C94" s="6" t="s">
        <v>8</v>
      </c>
      <c r="D94" s="49"/>
      <c r="E94" s="74" t="n">
        <f aca="false">IFERROR(__xludf.dummyfunction("COUNTA(SPLIT(D94,"" ""))/COUNTA(SPLIT($B$47,"" ""))"),0.00476190476190476)</f>
        <v>0.004761904762</v>
      </c>
      <c r="F94" s="6"/>
      <c r="G94" s="6"/>
      <c r="H94" s="6"/>
      <c r="I94" s="6"/>
      <c r="J94" s="6"/>
      <c r="K94" s="51"/>
      <c r="L94" s="51"/>
      <c r="M94" s="51"/>
      <c r="N94" s="51"/>
      <c r="O94" s="51"/>
      <c r="P94" s="51"/>
      <c r="Q94" s="51"/>
      <c r="R94" s="51"/>
      <c r="S94" s="51"/>
      <c r="T94" s="51"/>
      <c r="U94" s="51"/>
      <c r="V94" s="51"/>
      <c r="W94" s="51"/>
      <c r="X94" s="51"/>
      <c r="Y94" s="51"/>
      <c r="Z94" s="51"/>
      <c r="AA94" s="51"/>
      <c r="AB94" s="51"/>
    </row>
    <row r="95" customFormat="false" ht="15.75" hidden="false" customHeight="false" outlineLevel="0" collapsed="false">
      <c r="A95" s="71"/>
      <c r="B95" s="71"/>
      <c r="C95" s="6" t="s">
        <v>20</v>
      </c>
      <c r="D95" s="49"/>
      <c r="E95" s="75" t="n">
        <f aca="false">IFERROR(__xludf.dummyfunction("COUNTA(SPLIT(D95,"" ""))/COUNTA(SPLIT($B$47,"" ""))"),0.00476190476190476)</f>
        <v>0.004761904762</v>
      </c>
      <c r="F95" s="6"/>
      <c r="G95" s="6"/>
      <c r="H95" s="6"/>
      <c r="I95" s="6"/>
      <c r="J95" s="6"/>
      <c r="K95" s="51"/>
      <c r="L95" s="51"/>
      <c r="M95" s="51"/>
      <c r="N95" s="51"/>
      <c r="O95" s="51"/>
      <c r="P95" s="51"/>
      <c r="Q95" s="51"/>
      <c r="R95" s="51"/>
      <c r="S95" s="51"/>
      <c r="T95" s="51"/>
      <c r="U95" s="51"/>
      <c r="V95" s="51"/>
      <c r="W95" s="51"/>
      <c r="X95" s="51"/>
      <c r="Y95" s="51"/>
      <c r="Z95" s="51"/>
      <c r="AA95" s="51"/>
      <c r="AB95" s="51"/>
    </row>
    <row r="96" customFormat="false" ht="15.75" hidden="false" customHeight="false" outlineLevel="0" collapsed="false">
      <c r="A96" s="51"/>
      <c r="B96" s="51"/>
      <c r="C96" s="6"/>
      <c r="D96" s="49"/>
      <c r="E96" s="51"/>
      <c r="F96" s="6"/>
      <c r="G96" s="6"/>
      <c r="H96" s="6"/>
      <c r="I96" s="6"/>
      <c r="J96" s="6"/>
      <c r="K96" s="51"/>
      <c r="L96" s="51"/>
      <c r="M96" s="51"/>
      <c r="N96" s="51"/>
      <c r="O96" s="51"/>
      <c r="P96" s="51"/>
      <c r="Q96" s="51"/>
      <c r="R96" s="51"/>
      <c r="S96" s="51"/>
      <c r="T96" s="51"/>
      <c r="U96" s="51"/>
      <c r="V96" s="51"/>
      <c r="W96" s="51"/>
      <c r="X96" s="51"/>
      <c r="Y96" s="51"/>
      <c r="Z96" s="51"/>
      <c r="AA96" s="51"/>
      <c r="AB96" s="51"/>
    </row>
    <row r="97" customFormat="false" ht="15.75" hidden="false" customHeight="false" outlineLevel="0" collapsed="false">
      <c r="A97" s="71"/>
      <c r="B97" s="55"/>
      <c r="C97" s="56" t="s">
        <v>18</v>
      </c>
      <c r="D97" s="57"/>
      <c r="E97" s="72" t="n">
        <f aca="false">IFERROR(__xludf.dummyfunction("COUNTA(SPLIT(D97,"" ""))/COUNTA(SPLIT($B$47,"" ""))"),0.00476190476190476)</f>
        <v>0.004761904762</v>
      </c>
      <c r="F97" s="56"/>
      <c r="G97" s="56"/>
      <c r="H97" s="56"/>
      <c r="I97" s="56"/>
      <c r="J97" s="56"/>
      <c r="K97" s="59"/>
      <c r="L97" s="59"/>
      <c r="M97" s="59"/>
      <c r="N97" s="59"/>
      <c r="O97" s="59"/>
      <c r="P97" s="59"/>
      <c r="Q97" s="59"/>
      <c r="R97" s="59"/>
      <c r="S97" s="59"/>
      <c r="T97" s="59"/>
      <c r="U97" s="59"/>
      <c r="V97" s="59"/>
      <c r="W97" s="59"/>
      <c r="X97" s="59"/>
      <c r="Y97" s="59"/>
      <c r="Z97" s="59"/>
      <c r="AA97" s="59"/>
      <c r="AB97" s="59"/>
    </row>
    <row r="98" customFormat="false" ht="15.75" hidden="false" customHeight="false" outlineLevel="0" collapsed="false">
      <c r="A98" s="71"/>
      <c r="B98" s="71"/>
      <c r="C98" s="6" t="s">
        <v>19</v>
      </c>
      <c r="D98" s="49"/>
      <c r="E98" s="73" t="n">
        <f aca="false">IFERROR(__xludf.dummyfunction("COUNTA(SPLIT(D98,"" ""))/COUNTA(SPLIT($B$47,"" ""))"),0.00476190476190476)</f>
        <v>0.004761904762</v>
      </c>
      <c r="F98" s="6"/>
      <c r="G98" s="6"/>
      <c r="H98" s="6"/>
      <c r="I98" s="6"/>
      <c r="J98" s="6"/>
      <c r="K98" s="5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71"/>
      <c r="B99" s="71"/>
      <c r="C99" s="6" t="s">
        <v>8</v>
      </c>
      <c r="D99" s="49"/>
      <c r="E99" s="74" t="n">
        <f aca="false">IFERROR(__xludf.dummyfunction("COUNTA(SPLIT(D99,"" ""))/COUNTA(SPLIT($B$47,"" ""))"),0.00476190476190476)</f>
        <v>0.004761904762</v>
      </c>
      <c r="F99" s="6"/>
      <c r="G99" s="6"/>
      <c r="H99" s="6"/>
      <c r="I99" s="6"/>
      <c r="J99" s="6"/>
      <c r="K99" s="51"/>
      <c r="L99" s="51"/>
      <c r="M99" s="51"/>
      <c r="N99" s="51"/>
      <c r="O99" s="51"/>
      <c r="P99" s="51"/>
      <c r="Q99" s="51"/>
      <c r="R99" s="51"/>
      <c r="S99" s="51"/>
      <c r="T99" s="51"/>
      <c r="U99" s="51"/>
      <c r="V99" s="51"/>
      <c r="W99" s="51"/>
      <c r="X99" s="51"/>
      <c r="Y99" s="51"/>
      <c r="Z99" s="51"/>
      <c r="AA99" s="51"/>
      <c r="AB99" s="51"/>
    </row>
    <row r="100" customFormat="false" ht="15.75" hidden="false" customHeight="false" outlineLevel="0" collapsed="false">
      <c r="A100" s="71"/>
      <c r="B100" s="71"/>
      <c r="C100" s="6" t="s">
        <v>20</v>
      </c>
      <c r="D100" s="49"/>
      <c r="E100" s="75" t="n">
        <f aca="false">IFERROR(__xludf.dummyfunction("COUNTA(SPLIT(D100,"" ""))/COUNTA(SPLIT($B$47,"" ""))"),0.00476190476190476)</f>
        <v>0.004761904762</v>
      </c>
      <c r="F100" s="6"/>
      <c r="G100" s="6"/>
      <c r="H100" s="6"/>
      <c r="I100" s="6"/>
      <c r="J100" s="6"/>
      <c r="K100" s="51"/>
      <c r="L100" s="51"/>
      <c r="M100" s="51"/>
      <c r="N100" s="51"/>
      <c r="O100" s="51"/>
      <c r="P100" s="51"/>
      <c r="Q100" s="51"/>
      <c r="R100" s="51"/>
      <c r="S100" s="51"/>
      <c r="T100" s="51"/>
      <c r="U100" s="51"/>
      <c r="V100" s="51"/>
      <c r="W100" s="51"/>
      <c r="X100" s="51"/>
      <c r="Y100" s="51"/>
      <c r="Z100" s="51"/>
      <c r="AA100" s="51"/>
      <c r="AB100" s="51"/>
    </row>
    <row r="101" customFormat="false" ht="15.75" hidden="false" customHeight="false" outlineLevel="0" collapsed="false">
      <c r="A101" s="51"/>
      <c r="B101" s="51"/>
      <c r="C101" s="6"/>
      <c r="D101" s="49"/>
      <c r="E101" s="51"/>
      <c r="F101" s="6"/>
      <c r="G101" s="6"/>
      <c r="H101" s="6"/>
      <c r="I101" s="6"/>
      <c r="J101" s="6"/>
      <c r="K101" s="5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71"/>
      <c r="B102" s="55"/>
      <c r="C102" s="56" t="s">
        <v>18</v>
      </c>
      <c r="D102" s="57"/>
      <c r="E102" s="72" t="n">
        <f aca="false">IFERROR(__xludf.dummyfunction("COUNTA(SPLIT(D102,"" ""))/COUNTA(SPLIT($B$47,"" ""))"),0.00476190476190476)</f>
        <v>0.004761904762</v>
      </c>
      <c r="F102" s="56"/>
      <c r="G102" s="56"/>
      <c r="H102" s="56"/>
      <c r="I102" s="56"/>
      <c r="J102" s="56"/>
      <c r="K102" s="59"/>
      <c r="L102" s="59"/>
      <c r="M102" s="59"/>
      <c r="N102" s="59"/>
      <c r="O102" s="59"/>
      <c r="P102" s="59"/>
      <c r="Q102" s="59"/>
      <c r="R102" s="59"/>
      <c r="S102" s="59"/>
      <c r="T102" s="59"/>
      <c r="U102" s="59"/>
      <c r="V102" s="59"/>
      <c r="W102" s="59"/>
      <c r="X102" s="59"/>
      <c r="Y102" s="59"/>
      <c r="Z102" s="59"/>
      <c r="AA102" s="59"/>
      <c r="AB102" s="59"/>
    </row>
    <row r="103" customFormat="false" ht="15.75" hidden="false" customHeight="false" outlineLevel="0" collapsed="false">
      <c r="A103" s="71"/>
      <c r="B103" s="71"/>
      <c r="C103" s="6" t="s">
        <v>19</v>
      </c>
      <c r="D103" s="49"/>
      <c r="E103" s="73" t="n">
        <f aca="false">IFERROR(__xludf.dummyfunction("COUNTA(SPLIT(D103,"" ""))/COUNTA(SPLIT($B$47,"" ""))"),0.00476190476190476)</f>
        <v>0.004761904762</v>
      </c>
      <c r="F103" s="6"/>
      <c r="G103" s="6"/>
      <c r="H103" s="6"/>
      <c r="I103" s="6"/>
      <c r="J103" s="6"/>
      <c r="K103" s="51"/>
      <c r="L103" s="51"/>
      <c r="M103" s="51"/>
      <c r="N103" s="51"/>
      <c r="O103" s="51"/>
      <c r="P103" s="51"/>
      <c r="Q103" s="51"/>
      <c r="R103" s="51"/>
      <c r="S103" s="51"/>
      <c r="T103" s="51"/>
      <c r="U103" s="51"/>
      <c r="V103" s="51"/>
      <c r="W103" s="51"/>
      <c r="X103" s="51"/>
      <c r="Y103" s="51"/>
      <c r="Z103" s="51"/>
      <c r="AA103" s="51"/>
      <c r="AB103" s="51"/>
    </row>
    <row r="104" customFormat="false" ht="15.75" hidden="false" customHeight="false" outlineLevel="0" collapsed="false">
      <c r="A104" s="71"/>
      <c r="B104" s="71"/>
      <c r="C104" s="6" t="s">
        <v>8</v>
      </c>
      <c r="D104" s="49"/>
      <c r="E104" s="74" t="n">
        <f aca="false">IFERROR(__xludf.dummyfunction("COUNTA(SPLIT(D104,"" ""))/COUNTA(SPLIT($B$47,"" ""))"),0.00476190476190476)</f>
        <v>0.004761904762</v>
      </c>
      <c r="F104" s="6"/>
      <c r="G104" s="6"/>
      <c r="H104" s="6"/>
      <c r="I104" s="6"/>
      <c r="J104" s="6"/>
      <c r="K104" s="51"/>
      <c r="L104" s="51"/>
      <c r="M104" s="51"/>
      <c r="N104" s="51"/>
      <c r="O104" s="51"/>
      <c r="P104" s="51"/>
      <c r="Q104" s="51"/>
      <c r="R104" s="51"/>
      <c r="S104" s="51"/>
      <c r="T104" s="51"/>
      <c r="U104" s="51"/>
      <c r="V104" s="51"/>
      <c r="W104" s="51"/>
      <c r="X104" s="51"/>
      <c r="Y104" s="51"/>
      <c r="Z104" s="51"/>
      <c r="AA104" s="51"/>
      <c r="AB104" s="51"/>
    </row>
    <row r="105" customFormat="false" ht="15.75" hidden="false" customHeight="false" outlineLevel="0" collapsed="false">
      <c r="A105" s="71"/>
      <c r="B105" s="71"/>
      <c r="C105" s="6" t="s">
        <v>20</v>
      </c>
      <c r="D105" s="49"/>
      <c r="E105" s="75" t="n">
        <f aca="false">IFERROR(__xludf.dummyfunction("COUNTA(SPLIT(D105,"" ""))/COUNTA(SPLIT($B$47,"" ""))"),0.00476190476190476)</f>
        <v>0.004761904762</v>
      </c>
      <c r="F105" s="6"/>
      <c r="G105" s="6"/>
      <c r="H105" s="6"/>
      <c r="I105" s="6"/>
      <c r="J105" s="6"/>
      <c r="K105" s="51"/>
      <c r="L105" s="51"/>
      <c r="M105" s="51"/>
      <c r="N105" s="51"/>
      <c r="O105" s="51"/>
      <c r="P105" s="51"/>
      <c r="Q105" s="51"/>
      <c r="R105" s="51"/>
      <c r="S105" s="51"/>
      <c r="T105" s="51"/>
      <c r="U105" s="51"/>
      <c r="V105" s="51"/>
      <c r="W105" s="51"/>
      <c r="X105" s="51"/>
      <c r="Y105" s="51"/>
      <c r="Z105" s="51"/>
      <c r="AA105" s="51"/>
      <c r="AB105" s="51"/>
    </row>
    <row r="106" customFormat="false" ht="15.75" hidden="false" customHeight="false" outlineLevel="0" collapsed="false">
      <c r="A106" s="51"/>
      <c r="B106" s="51"/>
      <c r="C106" s="6"/>
      <c r="D106" s="49"/>
      <c r="E106" s="51"/>
      <c r="F106" s="6"/>
      <c r="G106" s="6"/>
      <c r="H106" s="6"/>
      <c r="I106" s="6"/>
      <c r="J106" s="6"/>
      <c r="K106" s="51"/>
      <c r="L106" s="51"/>
      <c r="M106" s="51"/>
      <c r="N106" s="51"/>
      <c r="O106" s="51"/>
      <c r="P106" s="51"/>
      <c r="Q106" s="51"/>
      <c r="R106" s="51"/>
      <c r="S106" s="51"/>
      <c r="T106" s="51"/>
      <c r="U106" s="51"/>
      <c r="V106" s="51"/>
      <c r="W106" s="51"/>
      <c r="X106" s="51"/>
      <c r="Y106" s="51"/>
      <c r="Z106" s="51"/>
      <c r="AA106" s="51"/>
      <c r="AB106" s="51"/>
    </row>
    <row r="107" customFormat="false" ht="15.75" hidden="false" customHeight="false" outlineLevel="0" collapsed="false">
      <c r="A107" s="71"/>
      <c r="B107" s="55"/>
      <c r="C107" s="56" t="s">
        <v>18</v>
      </c>
      <c r="D107" s="57"/>
      <c r="E107" s="72" t="n">
        <f aca="false">IFERROR(__xludf.dummyfunction("COUNTA(SPLIT(D107,"" ""))/COUNTA(SPLIT($B$47,"" ""))"),0.00476190476190476)</f>
        <v>0.004761904762</v>
      </c>
      <c r="F107" s="56"/>
      <c r="G107" s="56"/>
      <c r="H107" s="56"/>
      <c r="I107" s="56"/>
      <c r="J107" s="56"/>
      <c r="K107" s="59"/>
      <c r="L107" s="59"/>
      <c r="M107" s="59"/>
      <c r="N107" s="59"/>
      <c r="O107" s="59"/>
      <c r="P107" s="59"/>
      <c r="Q107" s="59"/>
      <c r="R107" s="59"/>
      <c r="S107" s="59"/>
      <c r="T107" s="59"/>
      <c r="U107" s="59"/>
      <c r="V107" s="59"/>
      <c r="W107" s="59"/>
      <c r="X107" s="59"/>
      <c r="Y107" s="59"/>
      <c r="Z107" s="59"/>
      <c r="AA107" s="59"/>
      <c r="AB107" s="59"/>
    </row>
    <row r="108" customFormat="false" ht="15.75" hidden="false" customHeight="false" outlineLevel="0" collapsed="false">
      <c r="A108" s="71"/>
      <c r="B108" s="71"/>
      <c r="C108" s="6" t="s">
        <v>19</v>
      </c>
      <c r="D108" s="49"/>
      <c r="E108" s="73" t="n">
        <f aca="false">IFERROR(__xludf.dummyfunction("COUNTA(SPLIT(D108,"" ""))/COUNTA(SPLIT($B$47,"" ""))"),0.00476190476190476)</f>
        <v>0.004761904762</v>
      </c>
      <c r="F108" s="6"/>
      <c r="G108" s="6"/>
      <c r="H108" s="6"/>
      <c r="I108" s="6"/>
      <c r="J108" s="6"/>
      <c r="K108" s="51"/>
      <c r="L108" s="51"/>
      <c r="M108" s="51"/>
      <c r="N108" s="51"/>
      <c r="O108" s="51"/>
      <c r="P108" s="51"/>
      <c r="Q108" s="51"/>
      <c r="R108" s="51"/>
      <c r="S108" s="51"/>
      <c r="T108" s="51"/>
      <c r="U108" s="51"/>
      <c r="V108" s="51"/>
      <c r="W108" s="51"/>
      <c r="X108" s="51"/>
      <c r="Y108" s="51"/>
      <c r="Z108" s="51"/>
      <c r="AA108" s="51"/>
      <c r="AB108" s="51"/>
    </row>
    <row r="109" customFormat="false" ht="15.75" hidden="false" customHeight="false" outlineLevel="0" collapsed="false">
      <c r="A109" s="71"/>
      <c r="B109" s="71"/>
      <c r="C109" s="6" t="s">
        <v>8</v>
      </c>
      <c r="D109" s="49"/>
      <c r="E109" s="74" t="n">
        <f aca="false">IFERROR(__xludf.dummyfunction("COUNTA(SPLIT(D109,"" ""))/COUNTA(SPLIT($B$47,"" ""))"),0.00476190476190476)</f>
        <v>0.004761904762</v>
      </c>
      <c r="F109" s="6"/>
      <c r="G109" s="6"/>
      <c r="H109" s="6"/>
      <c r="I109" s="6"/>
      <c r="J109" s="6"/>
      <c r="K109" s="51"/>
      <c r="L109" s="51"/>
      <c r="M109" s="51"/>
      <c r="N109" s="51"/>
      <c r="O109" s="51"/>
      <c r="P109" s="51"/>
      <c r="Q109" s="51"/>
      <c r="R109" s="51"/>
      <c r="S109" s="51"/>
      <c r="T109" s="51"/>
      <c r="U109" s="51"/>
      <c r="V109" s="51"/>
      <c r="W109" s="51"/>
      <c r="X109" s="51"/>
      <c r="Y109" s="51"/>
      <c r="Z109" s="51"/>
      <c r="AA109" s="51"/>
      <c r="AB109" s="51"/>
    </row>
    <row r="110" customFormat="false" ht="15.75" hidden="false" customHeight="false" outlineLevel="0" collapsed="false">
      <c r="A110" s="71"/>
      <c r="B110" s="71"/>
      <c r="C110" s="6" t="s">
        <v>20</v>
      </c>
      <c r="D110" s="49"/>
      <c r="E110" s="75" t="n">
        <f aca="false">IFERROR(__xludf.dummyfunction("COUNTA(SPLIT(D110,"" ""))/COUNTA(SPLIT($B$47,"" ""))"),0.00476190476190476)</f>
        <v>0.004761904762</v>
      </c>
      <c r="F110" s="6"/>
      <c r="G110" s="6"/>
      <c r="H110" s="6"/>
      <c r="I110" s="6"/>
      <c r="J110" s="6"/>
      <c r="K110" s="51"/>
      <c r="L110" s="51"/>
      <c r="M110" s="51"/>
      <c r="N110" s="51"/>
      <c r="O110" s="51"/>
      <c r="P110" s="51"/>
      <c r="Q110" s="51"/>
      <c r="R110" s="51"/>
      <c r="S110" s="51"/>
      <c r="T110" s="51"/>
      <c r="U110" s="51"/>
      <c r="V110" s="51"/>
      <c r="W110" s="51"/>
      <c r="X110" s="51"/>
      <c r="Y110" s="51"/>
      <c r="Z110" s="51"/>
      <c r="AA110" s="51"/>
      <c r="AB110" s="51"/>
    </row>
    <row r="111" customFormat="false" ht="15.75" hidden="false" customHeight="false" outlineLevel="0" collapsed="false">
      <c r="A111" s="51"/>
      <c r="B111" s="51"/>
      <c r="C111" s="6"/>
      <c r="D111" s="49"/>
      <c r="E111" s="51"/>
      <c r="F111" s="6"/>
      <c r="G111" s="6"/>
      <c r="H111" s="6"/>
      <c r="I111" s="6"/>
      <c r="J111" s="6"/>
      <c r="K111" s="51"/>
      <c r="L111" s="51"/>
      <c r="M111" s="51"/>
      <c r="N111" s="51"/>
      <c r="O111" s="51"/>
      <c r="P111" s="51"/>
      <c r="Q111" s="51"/>
      <c r="R111" s="51"/>
      <c r="S111" s="51"/>
      <c r="T111" s="51"/>
      <c r="U111" s="51"/>
      <c r="V111" s="51"/>
      <c r="W111" s="51"/>
      <c r="X111" s="51"/>
      <c r="Y111" s="51"/>
      <c r="Z111" s="51"/>
      <c r="AA111" s="51"/>
      <c r="AB111" s="51"/>
    </row>
    <row r="112" customFormat="false" ht="15.75" hidden="false" customHeight="false" outlineLevel="0" collapsed="false">
      <c r="A112" s="71"/>
      <c r="B112" s="55"/>
      <c r="C112" s="56" t="s">
        <v>18</v>
      </c>
      <c r="D112" s="57"/>
      <c r="E112" s="72" t="n">
        <f aca="false">IFERROR(__xludf.dummyfunction("COUNTA(SPLIT(D112,"" ""))/COUNTA(SPLIT($B$47,"" ""))"),0.00476190476190476)</f>
        <v>0.004761904762</v>
      </c>
      <c r="F112" s="56"/>
      <c r="G112" s="56"/>
      <c r="H112" s="56"/>
      <c r="I112" s="56"/>
      <c r="J112" s="56"/>
      <c r="K112" s="59"/>
      <c r="L112" s="59"/>
      <c r="M112" s="59"/>
      <c r="N112" s="59"/>
      <c r="O112" s="59"/>
      <c r="P112" s="59"/>
      <c r="Q112" s="59"/>
      <c r="R112" s="59"/>
      <c r="S112" s="59"/>
      <c r="T112" s="59"/>
      <c r="U112" s="59"/>
      <c r="V112" s="59"/>
      <c r="W112" s="59"/>
      <c r="X112" s="59"/>
      <c r="Y112" s="59"/>
      <c r="Z112" s="59"/>
      <c r="AA112" s="59"/>
      <c r="AB112" s="59"/>
    </row>
    <row r="113" customFormat="false" ht="15.75" hidden="false" customHeight="false" outlineLevel="0" collapsed="false">
      <c r="A113" s="71"/>
      <c r="B113" s="71"/>
      <c r="C113" s="6" t="s">
        <v>19</v>
      </c>
      <c r="D113" s="49"/>
      <c r="E113" s="73" t="n">
        <f aca="false">IFERROR(__xludf.dummyfunction("COUNTA(SPLIT(D113,"" ""))/COUNTA(SPLIT($B$47,"" ""))"),0.00476190476190476)</f>
        <v>0.004761904762</v>
      </c>
      <c r="F113" s="6"/>
      <c r="G113" s="6"/>
      <c r="H113" s="6"/>
      <c r="I113" s="6"/>
      <c r="J113" s="6"/>
      <c r="K113" s="51"/>
      <c r="L113" s="51"/>
      <c r="M113" s="51"/>
      <c r="N113" s="51"/>
      <c r="O113" s="51"/>
      <c r="P113" s="51"/>
      <c r="Q113" s="51"/>
      <c r="R113" s="51"/>
      <c r="S113" s="51"/>
      <c r="T113" s="51"/>
      <c r="U113" s="51"/>
      <c r="V113" s="51"/>
      <c r="W113" s="51"/>
      <c r="X113" s="51"/>
      <c r="Y113" s="51"/>
      <c r="Z113" s="51"/>
      <c r="AA113" s="51"/>
      <c r="AB113" s="51"/>
    </row>
    <row r="114" customFormat="false" ht="15.75" hidden="false" customHeight="false" outlineLevel="0" collapsed="false">
      <c r="A114" s="71"/>
      <c r="B114" s="71"/>
      <c r="C114" s="6" t="s">
        <v>8</v>
      </c>
      <c r="D114" s="49"/>
      <c r="E114" s="74" t="n">
        <f aca="false">IFERROR(__xludf.dummyfunction("COUNTA(SPLIT(D114,"" ""))/COUNTA(SPLIT($B$47,"" ""))"),0.00476190476190476)</f>
        <v>0.004761904762</v>
      </c>
      <c r="F114" s="6"/>
      <c r="G114" s="6"/>
      <c r="H114" s="6"/>
      <c r="I114" s="6"/>
      <c r="J114" s="6"/>
      <c r="K114" s="51"/>
      <c r="L114" s="51"/>
      <c r="M114" s="51"/>
      <c r="N114" s="51"/>
      <c r="O114" s="51"/>
      <c r="P114" s="51"/>
      <c r="Q114" s="51"/>
      <c r="R114" s="51"/>
      <c r="S114" s="51"/>
      <c r="T114" s="51"/>
      <c r="U114" s="51"/>
      <c r="V114" s="51"/>
      <c r="W114" s="51"/>
      <c r="X114" s="51"/>
      <c r="Y114" s="51"/>
      <c r="Z114" s="51"/>
      <c r="AA114" s="51"/>
      <c r="AB114" s="51"/>
    </row>
    <row r="115" customFormat="false" ht="15.75" hidden="false" customHeight="false" outlineLevel="0" collapsed="false">
      <c r="A115" s="71"/>
      <c r="B115" s="71"/>
      <c r="C115" s="6" t="s">
        <v>20</v>
      </c>
      <c r="D115" s="49"/>
      <c r="E115" s="75" t="n">
        <f aca="false">IFERROR(__xludf.dummyfunction("COUNTA(SPLIT(D115,"" ""))/COUNTA(SPLIT($B$47,"" ""))"),0.00476190476190476)</f>
        <v>0.004761904762</v>
      </c>
      <c r="F115" s="6"/>
      <c r="G115" s="6"/>
      <c r="H115" s="6"/>
      <c r="I115" s="6"/>
      <c r="J115" s="6"/>
      <c r="K115" s="51"/>
      <c r="L115" s="51"/>
      <c r="M115" s="51"/>
      <c r="N115" s="51"/>
      <c r="O115" s="51"/>
      <c r="P115" s="51"/>
      <c r="Q115" s="51"/>
      <c r="R115" s="51"/>
      <c r="S115" s="51"/>
      <c r="T115" s="51"/>
      <c r="U115" s="51"/>
      <c r="V115" s="51"/>
      <c r="W115" s="51"/>
      <c r="X115" s="51"/>
      <c r="Y115" s="51"/>
      <c r="Z115" s="51"/>
      <c r="AA115" s="51"/>
      <c r="AB115" s="51"/>
    </row>
    <row r="116" customFormat="false" ht="15.75" hidden="false" customHeight="false" outlineLevel="0" collapsed="false">
      <c r="A116" s="51"/>
      <c r="B116" s="51"/>
      <c r="C116" s="6"/>
      <c r="D116" s="49"/>
      <c r="E116" s="51"/>
      <c r="F116" s="6"/>
      <c r="G116" s="6"/>
      <c r="H116" s="6"/>
      <c r="I116" s="6"/>
      <c r="J116" s="6"/>
      <c r="K116" s="51"/>
      <c r="L116" s="51"/>
      <c r="M116" s="51"/>
      <c r="N116" s="51"/>
      <c r="O116" s="51"/>
      <c r="P116" s="51"/>
      <c r="Q116" s="51"/>
      <c r="R116" s="51"/>
      <c r="S116" s="51"/>
      <c r="T116" s="51"/>
      <c r="U116" s="51"/>
      <c r="V116" s="51"/>
      <c r="W116" s="51"/>
      <c r="X116" s="51"/>
      <c r="Y116" s="51"/>
      <c r="Z116" s="51"/>
      <c r="AA116" s="51"/>
      <c r="AB116" s="51"/>
    </row>
    <row r="117" customFormat="false" ht="15.75" hidden="false" customHeight="false" outlineLevel="0" collapsed="false">
      <c r="A117" s="71"/>
      <c r="B117" s="55"/>
      <c r="C117" s="56" t="s">
        <v>18</v>
      </c>
      <c r="D117" s="57"/>
      <c r="E117" s="72" t="n">
        <f aca="false">IFERROR(__xludf.dummyfunction("COUNTA(SPLIT(D117,"" ""))/COUNTA(SPLIT($B$47,"" ""))"),0.00476190476190476)</f>
        <v>0.004761904762</v>
      </c>
      <c r="F117" s="56"/>
      <c r="G117" s="56"/>
      <c r="H117" s="56"/>
      <c r="I117" s="56"/>
      <c r="J117" s="56"/>
      <c r="K117" s="59"/>
      <c r="L117" s="59"/>
      <c r="M117" s="59"/>
      <c r="N117" s="59"/>
      <c r="O117" s="59"/>
      <c r="P117" s="59"/>
      <c r="Q117" s="59"/>
      <c r="R117" s="59"/>
      <c r="S117" s="59"/>
      <c r="T117" s="59"/>
      <c r="U117" s="59"/>
      <c r="V117" s="59"/>
      <c r="W117" s="59"/>
      <c r="X117" s="59"/>
      <c r="Y117" s="59"/>
      <c r="Z117" s="59"/>
      <c r="AA117" s="59"/>
      <c r="AB117" s="59"/>
    </row>
    <row r="118" customFormat="false" ht="15.75" hidden="false" customHeight="false" outlineLevel="0" collapsed="false">
      <c r="A118" s="71"/>
      <c r="B118" s="71"/>
      <c r="C118" s="6" t="s">
        <v>19</v>
      </c>
      <c r="D118" s="49"/>
      <c r="E118" s="73" t="n">
        <f aca="false">IFERROR(__xludf.dummyfunction("COUNTA(SPLIT(D118,"" ""))/COUNTA(SPLIT($B$47,"" ""))"),0.00476190476190476)</f>
        <v>0.004761904762</v>
      </c>
      <c r="F118" s="6"/>
      <c r="G118" s="6"/>
      <c r="H118" s="6"/>
      <c r="I118" s="6"/>
      <c r="J118" s="6"/>
      <c r="K118" s="51"/>
      <c r="L118" s="51"/>
      <c r="M118" s="51"/>
      <c r="N118" s="51"/>
      <c r="O118" s="51"/>
      <c r="P118" s="51"/>
      <c r="Q118" s="51"/>
      <c r="R118" s="51"/>
      <c r="S118" s="51"/>
      <c r="T118" s="51"/>
      <c r="U118" s="51"/>
      <c r="V118" s="51"/>
      <c r="W118" s="51"/>
      <c r="X118" s="51"/>
      <c r="Y118" s="51"/>
      <c r="Z118" s="51"/>
      <c r="AA118" s="51"/>
      <c r="AB118" s="51"/>
    </row>
    <row r="119" customFormat="false" ht="15.75" hidden="false" customHeight="false" outlineLevel="0" collapsed="false">
      <c r="A119" s="71"/>
      <c r="B119" s="71"/>
      <c r="C119" s="6" t="s">
        <v>8</v>
      </c>
      <c r="D119" s="49"/>
      <c r="E119" s="74" t="n">
        <f aca="false">IFERROR(__xludf.dummyfunction("COUNTA(SPLIT(D119,"" ""))/COUNTA(SPLIT($B$47,"" ""))"),0.00476190476190476)</f>
        <v>0.004761904762</v>
      </c>
      <c r="F119" s="6"/>
      <c r="G119" s="6"/>
      <c r="H119" s="6"/>
      <c r="I119" s="6"/>
      <c r="J119" s="6"/>
      <c r="K119" s="51"/>
      <c r="L119" s="51"/>
      <c r="M119" s="51"/>
      <c r="N119" s="51"/>
      <c r="O119" s="51"/>
      <c r="P119" s="51"/>
      <c r="Q119" s="51"/>
      <c r="R119" s="51"/>
      <c r="S119" s="51"/>
      <c r="T119" s="51"/>
      <c r="U119" s="51"/>
      <c r="V119" s="51"/>
      <c r="W119" s="51"/>
      <c r="X119" s="51"/>
      <c r="Y119" s="51"/>
      <c r="Z119" s="51"/>
      <c r="AA119" s="51"/>
      <c r="AB119" s="51"/>
    </row>
    <row r="120" customFormat="false" ht="15.75" hidden="false" customHeight="false" outlineLevel="0" collapsed="false">
      <c r="A120" s="71"/>
      <c r="B120" s="71"/>
      <c r="C120" s="6" t="s">
        <v>20</v>
      </c>
      <c r="D120" s="49"/>
      <c r="E120" s="75" t="n">
        <f aca="false">IFERROR(__xludf.dummyfunction("COUNTA(SPLIT(D120,"" ""))/COUNTA(SPLIT($B$47,"" ""))"),0.00476190476190476)</f>
        <v>0.004761904762</v>
      </c>
      <c r="F120" s="6"/>
      <c r="G120" s="6"/>
      <c r="H120" s="6"/>
      <c r="I120" s="6"/>
      <c r="J120" s="6"/>
      <c r="K120" s="51"/>
      <c r="L120" s="51"/>
      <c r="M120" s="51"/>
      <c r="N120" s="51"/>
      <c r="O120" s="51"/>
      <c r="P120" s="51"/>
      <c r="Q120" s="51"/>
      <c r="R120" s="51"/>
      <c r="S120" s="51"/>
      <c r="T120" s="51"/>
      <c r="U120" s="51"/>
      <c r="V120" s="51"/>
      <c r="W120" s="51"/>
      <c r="X120" s="51"/>
      <c r="Y120" s="51"/>
      <c r="Z120" s="51"/>
      <c r="AA120" s="51"/>
      <c r="AB120" s="51"/>
    </row>
    <row r="121" customFormat="false" ht="15.75" hidden="false" customHeight="false" outlineLevel="0" collapsed="false">
      <c r="A121" s="51"/>
      <c r="B121" s="51"/>
      <c r="C121" s="6"/>
      <c r="D121" s="49"/>
      <c r="E121" s="51"/>
      <c r="F121" s="6"/>
      <c r="G121" s="6"/>
      <c r="H121" s="6"/>
      <c r="I121" s="6"/>
      <c r="J121" s="6"/>
      <c r="K121" s="51"/>
      <c r="L121" s="51"/>
      <c r="M121" s="51"/>
      <c r="N121" s="51"/>
      <c r="O121" s="51"/>
      <c r="P121" s="51"/>
      <c r="Q121" s="51"/>
      <c r="R121" s="51"/>
      <c r="S121" s="51"/>
      <c r="T121" s="51"/>
      <c r="U121" s="51"/>
      <c r="V121" s="51"/>
      <c r="W121" s="51"/>
      <c r="X121" s="51"/>
      <c r="Y121" s="51"/>
      <c r="Z121" s="51"/>
      <c r="AA121" s="51"/>
      <c r="AB121" s="51"/>
    </row>
    <row r="122" customFormat="false" ht="15.75" hidden="false" customHeight="false" outlineLevel="0" collapsed="false">
      <c r="A122" s="71"/>
      <c r="B122" s="55"/>
      <c r="C122" s="56" t="s">
        <v>18</v>
      </c>
      <c r="D122" s="57"/>
      <c r="E122" s="72" t="n">
        <f aca="false">IFERROR(__xludf.dummyfunction("COUNTA(SPLIT(D122,"" ""))/COUNTA(SPLIT($B$47,"" ""))"),0.00476190476190476)</f>
        <v>0.004761904762</v>
      </c>
      <c r="F122" s="56"/>
      <c r="G122" s="56"/>
      <c r="H122" s="56"/>
      <c r="I122" s="56"/>
      <c r="J122" s="56"/>
      <c r="K122" s="59"/>
      <c r="L122" s="59"/>
      <c r="M122" s="59"/>
      <c r="N122" s="59"/>
      <c r="O122" s="59"/>
      <c r="P122" s="59"/>
      <c r="Q122" s="59"/>
      <c r="R122" s="59"/>
      <c r="S122" s="59"/>
      <c r="T122" s="59"/>
      <c r="U122" s="59"/>
      <c r="V122" s="59"/>
      <c r="W122" s="59"/>
      <c r="X122" s="59"/>
      <c r="Y122" s="59"/>
      <c r="Z122" s="59"/>
      <c r="AA122" s="59"/>
      <c r="AB122" s="59"/>
    </row>
    <row r="123" customFormat="false" ht="15.75" hidden="false" customHeight="false" outlineLevel="0" collapsed="false">
      <c r="A123" s="71"/>
      <c r="B123" s="71"/>
      <c r="C123" s="6" t="s">
        <v>19</v>
      </c>
      <c r="D123" s="49"/>
      <c r="E123" s="73" t="n">
        <f aca="false">IFERROR(__xludf.dummyfunction("COUNTA(SPLIT(D123,"" ""))/COUNTA(SPLIT($B$47,"" ""))"),0.00476190476190476)</f>
        <v>0.004761904762</v>
      </c>
      <c r="F123" s="6"/>
      <c r="G123" s="6"/>
      <c r="H123" s="6"/>
      <c r="I123" s="6"/>
      <c r="J123" s="6"/>
      <c r="K123" s="51"/>
      <c r="L123" s="51"/>
      <c r="M123" s="51"/>
      <c r="N123" s="51"/>
      <c r="O123" s="51"/>
      <c r="P123" s="51"/>
      <c r="Q123" s="51"/>
      <c r="R123" s="51"/>
      <c r="S123" s="51"/>
      <c r="T123" s="51"/>
      <c r="U123" s="51"/>
      <c r="V123" s="51"/>
      <c r="W123" s="51"/>
      <c r="X123" s="51"/>
      <c r="Y123" s="51"/>
      <c r="Z123" s="51"/>
      <c r="AA123" s="51"/>
      <c r="AB123" s="51"/>
    </row>
    <row r="124" customFormat="false" ht="15.75" hidden="false" customHeight="false" outlineLevel="0" collapsed="false">
      <c r="A124" s="71"/>
      <c r="B124" s="71"/>
      <c r="C124" s="6" t="s">
        <v>8</v>
      </c>
      <c r="D124" s="49"/>
      <c r="E124" s="74" t="n">
        <f aca="false">IFERROR(__xludf.dummyfunction("COUNTA(SPLIT(D124,"" ""))/COUNTA(SPLIT($B$47,"" ""))"),0.00476190476190476)</f>
        <v>0.004761904762</v>
      </c>
      <c r="F124" s="6"/>
      <c r="G124" s="6"/>
      <c r="H124" s="6"/>
      <c r="I124" s="6"/>
      <c r="J124" s="6"/>
      <c r="K124" s="51"/>
      <c r="L124" s="51"/>
      <c r="M124" s="51"/>
      <c r="N124" s="51"/>
      <c r="O124" s="51"/>
      <c r="P124" s="51"/>
      <c r="Q124" s="51"/>
      <c r="R124" s="51"/>
      <c r="S124" s="51"/>
      <c r="T124" s="51"/>
      <c r="U124" s="51"/>
      <c r="V124" s="51"/>
      <c r="W124" s="51"/>
      <c r="X124" s="51"/>
      <c r="Y124" s="51"/>
      <c r="Z124" s="51"/>
      <c r="AA124" s="51"/>
      <c r="AB124" s="51"/>
    </row>
    <row r="125" customFormat="false" ht="15.75" hidden="false" customHeight="false" outlineLevel="0" collapsed="false">
      <c r="A125" s="71"/>
      <c r="B125" s="71"/>
      <c r="C125" s="6" t="s">
        <v>20</v>
      </c>
      <c r="D125" s="49"/>
      <c r="E125" s="75" t="n">
        <f aca="false">IFERROR(__xludf.dummyfunction("COUNTA(SPLIT(D125,"" ""))/COUNTA(SPLIT($B$47,"" ""))"),0.00476190476190476)</f>
        <v>0.004761904762</v>
      </c>
      <c r="F125" s="6"/>
      <c r="G125" s="6"/>
      <c r="H125" s="6"/>
      <c r="I125" s="6"/>
      <c r="J125" s="6"/>
      <c r="K125" s="51"/>
      <c r="L125" s="51"/>
      <c r="M125" s="51"/>
      <c r="N125" s="51"/>
      <c r="O125" s="51"/>
      <c r="P125" s="51"/>
      <c r="Q125" s="51"/>
      <c r="R125" s="51"/>
      <c r="S125" s="51"/>
      <c r="T125" s="51"/>
      <c r="U125" s="51"/>
      <c r="V125" s="51"/>
      <c r="W125" s="51"/>
      <c r="X125" s="51"/>
      <c r="Y125" s="51"/>
      <c r="Z125" s="51"/>
      <c r="AA125" s="51"/>
      <c r="AB125" s="51"/>
    </row>
    <row r="126" customFormat="false" ht="15.75" hidden="false" customHeight="false" outlineLevel="0" collapsed="false">
      <c r="A126" s="51"/>
      <c r="B126" s="51"/>
      <c r="C126" s="6"/>
      <c r="D126" s="49"/>
      <c r="E126" s="51"/>
      <c r="F126" s="6"/>
      <c r="G126" s="6"/>
      <c r="H126" s="6"/>
      <c r="I126" s="6"/>
      <c r="J126" s="6"/>
      <c r="K126" s="51"/>
      <c r="L126" s="51"/>
      <c r="M126" s="51"/>
      <c r="N126" s="51"/>
      <c r="O126" s="51"/>
      <c r="P126" s="51"/>
      <c r="Q126" s="51"/>
      <c r="R126" s="51"/>
      <c r="S126" s="51"/>
      <c r="T126" s="51"/>
      <c r="U126" s="51"/>
      <c r="V126" s="51"/>
      <c r="W126" s="51"/>
      <c r="X126" s="51"/>
      <c r="Y126" s="51"/>
      <c r="Z126" s="51"/>
      <c r="AA126" s="51"/>
      <c r="AB126" s="51"/>
    </row>
    <row r="127" customFormat="false" ht="15.75" hidden="false" customHeight="false" outlineLevel="0" collapsed="false">
      <c r="A127" s="71"/>
      <c r="B127" s="55"/>
      <c r="C127" s="56" t="s">
        <v>18</v>
      </c>
      <c r="D127" s="57"/>
      <c r="E127" s="72" t="n">
        <f aca="false">IFERROR(__xludf.dummyfunction("COUNTA(SPLIT(D127,"" ""))/COUNTA(SPLIT($B$47,"" ""))"),0.00476190476190476)</f>
        <v>0.004761904762</v>
      </c>
      <c r="F127" s="56"/>
      <c r="G127" s="56"/>
      <c r="H127" s="56"/>
      <c r="I127" s="56"/>
      <c r="J127" s="56"/>
      <c r="K127" s="59"/>
      <c r="L127" s="59"/>
      <c r="M127" s="59"/>
      <c r="N127" s="59"/>
      <c r="O127" s="59"/>
      <c r="P127" s="59"/>
      <c r="Q127" s="59"/>
      <c r="R127" s="59"/>
      <c r="S127" s="59"/>
      <c r="T127" s="59"/>
      <c r="U127" s="59"/>
      <c r="V127" s="59"/>
      <c r="W127" s="59"/>
      <c r="X127" s="59"/>
      <c r="Y127" s="59"/>
      <c r="Z127" s="59"/>
      <c r="AA127" s="59"/>
      <c r="AB127" s="59"/>
    </row>
    <row r="128" customFormat="false" ht="15.75" hidden="false" customHeight="false" outlineLevel="0" collapsed="false">
      <c r="A128" s="71"/>
      <c r="B128" s="71"/>
      <c r="C128" s="6" t="s">
        <v>19</v>
      </c>
      <c r="D128" s="49"/>
      <c r="E128" s="73" t="n">
        <f aca="false">IFERROR(__xludf.dummyfunction("COUNTA(SPLIT(D128,"" ""))/COUNTA(SPLIT($B$47,"" ""))"),0.00476190476190476)</f>
        <v>0.004761904762</v>
      </c>
      <c r="F128" s="6"/>
      <c r="G128" s="6"/>
      <c r="H128" s="6"/>
      <c r="I128" s="6"/>
      <c r="J128" s="6"/>
      <c r="K128" s="51"/>
      <c r="L128" s="51"/>
      <c r="M128" s="51"/>
      <c r="N128" s="51"/>
      <c r="O128" s="51"/>
      <c r="P128" s="51"/>
      <c r="Q128" s="51"/>
      <c r="R128" s="51"/>
      <c r="S128" s="51"/>
      <c r="T128" s="51"/>
      <c r="U128" s="51"/>
      <c r="V128" s="51"/>
      <c r="W128" s="51"/>
      <c r="X128" s="51"/>
      <c r="Y128" s="51"/>
      <c r="Z128" s="51"/>
      <c r="AA128" s="51"/>
      <c r="AB128" s="51"/>
    </row>
    <row r="129" customFormat="false" ht="15.75" hidden="false" customHeight="false" outlineLevel="0" collapsed="false">
      <c r="A129" s="71"/>
      <c r="B129" s="71"/>
      <c r="C129" s="6" t="s">
        <v>8</v>
      </c>
      <c r="D129" s="49"/>
      <c r="E129" s="74" t="n">
        <f aca="false">IFERROR(__xludf.dummyfunction("COUNTA(SPLIT(D129,"" ""))/COUNTA(SPLIT($B$47,"" ""))"),0.00476190476190476)</f>
        <v>0.004761904762</v>
      </c>
      <c r="F129" s="6"/>
      <c r="G129" s="6"/>
      <c r="H129" s="6"/>
      <c r="I129" s="6"/>
      <c r="J129" s="6"/>
      <c r="K129" s="51"/>
      <c r="L129" s="51"/>
      <c r="M129" s="51"/>
      <c r="N129" s="51"/>
      <c r="O129" s="51"/>
      <c r="P129" s="51"/>
      <c r="Q129" s="51"/>
      <c r="R129" s="51"/>
      <c r="S129" s="51"/>
      <c r="T129" s="51"/>
      <c r="U129" s="51"/>
      <c r="V129" s="51"/>
      <c r="W129" s="51"/>
      <c r="X129" s="51"/>
      <c r="Y129" s="51"/>
      <c r="Z129" s="51"/>
      <c r="AA129" s="51"/>
      <c r="AB129" s="51"/>
    </row>
    <row r="130" customFormat="false" ht="15.75" hidden="false" customHeight="false" outlineLevel="0" collapsed="false">
      <c r="A130" s="71"/>
      <c r="B130" s="71"/>
      <c r="C130" s="6" t="s">
        <v>20</v>
      </c>
      <c r="D130" s="49"/>
      <c r="E130" s="75" t="n">
        <f aca="false">IFERROR(__xludf.dummyfunction("COUNTA(SPLIT(D130,"" ""))/COUNTA(SPLIT($B$47,"" ""))"),0.00476190476190476)</f>
        <v>0.004761904762</v>
      </c>
      <c r="F130" s="6"/>
      <c r="G130" s="6"/>
      <c r="H130" s="6"/>
      <c r="I130" s="6"/>
      <c r="J130" s="6"/>
      <c r="K130" s="51"/>
      <c r="L130" s="51"/>
      <c r="M130" s="51"/>
      <c r="N130" s="51"/>
      <c r="O130" s="51"/>
      <c r="P130" s="51"/>
      <c r="Q130" s="51"/>
      <c r="R130" s="51"/>
      <c r="S130" s="51"/>
      <c r="T130" s="51"/>
      <c r="U130" s="51"/>
      <c r="V130" s="51"/>
      <c r="W130" s="51"/>
      <c r="X130" s="51"/>
      <c r="Y130" s="51"/>
      <c r="Z130" s="51"/>
      <c r="AA130" s="51"/>
      <c r="AB130" s="51"/>
    </row>
    <row r="131" customFormat="false" ht="15.75" hidden="false" customHeight="false" outlineLevel="0" collapsed="false">
      <c r="A131" s="51"/>
      <c r="B131" s="51"/>
      <c r="C131" s="6"/>
      <c r="D131" s="49"/>
      <c r="E131" s="51"/>
      <c r="F131" s="6"/>
      <c r="G131" s="6"/>
      <c r="H131" s="6"/>
      <c r="I131" s="6"/>
      <c r="J131" s="6"/>
      <c r="K131" s="51"/>
      <c r="L131" s="51"/>
      <c r="M131" s="51"/>
      <c r="N131" s="51"/>
      <c r="O131" s="51"/>
      <c r="P131" s="51"/>
      <c r="Q131" s="51"/>
      <c r="R131" s="51"/>
      <c r="S131" s="51"/>
      <c r="T131" s="51"/>
      <c r="U131" s="51"/>
      <c r="V131" s="51"/>
      <c r="W131" s="51"/>
      <c r="X131" s="51"/>
      <c r="Y131" s="51"/>
      <c r="Z131" s="51"/>
      <c r="AA131" s="51"/>
      <c r="AB131" s="51"/>
    </row>
    <row r="132" customFormat="false" ht="15.75" hidden="false" customHeight="false" outlineLevel="0" collapsed="false">
      <c r="A132" s="71"/>
      <c r="B132" s="55"/>
      <c r="C132" s="56" t="s">
        <v>18</v>
      </c>
      <c r="D132" s="57"/>
      <c r="E132" s="72" t="n">
        <f aca="false">IFERROR(__xludf.dummyfunction("COUNTA(SPLIT(D132,"" ""))/COUNTA(SPLIT($B$47,"" ""))"),0.00476190476190476)</f>
        <v>0.004761904762</v>
      </c>
      <c r="F132" s="56"/>
      <c r="G132" s="56"/>
      <c r="H132" s="56"/>
      <c r="I132" s="56"/>
      <c r="J132" s="56"/>
      <c r="K132" s="59"/>
      <c r="L132" s="59"/>
      <c r="M132" s="59"/>
      <c r="N132" s="59"/>
      <c r="O132" s="59"/>
      <c r="P132" s="59"/>
      <c r="Q132" s="59"/>
      <c r="R132" s="59"/>
      <c r="S132" s="59"/>
      <c r="T132" s="59"/>
      <c r="U132" s="59"/>
      <c r="V132" s="59"/>
      <c r="W132" s="59"/>
      <c r="X132" s="59"/>
      <c r="Y132" s="59"/>
      <c r="Z132" s="59"/>
      <c r="AA132" s="59"/>
      <c r="AB132" s="59"/>
    </row>
    <row r="133" customFormat="false" ht="15.75" hidden="false" customHeight="false" outlineLevel="0" collapsed="false">
      <c r="A133" s="71"/>
      <c r="B133" s="71"/>
      <c r="C133" s="6" t="s">
        <v>19</v>
      </c>
      <c r="D133" s="49"/>
      <c r="E133" s="73" t="n">
        <f aca="false">IFERROR(__xludf.dummyfunction("COUNTA(SPLIT(D133,"" ""))/COUNTA(SPLIT($B$47,"" ""))"),0.00476190476190476)</f>
        <v>0.004761904762</v>
      </c>
      <c r="F133" s="6"/>
      <c r="G133" s="6"/>
      <c r="H133" s="6"/>
      <c r="I133" s="6"/>
      <c r="J133" s="6"/>
      <c r="K133" s="51"/>
      <c r="L133" s="51"/>
      <c r="M133" s="51"/>
      <c r="N133" s="51"/>
      <c r="O133" s="51"/>
      <c r="P133" s="51"/>
      <c r="Q133" s="51"/>
      <c r="R133" s="51"/>
      <c r="S133" s="51"/>
      <c r="T133" s="51"/>
      <c r="U133" s="51"/>
      <c r="V133" s="51"/>
      <c r="W133" s="51"/>
      <c r="X133" s="51"/>
      <c r="Y133" s="51"/>
      <c r="Z133" s="51"/>
      <c r="AA133" s="51"/>
      <c r="AB133" s="51"/>
    </row>
    <row r="134" customFormat="false" ht="15.75" hidden="false" customHeight="false" outlineLevel="0" collapsed="false">
      <c r="A134" s="71"/>
      <c r="B134" s="71"/>
      <c r="C134" s="6" t="s">
        <v>8</v>
      </c>
      <c r="D134" s="49"/>
      <c r="E134" s="74" t="n">
        <f aca="false">IFERROR(__xludf.dummyfunction("COUNTA(SPLIT(D134,"" ""))/COUNTA(SPLIT($B$47,"" ""))"),0.00476190476190476)</f>
        <v>0.004761904762</v>
      </c>
      <c r="F134" s="6"/>
      <c r="G134" s="6"/>
      <c r="H134" s="6"/>
      <c r="I134" s="6"/>
      <c r="J134" s="6"/>
      <c r="K134" s="51"/>
      <c r="L134" s="51"/>
      <c r="M134" s="51"/>
      <c r="N134" s="51"/>
      <c r="O134" s="51"/>
      <c r="P134" s="51"/>
      <c r="Q134" s="51"/>
      <c r="R134" s="51"/>
      <c r="S134" s="51"/>
      <c r="T134" s="51"/>
      <c r="U134" s="51"/>
      <c r="V134" s="51"/>
      <c r="W134" s="51"/>
      <c r="X134" s="51"/>
      <c r="Y134" s="51"/>
      <c r="Z134" s="51"/>
      <c r="AA134" s="51"/>
      <c r="AB134" s="51"/>
    </row>
    <row r="135" customFormat="false" ht="15.75" hidden="false" customHeight="false" outlineLevel="0" collapsed="false">
      <c r="A135" s="71"/>
      <c r="B135" s="71"/>
      <c r="C135" s="6" t="s">
        <v>20</v>
      </c>
      <c r="D135" s="49"/>
      <c r="E135" s="75" t="n">
        <f aca="false">IFERROR(__xludf.dummyfunction("COUNTA(SPLIT(D135,"" ""))/COUNTA(SPLIT($B$47,"" ""))"),0.00476190476190476)</f>
        <v>0.004761904762</v>
      </c>
      <c r="F135" s="6"/>
      <c r="G135" s="6"/>
      <c r="H135" s="6"/>
      <c r="I135" s="6"/>
      <c r="J135" s="6"/>
      <c r="K135" s="51"/>
      <c r="L135" s="51"/>
      <c r="M135" s="51"/>
      <c r="N135" s="51"/>
      <c r="O135" s="51"/>
      <c r="P135" s="51"/>
      <c r="Q135" s="51"/>
      <c r="R135" s="51"/>
      <c r="S135" s="51"/>
      <c r="T135" s="51"/>
      <c r="U135" s="51"/>
      <c r="V135" s="51"/>
      <c r="W135" s="51"/>
      <c r="X135" s="51"/>
      <c r="Y135" s="51"/>
      <c r="Z135" s="51"/>
      <c r="AA135" s="51"/>
      <c r="AB135" s="51"/>
    </row>
    <row r="136" customFormat="false" ht="15.75" hidden="false" customHeight="false" outlineLevel="0" collapsed="false">
      <c r="A136" s="51"/>
      <c r="B136" s="51"/>
      <c r="C136" s="6"/>
      <c r="D136" s="49"/>
      <c r="E136" s="51"/>
      <c r="F136" s="6"/>
      <c r="G136" s="6"/>
      <c r="H136" s="6"/>
      <c r="I136" s="6"/>
      <c r="J136" s="6"/>
      <c r="K136" s="51"/>
      <c r="L136" s="51"/>
      <c r="M136" s="51"/>
      <c r="N136" s="51"/>
      <c r="O136" s="51"/>
      <c r="P136" s="51"/>
      <c r="Q136" s="51"/>
      <c r="R136" s="51"/>
      <c r="S136" s="51"/>
      <c r="T136" s="51"/>
      <c r="U136" s="51"/>
      <c r="V136" s="51"/>
      <c r="W136" s="51"/>
      <c r="X136" s="51"/>
      <c r="Y136" s="51"/>
      <c r="Z136" s="51"/>
      <c r="AA136" s="51"/>
      <c r="AB136" s="51"/>
    </row>
    <row r="137" customFormat="false" ht="15.75" hidden="false" customHeight="false" outlineLevel="0" collapsed="false">
      <c r="A137" s="71"/>
      <c r="B137" s="55"/>
      <c r="C137" s="56" t="s">
        <v>18</v>
      </c>
      <c r="D137" s="57"/>
      <c r="E137" s="72" t="n">
        <f aca="false">IFERROR(__xludf.dummyfunction("COUNTA(SPLIT(D137,"" ""))/COUNTA(SPLIT($B$47,"" ""))"),0.00476190476190476)</f>
        <v>0.004761904762</v>
      </c>
      <c r="F137" s="56"/>
      <c r="G137" s="56"/>
      <c r="H137" s="56"/>
      <c r="I137" s="56"/>
      <c r="J137" s="56"/>
      <c r="K137" s="59"/>
      <c r="L137" s="59"/>
      <c r="M137" s="59"/>
      <c r="N137" s="59"/>
      <c r="O137" s="59"/>
      <c r="P137" s="59"/>
      <c r="Q137" s="59"/>
      <c r="R137" s="59"/>
      <c r="S137" s="59"/>
      <c r="T137" s="59"/>
      <c r="U137" s="59"/>
      <c r="V137" s="59"/>
      <c r="W137" s="59"/>
      <c r="X137" s="59"/>
      <c r="Y137" s="59"/>
      <c r="Z137" s="59"/>
      <c r="AA137" s="59"/>
      <c r="AB137" s="59"/>
    </row>
    <row r="138" customFormat="false" ht="15.75" hidden="false" customHeight="false" outlineLevel="0" collapsed="false">
      <c r="A138" s="71"/>
      <c r="B138" s="71"/>
      <c r="C138" s="6" t="s">
        <v>19</v>
      </c>
      <c r="D138" s="49"/>
      <c r="E138" s="73" t="n">
        <f aca="false">IFERROR(__xludf.dummyfunction("COUNTA(SPLIT(D138,"" ""))/COUNTA(SPLIT($B$47,"" ""))"),0.00476190476190476)</f>
        <v>0.004761904762</v>
      </c>
      <c r="F138" s="6"/>
      <c r="G138" s="6"/>
      <c r="H138" s="6"/>
      <c r="I138" s="6"/>
      <c r="J138" s="6"/>
      <c r="K138" s="51"/>
      <c r="L138" s="51"/>
      <c r="M138" s="51"/>
      <c r="N138" s="51"/>
      <c r="O138" s="51"/>
      <c r="P138" s="51"/>
      <c r="Q138" s="51"/>
      <c r="R138" s="51"/>
      <c r="S138" s="51"/>
      <c r="T138" s="51"/>
      <c r="U138" s="51"/>
      <c r="V138" s="51"/>
      <c r="W138" s="51"/>
      <c r="X138" s="51"/>
      <c r="Y138" s="51"/>
      <c r="Z138" s="51"/>
      <c r="AA138" s="51"/>
      <c r="AB138" s="51"/>
    </row>
    <row r="139" customFormat="false" ht="15.75" hidden="false" customHeight="false" outlineLevel="0" collapsed="false">
      <c r="A139" s="71"/>
      <c r="B139" s="71"/>
      <c r="C139" s="6" t="s">
        <v>8</v>
      </c>
      <c r="D139" s="49"/>
      <c r="E139" s="74" t="n">
        <f aca="false">IFERROR(__xludf.dummyfunction("COUNTA(SPLIT(D139,"" ""))/COUNTA(SPLIT($B$47,"" ""))"),0.00476190476190476)</f>
        <v>0.004761904762</v>
      </c>
      <c r="F139" s="6"/>
      <c r="G139" s="6"/>
      <c r="H139" s="6"/>
      <c r="I139" s="6"/>
      <c r="J139" s="6"/>
      <c r="K139" s="51"/>
      <c r="L139" s="51"/>
      <c r="M139" s="51"/>
      <c r="N139" s="51"/>
      <c r="O139" s="51"/>
      <c r="P139" s="51"/>
      <c r="Q139" s="51"/>
      <c r="R139" s="51"/>
      <c r="S139" s="51"/>
      <c r="T139" s="51"/>
      <c r="U139" s="51"/>
      <c r="V139" s="51"/>
      <c r="W139" s="51"/>
      <c r="X139" s="51"/>
      <c r="Y139" s="51"/>
      <c r="Z139" s="51"/>
      <c r="AA139" s="51"/>
      <c r="AB139" s="51"/>
    </row>
    <row r="140" customFormat="false" ht="15.75" hidden="false" customHeight="false" outlineLevel="0" collapsed="false">
      <c r="A140" s="71"/>
      <c r="B140" s="71"/>
      <c r="C140" s="6" t="s">
        <v>20</v>
      </c>
      <c r="D140" s="49"/>
      <c r="E140" s="75" t="n">
        <f aca="false">IFERROR(__xludf.dummyfunction("COUNTA(SPLIT(D140,"" ""))/COUNTA(SPLIT($B$47,"" ""))"),0.00476190476190476)</f>
        <v>0.004761904762</v>
      </c>
      <c r="F140" s="6"/>
      <c r="G140" s="6"/>
      <c r="H140" s="6"/>
      <c r="I140" s="6"/>
      <c r="J140" s="6"/>
      <c r="K140" s="51"/>
      <c r="L140" s="51"/>
      <c r="M140" s="51"/>
      <c r="N140" s="51"/>
      <c r="O140" s="51"/>
      <c r="P140" s="51"/>
      <c r="Q140" s="51"/>
      <c r="R140" s="51"/>
      <c r="S140" s="51"/>
      <c r="T140" s="51"/>
      <c r="U140" s="51"/>
      <c r="V140" s="51"/>
      <c r="W140" s="51"/>
      <c r="X140" s="51"/>
      <c r="Y140" s="51"/>
      <c r="Z140" s="51"/>
      <c r="AA140" s="51"/>
      <c r="AB140" s="51"/>
    </row>
    <row r="141" customFormat="false" ht="15.75" hidden="false" customHeight="false" outlineLevel="0" collapsed="false">
      <c r="A141" s="51"/>
      <c r="B141" s="51"/>
      <c r="C141" s="6"/>
      <c r="D141" s="49"/>
      <c r="E141" s="51"/>
      <c r="F141" s="6"/>
      <c r="G141" s="6"/>
      <c r="H141" s="6"/>
      <c r="I141" s="6"/>
      <c r="J141" s="6"/>
      <c r="K141" s="51"/>
      <c r="L141" s="51"/>
      <c r="M141" s="51"/>
      <c r="N141" s="51"/>
      <c r="O141" s="51"/>
      <c r="P141" s="51"/>
      <c r="Q141" s="51"/>
      <c r="R141" s="51"/>
      <c r="S141" s="51"/>
      <c r="T141" s="51"/>
      <c r="U141" s="51"/>
      <c r="V141" s="51"/>
      <c r="W141" s="51"/>
      <c r="X141" s="51"/>
      <c r="Y141" s="51"/>
      <c r="Z141" s="51"/>
      <c r="AA141" s="51"/>
      <c r="AB141" s="51"/>
    </row>
    <row r="142" customFormat="false" ht="15.75" hidden="false" customHeight="false" outlineLevel="0" collapsed="false">
      <c r="A142" s="71"/>
      <c r="B142" s="55"/>
      <c r="C142" s="56" t="s">
        <v>18</v>
      </c>
      <c r="D142" s="57"/>
      <c r="E142" s="72" t="n">
        <f aca="false">IFERROR(__xludf.dummyfunction("COUNTA(SPLIT(D142,"" ""))/COUNTA(SPLIT($B$47,"" ""))"),0.00476190476190476)</f>
        <v>0.004761904762</v>
      </c>
      <c r="F142" s="56"/>
      <c r="G142" s="56"/>
      <c r="H142" s="56"/>
      <c r="I142" s="56"/>
      <c r="J142" s="56"/>
      <c r="K142" s="59"/>
      <c r="L142" s="59"/>
      <c r="M142" s="59"/>
      <c r="N142" s="59"/>
      <c r="O142" s="59"/>
      <c r="P142" s="59"/>
      <c r="Q142" s="59"/>
      <c r="R142" s="59"/>
      <c r="S142" s="59"/>
      <c r="T142" s="59"/>
      <c r="U142" s="59"/>
      <c r="V142" s="59"/>
      <c r="W142" s="59"/>
      <c r="X142" s="59"/>
      <c r="Y142" s="59"/>
      <c r="Z142" s="59"/>
      <c r="AA142" s="59"/>
      <c r="AB142" s="59"/>
    </row>
    <row r="143" customFormat="false" ht="15.75" hidden="false" customHeight="false" outlineLevel="0" collapsed="false">
      <c r="A143" s="71"/>
      <c r="B143" s="71"/>
      <c r="C143" s="6" t="s">
        <v>19</v>
      </c>
      <c r="D143" s="49"/>
      <c r="E143" s="73" t="n">
        <f aca="false">IFERROR(__xludf.dummyfunction("COUNTA(SPLIT(D143,"" ""))/COUNTA(SPLIT($B$47,"" ""))"),0.00476190476190476)</f>
        <v>0.004761904762</v>
      </c>
      <c r="F143" s="6"/>
      <c r="G143" s="6"/>
      <c r="H143" s="6"/>
      <c r="I143" s="6"/>
      <c r="J143" s="6"/>
      <c r="K143" s="51"/>
      <c r="L143" s="51"/>
      <c r="M143" s="51"/>
      <c r="N143" s="51"/>
      <c r="O143" s="51"/>
      <c r="P143" s="51"/>
      <c r="Q143" s="51"/>
      <c r="R143" s="51"/>
      <c r="S143" s="51"/>
      <c r="T143" s="51"/>
      <c r="U143" s="51"/>
      <c r="V143" s="51"/>
      <c r="W143" s="51"/>
      <c r="X143" s="51"/>
      <c r="Y143" s="51"/>
      <c r="Z143" s="51"/>
      <c r="AA143" s="51"/>
      <c r="AB143" s="51"/>
    </row>
    <row r="144" customFormat="false" ht="15.75" hidden="false" customHeight="false" outlineLevel="0" collapsed="false">
      <c r="A144" s="71"/>
      <c r="B144" s="71"/>
      <c r="C144" s="6" t="s">
        <v>8</v>
      </c>
      <c r="D144" s="49"/>
      <c r="E144" s="74" t="n">
        <f aca="false">IFERROR(__xludf.dummyfunction("COUNTA(SPLIT(D144,"" ""))/COUNTA(SPLIT($B$47,"" ""))"),0.00476190476190476)</f>
        <v>0.004761904762</v>
      </c>
      <c r="F144" s="6"/>
      <c r="G144" s="6"/>
      <c r="H144" s="6"/>
      <c r="I144" s="6"/>
      <c r="J144" s="6"/>
      <c r="K144" s="51"/>
      <c r="L144" s="51"/>
      <c r="M144" s="51"/>
      <c r="N144" s="51"/>
      <c r="O144" s="51"/>
      <c r="P144" s="51"/>
      <c r="Q144" s="51"/>
      <c r="R144" s="51"/>
      <c r="S144" s="51"/>
      <c r="T144" s="51"/>
      <c r="U144" s="51"/>
      <c r="V144" s="51"/>
      <c r="W144" s="51"/>
      <c r="X144" s="51"/>
      <c r="Y144" s="51"/>
      <c r="Z144" s="51"/>
      <c r="AA144" s="51"/>
      <c r="AB144" s="51"/>
    </row>
    <row r="145" customFormat="false" ht="15.75" hidden="false" customHeight="false" outlineLevel="0" collapsed="false">
      <c r="A145" s="71"/>
      <c r="B145" s="71"/>
      <c r="C145" s="6" t="s">
        <v>20</v>
      </c>
      <c r="D145" s="49"/>
      <c r="E145" s="75" t="n">
        <f aca="false">IFERROR(__xludf.dummyfunction("COUNTA(SPLIT(D145,"" ""))/COUNTA(SPLIT($B$47,"" ""))"),0.00476190476190476)</f>
        <v>0.004761904762</v>
      </c>
      <c r="F145" s="6"/>
      <c r="G145" s="6"/>
      <c r="H145" s="6"/>
      <c r="I145" s="6"/>
      <c r="J145" s="6"/>
      <c r="K145" s="51"/>
      <c r="L145" s="51"/>
      <c r="M145" s="51"/>
      <c r="N145" s="51"/>
      <c r="O145" s="51"/>
      <c r="P145" s="51"/>
      <c r="Q145" s="51"/>
      <c r="R145" s="51"/>
      <c r="S145" s="51"/>
      <c r="T145" s="51"/>
      <c r="U145" s="51"/>
      <c r="V145" s="51"/>
      <c r="W145" s="51"/>
      <c r="X145" s="51"/>
      <c r="Y145" s="51"/>
      <c r="Z145" s="51"/>
      <c r="AA145" s="51"/>
      <c r="AB145" s="51"/>
    </row>
    <row r="146" customFormat="false" ht="15.75" hidden="false" customHeight="false" outlineLevel="0" collapsed="false">
      <c r="A146" s="51"/>
      <c r="B146" s="51"/>
      <c r="C146" s="6"/>
      <c r="D146" s="49"/>
      <c r="E146" s="51"/>
      <c r="F146" s="6"/>
      <c r="G146" s="6"/>
      <c r="H146" s="6"/>
      <c r="I146" s="6"/>
      <c r="J146" s="6"/>
      <c r="K146" s="51"/>
      <c r="L146" s="51"/>
      <c r="M146" s="51"/>
      <c r="N146" s="51"/>
      <c r="O146" s="51"/>
      <c r="P146" s="51"/>
      <c r="Q146" s="51"/>
      <c r="R146" s="51"/>
      <c r="S146" s="51"/>
      <c r="T146" s="51"/>
      <c r="U146" s="51"/>
      <c r="V146" s="51"/>
      <c r="W146" s="51"/>
      <c r="X146" s="51"/>
      <c r="Y146" s="51"/>
      <c r="Z146" s="51"/>
      <c r="AA146" s="51"/>
      <c r="AB146" s="51"/>
    </row>
    <row r="147" customFormat="false" ht="15.75" hidden="false" customHeight="false" outlineLevel="0" collapsed="false">
      <c r="A147" s="71"/>
      <c r="B147" s="55"/>
      <c r="C147" s="56" t="s">
        <v>18</v>
      </c>
      <c r="D147" s="57"/>
      <c r="E147" s="72" t="n">
        <f aca="false">IFERROR(__xludf.dummyfunction("COUNTA(SPLIT(D147,"" ""))/COUNTA(SPLIT($B$47,"" ""))"),0.00476190476190476)</f>
        <v>0.004761904762</v>
      </c>
      <c r="F147" s="56"/>
      <c r="G147" s="56"/>
      <c r="H147" s="56"/>
      <c r="I147" s="56"/>
      <c r="J147" s="56"/>
      <c r="K147" s="59"/>
      <c r="L147" s="59"/>
      <c r="M147" s="59"/>
      <c r="N147" s="59"/>
      <c r="O147" s="59"/>
      <c r="P147" s="59"/>
      <c r="Q147" s="59"/>
      <c r="R147" s="59"/>
      <c r="S147" s="59"/>
      <c r="T147" s="59"/>
      <c r="U147" s="59"/>
      <c r="V147" s="59"/>
      <c r="W147" s="59"/>
      <c r="X147" s="59"/>
      <c r="Y147" s="59"/>
      <c r="Z147" s="59"/>
      <c r="AA147" s="59"/>
      <c r="AB147" s="59"/>
    </row>
    <row r="148" customFormat="false" ht="15.75" hidden="false" customHeight="false" outlineLevel="0" collapsed="false">
      <c r="A148" s="71"/>
      <c r="B148" s="71"/>
      <c r="C148" s="6" t="s">
        <v>19</v>
      </c>
      <c r="D148" s="49"/>
      <c r="E148" s="73" t="n">
        <f aca="false">IFERROR(__xludf.dummyfunction("COUNTA(SPLIT(D148,"" ""))/COUNTA(SPLIT($B$47,"" ""))"),0.00476190476190476)</f>
        <v>0.004761904762</v>
      </c>
      <c r="F148" s="6"/>
      <c r="G148" s="6"/>
      <c r="H148" s="6"/>
      <c r="I148" s="6"/>
      <c r="J148" s="6"/>
      <c r="K148" s="51"/>
      <c r="L148" s="51"/>
      <c r="M148" s="51"/>
      <c r="N148" s="51"/>
      <c r="O148" s="51"/>
      <c r="P148" s="51"/>
      <c r="Q148" s="51"/>
      <c r="R148" s="51"/>
      <c r="S148" s="51"/>
      <c r="T148" s="51"/>
      <c r="U148" s="51"/>
      <c r="V148" s="51"/>
      <c r="W148" s="51"/>
      <c r="X148" s="51"/>
      <c r="Y148" s="51"/>
      <c r="Z148" s="51"/>
      <c r="AA148" s="51"/>
      <c r="AB148" s="51"/>
    </row>
    <row r="149" customFormat="false" ht="15.75" hidden="false" customHeight="false" outlineLevel="0" collapsed="false">
      <c r="A149" s="71"/>
      <c r="B149" s="71"/>
      <c r="C149" s="6" t="s">
        <v>8</v>
      </c>
      <c r="D149" s="49"/>
      <c r="E149" s="74" t="n">
        <f aca="false">IFERROR(__xludf.dummyfunction("COUNTA(SPLIT(D149,"" ""))/COUNTA(SPLIT($B$47,"" ""))"),0.00476190476190476)</f>
        <v>0.004761904762</v>
      </c>
      <c r="F149" s="6"/>
      <c r="G149" s="6"/>
      <c r="H149" s="6"/>
      <c r="I149" s="6"/>
      <c r="J149" s="6"/>
      <c r="K149" s="51"/>
      <c r="L149" s="51"/>
      <c r="M149" s="51"/>
      <c r="N149" s="51"/>
      <c r="O149" s="51"/>
      <c r="P149" s="51"/>
      <c r="Q149" s="51"/>
      <c r="R149" s="51"/>
      <c r="S149" s="51"/>
      <c r="T149" s="51"/>
      <c r="U149" s="51"/>
      <c r="V149" s="51"/>
      <c r="W149" s="51"/>
      <c r="X149" s="51"/>
      <c r="Y149" s="51"/>
      <c r="Z149" s="51"/>
      <c r="AA149" s="51"/>
      <c r="AB149" s="51"/>
    </row>
    <row r="150" customFormat="false" ht="15.75" hidden="false" customHeight="false" outlineLevel="0" collapsed="false">
      <c r="A150" s="71"/>
      <c r="B150" s="71"/>
      <c r="C150" s="6" t="s">
        <v>20</v>
      </c>
      <c r="D150" s="49"/>
      <c r="E150" s="75" t="n">
        <f aca="false">IFERROR(__xludf.dummyfunction("COUNTA(SPLIT(D150,"" ""))/COUNTA(SPLIT($B$47,"" ""))"),0.00476190476190476)</f>
        <v>0.004761904762</v>
      </c>
      <c r="F150" s="6"/>
      <c r="G150" s="6"/>
      <c r="H150" s="6"/>
      <c r="I150" s="6"/>
      <c r="J150" s="6"/>
      <c r="K150" s="51"/>
      <c r="L150" s="51"/>
      <c r="M150" s="51"/>
      <c r="N150" s="51"/>
      <c r="O150" s="51"/>
      <c r="P150" s="51"/>
      <c r="Q150" s="51"/>
      <c r="R150" s="51"/>
      <c r="S150" s="51"/>
      <c r="T150" s="51"/>
      <c r="U150" s="51"/>
      <c r="V150" s="51"/>
      <c r="W150" s="51"/>
      <c r="X150" s="51"/>
      <c r="Y150" s="51"/>
      <c r="Z150" s="51"/>
      <c r="AA150" s="51"/>
      <c r="AB150" s="51"/>
    </row>
    <row r="151" customFormat="false" ht="15.75" hidden="false" customHeight="false" outlineLevel="0" collapsed="false">
      <c r="A151" s="51"/>
      <c r="B151" s="51"/>
      <c r="C151" s="6"/>
      <c r="D151" s="49"/>
      <c r="E151" s="51"/>
      <c r="F151" s="6"/>
      <c r="G151" s="6"/>
      <c r="H151" s="6"/>
      <c r="I151" s="6"/>
      <c r="J151" s="6"/>
      <c r="K151" s="51"/>
      <c r="L151" s="51"/>
      <c r="M151" s="51"/>
      <c r="N151" s="51"/>
      <c r="O151" s="51"/>
      <c r="P151" s="51"/>
      <c r="Q151" s="51"/>
      <c r="R151" s="51"/>
      <c r="S151" s="51"/>
      <c r="T151" s="51"/>
      <c r="U151" s="51"/>
      <c r="V151" s="51"/>
      <c r="W151" s="51"/>
      <c r="X151" s="51"/>
      <c r="Y151" s="51"/>
      <c r="Z151" s="51"/>
      <c r="AA151" s="51"/>
      <c r="AB151" s="51"/>
    </row>
    <row r="152" customFormat="false" ht="15.75" hidden="false" customHeight="false" outlineLevel="0" collapsed="false">
      <c r="A152" s="71"/>
      <c r="B152" s="55"/>
      <c r="C152" s="56" t="s">
        <v>18</v>
      </c>
      <c r="D152" s="57"/>
      <c r="E152" s="72" t="n">
        <f aca="false">IFERROR(__xludf.dummyfunction("COUNTA(SPLIT(D152,"" ""))/COUNTA(SPLIT($B$47,"" ""))"),0.00476190476190476)</f>
        <v>0.004761904762</v>
      </c>
      <c r="F152" s="56"/>
      <c r="G152" s="56"/>
      <c r="H152" s="56"/>
      <c r="I152" s="56"/>
      <c r="J152" s="56"/>
      <c r="K152" s="59"/>
      <c r="L152" s="59"/>
      <c r="M152" s="59"/>
      <c r="N152" s="59"/>
      <c r="O152" s="59"/>
      <c r="P152" s="59"/>
      <c r="Q152" s="59"/>
      <c r="R152" s="59"/>
      <c r="S152" s="59"/>
      <c r="T152" s="59"/>
      <c r="U152" s="59"/>
      <c r="V152" s="59"/>
      <c r="W152" s="59"/>
      <c r="X152" s="59"/>
      <c r="Y152" s="59"/>
      <c r="Z152" s="59"/>
      <c r="AA152" s="59"/>
      <c r="AB152" s="59"/>
    </row>
    <row r="153" customFormat="false" ht="15.75" hidden="false" customHeight="false" outlineLevel="0" collapsed="false">
      <c r="A153" s="71"/>
      <c r="B153" s="71"/>
      <c r="C153" s="6" t="s">
        <v>19</v>
      </c>
      <c r="D153" s="49"/>
      <c r="E153" s="73" t="n">
        <f aca="false">IFERROR(__xludf.dummyfunction("COUNTA(SPLIT(D153,"" ""))/COUNTA(SPLIT($B$47,"" ""))"),0.00476190476190476)</f>
        <v>0.004761904762</v>
      </c>
      <c r="F153" s="6"/>
      <c r="G153" s="6"/>
      <c r="H153" s="6"/>
      <c r="I153" s="6"/>
      <c r="J153" s="6"/>
      <c r="K153" s="51"/>
      <c r="L153" s="51"/>
      <c r="M153" s="51"/>
      <c r="N153" s="51"/>
      <c r="O153" s="51"/>
      <c r="P153" s="51"/>
      <c r="Q153" s="51"/>
      <c r="R153" s="51"/>
      <c r="S153" s="51"/>
      <c r="T153" s="51"/>
      <c r="U153" s="51"/>
      <c r="V153" s="51"/>
      <c r="W153" s="51"/>
      <c r="X153" s="51"/>
      <c r="Y153" s="51"/>
      <c r="Z153" s="51"/>
      <c r="AA153" s="51"/>
      <c r="AB153" s="51"/>
    </row>
    <row r="154" customFormat="false" ht="15.75" hidden="false" customHeight="false" outlineLevel="0" collapsed="false">
      <c r="A154" s="71"/>
      <c r="B154" s="71"/>
      <c r="C154" s="6" t="s">
        <v>8</v>
      </c>
      <c r="D154" s="49"/>
      <c r="E154" s="74" t="n">
        <f aca="false">IFERROR(__xludf.dummyfunction("COUNTA(SPLIT(D154,"" ""))/COUNTA(SPLIT($B$47,"" ""))"),0.00476190476190476)</f>
        <v>0.004761904762</v>
      </c>
      <c r="F154" s="6"/>
      <c r="G154" s="6"/>
      <c r="H154" s="6"/>
      <c r="I154" s="6"/>
      <c r="J154" s="6"/>
      <c r="K154" s="51"/>
      <c r="L154" s="51"/>
      <c r="M154" s="51"/>
      <c r="N154" s="51"/>
      <c r="O154" s="51"/>
      <c r="P154" s="51"/>
      <c r="Q154" s="51"/>
      <c r="R154" s="51"/>
      <c r="S154" s="51"/>
      <c r="T154" s="51"/>
      <c r="U154" s="51"/>
      <c r="V154" s="51"/>
      <c r="W154" s="51"/>
      <c r="X154" s="51"/>
      <c r="Y154" s="51"/>
      <c r="Z154" s="51"/>
      <c r="AA154" s="51"/>
      <c r="AB154" s="51"/>
    </row>
    <row r="155" customFormat="false" ht="15.75" hidden="false" customHeight="false" outlineLevel="0" collapsed="false">
      <c r="A155" s="71"/>
      <c r="B155" s="71"/>
      <c r="C155" s="6" t="s">
        <v>20</v>
      </c>
      <c r="D155" s="49"/>
      <c r="E155" s="75" t="n">
        <f aca="false">IFERROR(__xludf.dummyfunction("COUNTA(SPLIT(D155,"" ""))/COUNTA(SPLIT($B$47,"" ""))"),0.00476190476190476)</f>
        <v>0.004761904762</v>
      </c>
      <c r="F155" s="6"/>
      <c r="G155" s="6"/>
      <c r="H155" s="6"/>
      <c r="I155" s="6"/>
      <c r="J155" s="6"/>
      <c r="K155" s="51"/>
      <c r="L155" s="51"/>
      <c r="M155" s="51"/>
      <c r="N155" s="51"/>
      <c r="O155" s="51"/>
      <c r="P155" s="51"/>
      <c r="Q155" s="51"/>
      <c r="R155" s="51"/>
      <c r="S155" s="51"/>
      <c r="T155" s="51"/>
      <c r="U155" s="51"/>
      <c r="V155" s="51"/>
      <c r="W155" s="51"/>
      <c r="X155" s="51"/>
      <c r="Y155" s="51"/>
      <c r="Z155" s="51"/>
      <c r="AA155" s="51"/>
      <c r="AB155" s="51"/>
    </row>
    <row r="156" customFormat="false" ht="15.75" hidden="false" customHeight="false" outlineLevel="0" collapsed="false">
      <c r="A156" s="51"/>
      <c r="B156" s="51"/>
      <c r="C156" s="6"/>
      <c r="D156" s="49"/>
      <c r="E156" s="51"/>
      <c r="F156" s="6"/>
      <c r="G156" s="6"/>
      <c r="H156" s="6"/>
      <c r="I156" s="6"/>
      <c r="J156" s="6"/>
      <c r="K156" s="51"/>
      <c r="L156" s="51"/>
      <c r="M156" s="51"/>
      <c r="N156" s="51"/>
      <c r="O156" s="51"/>
      <c r="P156" s="51"/>
      <c r="Q156" s="51"/>
      <c r="R156" s="51"/>
      <c r="S156" s="51"/>
      <c r="T156" s="51"/>
      <c r="U156" s="51"/>
      <c r="V156" s="51"/>
      <c r="W156" s="51"/>
      <c r="X156" s="51"/>
      <c r="Y156" s="51"/>
      <c r="Z156" s="51"/>
      <c r="AA156" s="51"/>
      <c r="AB156" s="51"/>
    </row>
    <row r="157" customFormat="false" ht="15.75" hidden="false" customHeight="false" outlineLevel="0" collapsed="false">
      <c r="A157" s="71"/>
      <c r="B157" s="55"/>
      <c r="C157" s="56" t="s">
        <v>18</v>
      </c>
      <c r="D157" s="57"/>
      <c r="E157" s="72" t="n">
        <f aca="false">IFERROR(__xludf.dummyfunction("COUNTA(SPLIT(D157,"" ""))/COUNTA(SPLIT($B$47,"" ""))"),0.00476190476190476)</f>
        <v>0.004761904762</v>
      </c>
      <c r="F157" s="56"/>
      <c r="G157" s="56"/>
      <c r="H157" s="56"/>
      <c r="I157" s="56"/>
      <c r="J157" s="56"/>
      <c r="K157" s="59"/>
      <c r="L157" s="59"/>
      <c r="M157" s="59"/>
      <c r="N157" s="59"/>
      <c r="O157" s="59"/>
      <c r="P157" s="59"/>
      <c r="Q157" s="59"/>
      <c r="R157" s="59"/>
      <c r="S157" s="59"/>
      <c r="T157" s="59"/>
      <c r="U157" s="59"/>
      <c r="V157" s="59"/>
      <c r="W157" s="59"/>
      <c r="X157" s="59"/>
      <c r="Y157" s="59"/>
      <c r="Z157" s="59"/>
      <c r="AA157" s="59"/>
      <c r="AB157" s="59"/>
    </row>
    <row r="158" customFormat="false" ht="15.75" hidden="false" customHeight="false" outlineLevel="0" collapsed="false">
      <c r="A158" s="71"/>
      <c r="B158" s="71"/>
      <c r="C158" s="6" t="s">
        <v>19</v>
      </c>
      <c r="D158" s="49"/>
      <c r="E158" s="73" t="n">
        <f aca="false">IFERROR(__xludf.dummyfunction("COUNTA(SPLIT(D158,"" ""))/COUNTA(SPLIT($B$47,"" ""))"),0.00476190476190476)</f>
        <v>0.004761904762</v>
      </c>
      <c r="F158" s="6"/>
      <c r="G158" s="6"/>
      <c r="H158" s="6"/>
      <c r="I158" s="6"/>
      <c r="J158" s="6"/>
      <c r="K158" s="51"/>
      <c r="L158" s="51"/>
      <c r="M158" s="51"/>
      <c r="N158" s="51"/>
      <c r="O158" s="51"/>
      <c r="P158" s="51"/>
      <c r="Q158" s="51"/>
      <c r="R158" s="51"/>
      <c r="S158" s="51"/>
      <c r="T158" s="51"/>
      <c r="U158" s="51"/>
      <c r="V158" s="51"/>
      <c r="W158" s="51"/>
      <c r="X158" s="51"/>
      <c r="Y158" s="51"/>
      <c r="Z158" s="51"/>
      <c r="AA158" s="51"/>
      <c r="AB158" s="51"/>
    </row>
    <row r="159" customFormat="false" ht="15.75" hidden="false" customHeight="false" outlineLevel="0" collapsed="false">
      <c r="A159" s="71"/>
      <c r="B159" s="71"/>
      <c r="C159" s="6" t="s">
        <v>8</v>
      </c>
      <c r="D159" s="49"/>
      <c r="E159" s="74" t="n">
        <f aca="false">IFERROR(__xludf.dummyfunction("COUNTA(SPLIT(D159,"" ""))/COUNTA(SPLIT($B$47,"" ""))"),0.00476190476190476)</f>
        <v>0.004761904762</v>
      </c>
      <c r="F159" s="6"/>
      <c r="G159" s="6"/>
      <c r="H159" s="6"/>
      <c r="I159" s="6"/>
      <c r="J159" s="6"/>
      <c r="K159" s="51"/>
      <c r="L159" s="51"/>
      <c r="M159" s="51"/>
      <c r="N159" s="51"/>
      <c r="O159" s="51"/>
      <c r="P159" s="51"/>
      <c r="Q159" s="51"/>
      <c r="R159" s="51"/>
      <c r="S159" s="51"/>
      <c r="T159" s="51"/>
      <c r="U159" s="51"/>
      <c r="V159" s="51"/>
      <c r="W159" s="51"/>
      <c r="X159" s="51"/>
      <c r="Y159" s="51"/>
      <c r="Z159" s="51"/>
      <c r="AA159" s="51"/>
      <c r="AB159" s="51"/>
    </row>
    <row r="160" customFormat="false" ht="15.75" hidden="false" customHeight="false" outlineLevel="0" collapsed="false">
      <c r="A160" s="71"/>
      <c r="B160" s="71"/>
      <c r="C160" s="6" t="s">
        <v>20</v>
      </c>
      <c r="D160" s="49"/>
      <c r="E160" s="75" t="n">
        <f aca="false">IFERROR(__xludf.dummyfunction("COUNTA(SPLIT(D160,"" ""))/COUNTA(SPLIT($B$47,"" ""))"),0.00476190476190476)</f>
        <v>0.004761904762</v>
      </c>
      <c r="F160" s="6"/>
      <c r="G160" s="6"/>
      <c r="H160" s="6"/>
      <c r="I160" s="6"/>
      <c r="J160" s="6"/>
      <c r="K160" s="51"/>
      <c r="L160" s="51"/>
      <c r="M160" s="51"/>
      <c r="N160" s="51"/>
      <c r="O160" s="51"/>
      <c r="P160" s="51"/>
      <c r="Q160" s="51"/>
      <c r="R160" s="51"/>
      <c r="S160" s="51"/>
      <c r="T160" s="51"/>
      <c r="U160" s="51"/>
      <c r="V160" s="51"/>
      <c r="W160" s="51"/>
      <c r="X160" s="51"/>
      <c r="Y160" s="51"/>
      <c r="Z160" s="51"/>
      <c r="AA160" s="51"/>
      <c r="AB160" s="51"/>
    </row>
    <row r="161" customFormat="false" ht="15.75" hidden="false" customHeight="false" outlineLevel="0" collapsed="false">
      <c r="A161" s="51"/>
      <c r="B161" s="51"/>
      <c r="C161" s="6"/>
      <c r="D161" s="49"/>
      <c r="E161" s="51"/>
      <c r="F161" s="6"/>
      <c r="G161" s="6"/>
      <c r="H161" s="6"/>
      <c r="I161" s="6"/>
      <c r="J161" s="6"/>
      <c r="K161" s="51"/>
      <c r="L161" s="51"/>
      <c r="M161" s="51"/>
      <c r="N161" s="51"/>
      <c r="O161" s="51"/>
      <c r="P161" s="51"/>
      <c r="Q161" s="51"/>
      <c r="R161" s="51"/>
      <c r="S161" s="51"/>
      <c r="T161" s="51"/>
      <c r="U161" s="51"/>
      <c r="V161" s="51"/>
      <c r="W161" s="51"/>
      <c r="X161" s="51"/>
      <c r="Y161" s="51"/>
      <c r="Z161" s="51"/>
      <c r="AA161" s="51"/>
      <c r="AB161" s="51"/>
    </row>
    <row r="162" customFormat="false" ht="15.75" hidden="false" customHeight="false" outlineLevel="0" collapsed="false">
      <c r="A162" s="71"/>
      <c r="B162" s="55"/>
      <c r="C162" s="56" t="s">
        <v>18</v>
      </c>
      <c r="D162" s="57"/>
      <c r="E162" s="72" t="n">
        <f aca="false">IFERROR(__xludf.dummyfunction("COUNTA(SPLIT(D162,"" ""))/COUNTA(SPLIT($B$47,"" ""))"),0.00476190476190476)</f>
        <v>0.004761904762</v>
      </c>
      <c r="F162" s="56"/>
      <c r="G162" s="56"/>
      <c r="H162" s="56"/>
      <c r="I162" s="56"/>
      <c r="J162" s="56"/>
      <c r="K162" s="59"/>
      <c r="L162" s="59"/>
      <c r="M162" s="59"/>
      <c r="N162" s="59"/>
      <c r="O162" s="59"/>
      <c r="P162" s="59"/>
      <c r="Q162" s="59"/>
      <c r="R162" s="59"/>
      <c r="S162" s="59"/>
      <c r="T162" s="59"/>
      <c r="U162" s="59"/>
      <c r="V162" s="59"/>
      <c r="W162" s="59"/>
      <c r="X162" s="59"/>
      <c r="Y162" s="59"/>
      <c r="Z162" s="59"/>
      <c r="AA162" s="59"/>
      <c r="AB162" s="59"/>
    </row>
    <row r="163" customFormat="false" ht="15.75" hidden="false" customHeight="false" outlineLevel="0" collapsed="false">
      <c r="A163" s="71"/>
      <c r="B163" s="71"/>
      <c r="C163" s="6" t="s">
        <v>19</v>
      </c>
      <c r="D163" s="49"/>
      <c r="E163" s="73" t="n">
        <f aca="false">IFERROR(__xludf.dummyfunction("COUNTA(SPLIT(D163,"" ""))/COUNTA(SPLIT($B$47,"" ""))"),0.00476190476190476)</f>
        <v>0.004761904762</v>
      </c>
      <c r="F163" s="6"/>
      <c r="G163" s="6"/>
      <c r="H163" s="6"/>
      <c r="I163" s="6"/>
      <c r="J163" s="6"/>
      <c r="K163" s="51"/>
      <c r="L163" s="51"/>
      <c r="M163" s="51"/>
      <c r="N163" s="51"/>
      <c r="O163" s="51"/>
      <c r="P163" s="51"/>
      <c r="Q163" s="51"/>
      <c r="R163" s="51"/>
      <c r="S163" s="51"/>
      <c r="T163" s="51"/>
      <c r="U163" s="51"/>
      <c r="V163" s="51"/>
      <c r="W163" s="51"/>
      <c r="X163" s="51"/>
      <c r="Y163" s="51"/>
      <c r="Z163" s="51"/>
      <c r="AA163" s="51"/>
      <c r="AB163" s="51"/>
    </row>
    <row r="164" customFormat="false" ht="15.75" hidden="false" customHeight="false" outlineLevel="0" collapsed="false">
      <c r="A164" s="71"/>
      <c r="B164" s="71"/>
      <c r="C164" s="6" t="s">
        <v>8</v>
      </c>
      <c r="D164" s="49"/>
      <c r="E164" s="74" t="n">
        <f aca="false">IFERROR(__xludf.dummyfunction("COUNTA(SPLIT(D164,"" ""))/COUNTA(SPLIT($B$47,"" ""))"),0.00476190476190476)</f>
        <v>0.004761904762</v>
      </c>
      <c r="F164" s="6"/>
      <c r="G164" s="6"/>
      <c r="H164" s="6"/>
      <c r="I164" s="6"/>
      <c r="J164" s="6"/>
      <c r="K164" s="51"/>
      <c r="L164" s="51"/>
      <c r="M164" s="51"/>
      <c r="N164" s="51"/>
      <c r="O164" s="51"/>
      <c r="P164" s="51"/>
      <c r="Q164" s="51"/>
      <c r="R164" s="51"/>
      <c r="S164" s="51"/>
      <c r="T164" s="51"/>
      <c r="U164" s="51"/>
      <c r="V164" s="51"/>
      <c r="W164" s="51"/>
      <c r="X164" s="51"/>
      <c r="Y164" s="51"/>
      <c r="Z164" s="51"/>
      <c r="AA164" s="51"/>
      <c r="AB164" s="51"/>
    </row>
    <row r="165" customFormat="false" ht="15.75" hidden="false" customHeight="false" outlineLevel="0" collapsed="false">
      <c r="A165" s="71"/>
      <c r="B165" s="71"/>
      <c r="C165" s="6" t="s">
        <v>20</v>
      </c>
      <c r="D165" s="49"/>
      <c r="E165" s="75" t="n">
        <f aca="false">IFERROR(__xludf.dummyfunction("COUNTA(SPLIT(D165,"" ""))/COUNTA(SPLIT($B$47,"" ""))"),0.00476190476190476)</f>
        <v>0.004761904762</v>
      </c>
      <c r="F165" s="6"/>
      <c r="G165" s="6"/>
      <c r="H165" s="6"/>
      <c r="I165" s="6"/>
      <c r="J165" s="6"/>
      <c r="K165" s="51"/>
      <c r="L165" s="51"/>
      <c r="M165" s="51"/>
      <c r="N165" s="51"/>
      <c r="O165" s="51"/>
      <c r="P165" s="51"/>
      <c r="Q165" s="51"/>
      <c r="R165" s="51"/>
      <c r="S165" s="51"/>
      <c r="T165" s="51"/>
      <c r="U165" s="51"/>
      <c r="V165" s="51"/>
      <c r="W165" s="51"/>
      <c r="X165" s="51"/>
      <c r="Y165" s="51"/>
      <c r="Z165" s="51"/>
      <c r="AA165" s="51"/>
      <c r="AB165" s="51"/>
    </row>
    <row r="166" customFormat="false" ht="15.75" hidden="false" customHeight="false" outlineLevel="0" collapsed="false">
      <c r="A166" s="51"/>
      <c r="B166" s="51"/>
      <c r="C166" s="6"/>
      <c r="D166" s="49"/>
      <c r="E166" s="51"/>
      <c r="F166" s="6"/>
      <c r="G166" s="6"/>
      <c r="H166" s="6"/>
      <c r="I166" s="6"/>
      <c r="J166" s="6"/>
      <c r="K166" s="51"/>
      <c r="L166" s="51"/>
      <c r="M166" s="51"/>
      <c r="N166" s="51"/>
      <c r="O166" s="51"/>
      <c r="P166" s="51"/>
      <c r="Q166" s="51"/>
      <c r="R166" s="51"/>
      <c r="S166" s="51"/>
      <c r="T166" s="51"/>
      <c r="U166" s="51"/>
      <c r="V166" s="51"/>
      <c r="W166" s="51"/>
      <c r="X166" s="51"/>
      <c r="Y166" s="51"/>
      <c r="Z166" s="51"/>
      <c r="AA166" s="51"/>
      <c r="AB166" s="51"/>
    </row>
    <row r="167" customFormat="false" ht="15.75" hidden="false" customHeight="false" outlineLevel="0" collapsed="false">
      <c r="A167" s="51"/>
      <c r="B167" s="51"/>
      <c r="C167" s="6"/>
      <c r="D167" s="49"/>
      <c r="E167" s="51"/>
      <c r="F167" s="6"/>
      <c r="G167" s="6"/>
      <c r="H167" s="6"/>
      <c r="I167" s="6"/>
      <c r="J167" s="6"/>
      <c r="K167" s="51"/>
      <c r="L167" s="51"/>
      <c r="M167" s="51"/>
      <c r="N167" s="51"/>
      <c r="O167" s="51"/>
      <c r="P167" s="51"/>
      <c r="Q167" s="51"/>
      <c r="R167" s="51"/>
      <c r="S167" s="51"/>
      <c r="T167" s="51"/>
      <c r="U167" s="51"/>
      <c r="V167" s="51"/>
      <c r="W167" s="51"/>
      <c r="X167" s="51"/>
      <c r="Y167" s="51"/>
      <c r="Z167" s="51"/>
      <c r="AA167" s="51"/>
      <c r="AB167" s="51"/>
    </row>
    <row r="168" customFormat="false" ht="15.75" hidden="false" customHeight="false" outlineLevel="0" collapsed="false">
      <c r="A168" s="51"/>
      <c r="B168" s="51"/>
      <c r="C168" s="6"/>
      <c r="D168" s="49"/>
      <c r="E168" s="51"/>
      <c r="F168" s="6"/>
      <c r="G168" s="6"/>
      <c r="H168" s="6"/>
      <c r="I168" s="6"/>
      <c r="J168" s="6"/>
      <c r="K168" s="51"/>
      <c r="L168" s="51"/>
      <c r="M168" s="51"/>
      <c r="N168" s="51"/>
      <c r="O168" s="51"/>
      <c r="P168" s="51"/>
      <c r="Q168" s="51"/>
      <c r="R168" s="51"/>
      <c r="S168" s="51"/>
      <c r="T168" s="51"/>
      <c r="U168" s="51"/>
      <c r="V168" s="51"/>
      <c r="W168" s="51"/>
      <c r="X168" s="51"/>
      <c r="Y168" s="51"/>
      <c r="Z168" s="51"/>
      <c r="AA168" s="51"/>
      <c r="AB168" s="51"/>
    </row>
    <row r="169" customFormat="false" ht="15.75" hidden="false" customHeight="false" outlineLevel="0" collapsed="false">
      <c r="A169" s="51"/>
      <c r="B169" s="51"/>
      <c r="C169" s="6"/>
      <c r="D169" s="49"/>
      <c r="E169" s="51"/>
      <c r="F169" s="6"/>
      <c r="G169" s="6"/>
      <c r="H169" s="6"/>
      <c r="I169" s="6"/>
      <c r="J169" s="6"/>
      <c r="K169" s="51"/>
      <c r="L169" s="51"/>
      <c r="M169" s="51"/>
      <c r="N169" s="51"/>
      <c r="O169" s="51"/>
      <c r="P169" s="51"/>
      <c r="Q169" s="51"/>
      <c r="R169" s="51"/>
      <c r="S169" s="51"/>
      <c r="T169" s="51"/>
      <c r="U169" s="51"/>
      <c r="V169" s="51"/>
      <c r="W169" s="51"/>
      <c r="X169" s="51"/>
      <c r="Y169" s="51"/>
      <c r="Z169" s="51"/>
      <c r="AA169" s="51"/>
      <c r="AB169" s="51"/>
    </row>
    <row r="170" customFormat="false" ht="15.75" hidden="false" customHeight="false" outlineLevel="0" collapsed="false">
      <c r="A170" s="51"/>
      <c r="B170" s="51"/>
      <c r="C170" s="6"/>
      <c r="D170" s="49"/>
      <c r="E170" s="51"/>
      <c r="F170" s="6"/>
      <c r="G170" s="6"/>
      <c r="H170" s="6"/>
      <c r="I170" s="6"/>
      <c r="J170" s="6"/>
      <c r="K170" s="51"/>
      <c r="L170" s="51"/>
      <c r="M170" s="51"/>
      <c r="N170" s="51"/>
      <c r="O170" s="51"/>
      <c r="P170" s="51"/>
      <c r="Q170" s="51"/>
      <c r="R170" s="51"/>
      <c r="S170" s="51"/>
      <c r="T170" s="51"/>
      <c r="U170" s="51"/>
      <c r="V170" s="51"/>
      <c r="W170" s="51"/>
      <c r="X170" s="51"/>
      <c r="Y170" s="51"/>
      <c r="Z170" s="51"/>
      <c r="AA170" s="51"/>
      <c r="AB170" s="51"/>
    </row>
    <row r="171" customFormat="false" ht="15.75" hidden="false" customHeight="false" outlineLevel="0" collapsed="false">
      <c r="A171" s="51"/>
      <c r="B171" s="51"/>
      <c r="C171" s="6"/>
      <c r="D171" s="49"/>
      <c r="E171" s="51"/>
      <c r="F171" s="6"/>
      <c r="G171" s="6"/>
      <c r="H171" s="6"/>
      <c r="I171" s="6"/>
      <c r="J171" s="6"/>
      <c r="K171" s="51"/>
      <c r="L171" s="51"/>
      <c r="M171" s="51"/>
      <c r="N171" s="51"/>
      <c r="O171" s="51"/>
      <c r="P171" s="51"/>
      <c r="Q171" s="51"/>
      <c r="R171" s="51"/>
      <c r="S171" s="51"/>
      <c r="T171" s="51"/>
      <c r="U171" s="51"/>
      <c r="V171" s="51"/>
      <c r="W171" s="51"/>
      <c r="X171" s="51"/>
      <c r="Y171" s="51"/>
      <c r="Z171" s="51"/>
      <c r="AA171" s="51"/>
      <c r="AB171" s="51"/>
    </row>
    <row r="172" customFormat="false" ht="15.75" hidden="false" customHeight="false" outlineLevel="0" collapsed="false">
      <c r="A172" s="51"/>
      <c r="B172" s="51"/>
      <c r="C172" s="6"/>
      <c r="D172" s="49"/>
      <c r="E172" s="51"/>
      <c r="F172" s="6"/>
      <c r="G172" s="6"/>
      <c r="H172" s="6"/>
      <c r="I172" s="6"/>
      <c r="J172" s="6"/>
      <c r="K172" s="51"/>
      <c r="L172" s="51"/>
      <c r="M172" s="51"/>
      <c r="N172" s="51"/>
      <c r="O172" s="51"/>
      <c r="P172" s="51"/>
      <c r="Q172" s="51"/>
      <c r="R172" s="51"/>
      <c r="S172" s="51"/>
      <c r="T172" s="51"/>
      <c r="U172" s="51"/>
      <c r="V172" s="51"/>
      <c r="W172" s="51"/>
      <c r="X172" s="51"/>
      <c r="Y172" s="51"/>
      <c r="Z172" s="51"/>
      <c r="AA172" s="51"/>
      <c r="AB172" s="51"/>
    </row>
    <row r="173" customFormat="false" ht="15.75" hidden="false" customHeight="false" outlineLevel="0" collapsed="false">
      <c r="A173" s="51"/>
      <c r="B173" s="51"/>
      <c r="C173" s="6"/>
      <c r="D173" s="49"/>
      <c r="E173" s="51"/>
      <c r="F173" s="6"/>
      <c r="G173" s="6"/>
      <c r="H173" s="6"/>
      <c r="I173" s="6"/>
      <c r="J173" s="6"/>
      <c r="K173" s="51"/>
      <c r="L173" s="51"/>
      <c r="M173" s="51"/>
      <c r="N173" s="51"/>
      <c r="O173" s="51"/>
      <c r="P173" s="51"/>
      <c r="Q173" s="51"/>
      <c r="R173" s="51"/>
      <c r="S173" s="51"/>
      <c r="T173" s="51"/>
      <c r="U173" s="51"/>
      <c r="V173" s="51"/>
      <c r="W173" s="51"/>
      <c r="X173" s="51"/>
      <c r="Y173" s="51"/>
      <c r="Z173" s="51"/>
      <c r="AA173" s="51"/>
      <c r="AB173" s="51"/>
    </row>
    <row r="174" customFormat="false" ht="15.75" hidden="false" customHeight="false" outlineLevel="0" collapsed="false">
      <c r="A174" s="51"/>
      <c r="B174" s="51"/>
      <c r="C174" s="6"/>
      <c r="D174" s="49"/>
      <c r="E174" s="51"/>
      <c r="F174" s="6"/>
      <c r="G174" s="6"/>
      <c r="H174" s="6"/>
      <c r="I174" s="6"/>
      <c r="J174" s="6"/>
      <c r="K174" s="51"/>
      <c r="L174" s="51"/>
      <c r="M174" s="51"/>
      <c r="N174" s="51"/>
      <c r="O174" s="51"/>
      <c r="P174" s="51"/>
      <c r="Q174" s="51"/>
      <c r="R174" s="51"/>
      <c r="S174" s="51"/>
      <c r="T174" s="51"/>
      <c r="U174" s="51"/>
      <c r="V174" s="51"/>
      <c r="W174" s="51"/>
      <c r="X174" s="51"/>
      <c r="Y174" s="51"/>
      <c r="Z174" s="51"/>
      <c r="AA174" s="51"/>
      <c r="AB174" s="51"/>
    </row>
    <row r="175" customFormat="false" ht="15.75" hidden="false" customHeight="false" outlineLevel="0" collapsed="false">
      <c r="A175" s="51"/>
      <c r="B175" s="51"/>
      <c r="C175" s="6"/>
      <c r="D175" s="49"/>
      <c r="E175" s="51"/>
      <c r="F175" s="6"/>
      <c r="G175" s="6"/>
      <c r="H175" s="6"/>
      <c r="I175" s="6"/>
      <c r="J175" s="6"/>
      <c r="K175" s="51"/>
      <c r="L175" s="51"/>
      <c r="M175" s="51"/>
      <c r="N175" s="51"/>
      <c r="O175" s="51"/>
      <c r="P175" s="51"/>
      <c r="Q175" s="51"/>
      <c r="R175" s="51"/>
      <c r="S175" s="51"/>
      <c r="T175" s="51"/>
      <c r="U175" s="51"/>
      <c r="V175" s="51"/>
      <c r="W175" s="51"/>
      <c r="X175" s="51"/>
      <c r="Y175" s="51"/>
      <c r="Z175" s="51"/>
      <c r="AA175" s="51"/>
      <c r="AB175" s="51"/>
    </row>
    <row r="176" customFormat="false" ht="15.75" hidden="false" customHeight="false" outlineLevel="0" collapsed="false">
      <c r="A176" s="51"/>
      <c r="B176" s="51"/>
      <c r="C176" s="6"/>
      <c r="D176" s="49"/>
      <c r="E176" s="51"/>
      <c r="F176" s="6"/>
      <c r="G176" s="6"/>
      <c r="H176" s="6"/>
      <c r="I176" s="6"/>
      <c r="J176" s="6"/>
      <c r="K176" s="51"/>
      <c r="L176" s="51"/>
      <c r="M176" s="51"/>
      <c r="N176" s="51"/>
      <c r="O176" s="51"/>
      <c r="P176" s="51"/>
      <c r="Q176" s="51"/>
      <c r="R176" s="51"/>
      <c r="S176" s="51"/>
      <c r="T176" s="51"/>
      <c r="U176" s="51"/>
      <c r="V176" s="51"/>
      <c r="W176" s="51"/>
      <c r="X176" s="51"/>
      <c r="Y176" s="51"/>
      <c r="Z176" s="51"/>
      <c r="AA176" s="51"/>
      <c r="AB176" s="51"/>
    </row>
    <row r="177" customFormat="false" ht="15.75" hidden="false" customHeight="false" outlineLevel="0" collapsed="false">
      <c r="A177" s="51"/>
      <c r="B177" s="51"/>
      <c r="C177" s="6"/>
      <c r="D177" s="49"/>
      <c r="E177" s="51"/>
      <c r="F177" s="6"/>
      <c r="G177" s="6"/>
      <c r="H177" s="6"/>
      <c r="I177" s="6"/>
      <c r="J177" s="6"/>
      <c r="K177" s="51"/>
      <c r="L177" s="51"/>
      <c r="M177" s="51"/>
      <c r="N177" s="51"/>
      <c r="O177" s="51"/>
      <c r="P177" s="51"/>
      <c r="Q177" s="51"/>
      <c r="R177" s="51"/>
      <c r="S177" s="51"/>
      <c r="T177" s="51"/>
      <c r="U177" s="51"/>
      <c r="V177" s="51"/>
      <c r="W177" s="51"/>
      <c r="X177" s="51"/>
      <c r="Y177" s="51"/>
      <c r="Z177" s="51"/>
      <c r="AA177" s="51"/>
      <c r="AB177" s="51"/>
    </row>
    <row r="178" customFormat="false" ht="15.75" hidden="false" customHeight="false" outlineLevel="0" collapsed="false">
      <c r="A178" s="51"/>
      <c r="B178" s="51"/>
      <c r="C178" s="6"/>
      <c r="D178" s="49"/>
      <c r="E178" s="51"/>
      <c r="F178" s="6"/>
      <c r="G178" s="6"/>
      <c r="H178" s="6"/>
      <c r="I178" s="6"/>
      <c r="J178" s="6"/>
      <c r="K178" s="51"/>
      <c r="L178" s="51"/>
      <c r="M178" s="51"/>
      <c r="N178" s="51"/>
      <c r="O178" s="51"/>
      <c r="P178" s="51"/>
      <c r="Q178" s="51"/>
      <c r="R178" s="51"/>
      <c r="S178" s="51"/>
      <c r="T178" s="51"/>
      <c r="U178" s="51"/>
      <c r="V178" s="51"/>
      <c r="W178" s="51"/>
      <c r="X178" s="51"/>
      <c r="Y178" s="51"/>
      <c r="Z178" s="51"/>
      <c r="AA178" s="51"/>
      <c r="AB178" s="51"/>
    </row>
    <row r="179" customFormat="false" ht="15.75" hidden="false" customHeight="false" outlineLevel="0" collapsed="false">
      <c r="A179" s="51"/>
      <c r="B179" s="51"/>
      <c r="C179" s="6"/>
      <c r="D179" s="49"/>
      <c r="E179" s="51"/>
      <c r="F179" s="6"/>
      <c r="G179" s="6"/>
      <c r="H179" s="6"/>
      <c r="I179" s="6"/>
      <c r="J179" s="6"/>
      <c r="K179" s="51"/>
      <c r="L179" s="51"/>
      <c r="M179" s="51"/>
      <c r="N179" s="51"/>
      <c r="O179" s="51"/>
      <c r="P179" s="51"/>
      <c r="Q179" s="51"/>
      <c r="R179" s="51"/>
      <c r="S179" s="51"/>
      <c r="T179" s="51"/>
      <c r="U179" s="51"/>
      <c r="V179" s="51"/>
      <c r="W179" s="51"/>
      <c r="X179" s="51"/>
      <c r="Y179" s="51"/>
      <c r="Z179" s="51"/>
      <c r="AA179" s="51"/>
      <c r="AB179" s="51"/>
    </row>
    <row r="180" customFormat="false" ht="15.75" hidden="false" customHeight="false" outlineLevel="0" collapsed="false">
      <c r="A180" s="51"/>
      <c r="B180" s="51"/>
      <c r="C180" s="6"/>
      <c r="D180" s="49"/>
      <c r="E180" s="51"/>
      <c r="F180" s="6"/>
      <c r="G180" s="6"/>
      <c r="H180" s="6"/>
      <c r="I180" s="6"/>
      <c r="J180" s="6"/>
      <c r="K180" s="51"/>
      <c r="L180" s="51"/>
      <c r="M180" s="51"/>
      <c r="N180" s="51"/>
      <c r="O180" s="51"/>
      <c r="P180" s="51"/>
      <c r="Q180" s="51"/>
      <c r="R180" s="51"/>
      <c r="S180" s="51"/>
      <c r="T180" s="51"/>
      <c r="U180" s="51"/>
      <c r="V180" s="51"/>
      <c r="W180" s="51"/>
      <c r="X180" s="51"/>
      <c r="Y180" s="51"/>
      <c r="Z180" s="51"/>
      <c r="AA180" s="51"/>
      <c r="AB180" s="51"/>
    </row>
    <row r="181" customFormat="false" ht="15.75" hidden="false" customHeight="false" outlineLevel="0" collapsed="false">
      <c r="A181" s="51"/>
      <c r="B181" s="51"/>
      <c r="C181" s="6"/>
      <c r="D181" s="49"/>
      <c r="E181" s="51"/>
      <c r="F181" s="6"/>
      <c r="G181" s="6"/>
      <c r="H181" s="6"/>
      <c r="I181" s="6"/>
      <c r="J181" s="6"/>
      <c r="K181" s="51"/>
      <c r="L181" s="51"/>
      <c r="M181" s="51"/>
      <c r="N181" s="51"/>
      <c r="O181" s="51"/>
      <c r="P181" s="51"/>
      <c r="Q181" s="51"/>
      <c r="R181" s="51"/>
      <c r="S181" s="51"/>
      <c r="T181" s="51"/>
      <c r="U181" s="51"/>
      <c r="V181" s="51"/>
      <c r="W181" s="51"/>
      <c r="X181" s="51"/>
      <c r="Y181" s="51"/>
      <c r="Z181" s="51"/>
      <c r="AA181" s="51"/>
      <c r="AB181" s="51"/>
    </row>
    <row r="182" customFormat="false" ht="15.75" hidden="false" customHeight="false" outlineLevel="0" collapsed="false">
      <c r="A182" s="51"/>
      <c r="B182" s="51"/>
      <c r="C182" s="6"/>
      <c r="D182" s="49"/>
      <c r="E182" s="51"/>
      <c r="F182" s="6"/>
      <c r="G182" s="6"/>
      <c r="H182" s="6"/>
      <c r="I182" s="6"/>
      <c r="J182" s="6"/>
      <c r="K182" s="51"/>
      <c r="L182" s="51"/>
      <c r="M182" s="51"/>
      <c r="N182" s="51"/>
      <c r="O182" s="51"/>
      <c r="P182" s="51"/>
      <c r="Q182" s="51"/>
      <c r="R182" s="51"/>
      <c r="S182" s="51"/>
      <c r="T182" s="51"/>
      <c r="U182" s="51"/>
      <c r="V182" s="51"/>
      <c r="W182" s="51"/>
      <c r="X182" s="51"/>
      <c r="Y182" s="51"/>
      <c r="Z182" s="51"/>
      <c r="AA182" s="51"/>
      <c r="AB182" s="51"/>
    </row>
    <row r="183" customFormat="false" ht="15.75" hidden="false" customHeight="false" outlineLevel="0" collapsed="false">
      <c r="A183" s="51"/>
      <c r="B183" s="51"/>
      <c r="C183" s="6"/>
      <c r="D183" s="49"/>
      <c r="E183" s="51"/>
      <c r="F183" s="6"/>
      <c r="G183" s="6"/>
      <c r="H183" s="6"/>
      <c r="I183" s="6"/>
      <c r="J183" s="6"/>
      <c r="K183" s="51"/>
      <c r="L183" s="51"/>
      <c r="M183" s="51"/>
      <c r="N183" s="51"/>
      <c r="O183" s="51"/>
      <c r="P183" s="51"/>
      <c r="Q183" s="51"/>
      <c r="R183" s="51"/>
      <c r="S183" s="51"/>
      <c r="T183" s="51"/>
      <c r="U183" s="51"/>
      <c r="V183" s="51"/>
      <c r="W183" s="51"/>
      <c r="X183" s="51"/>
      <c r="Y183" s="51"/>
      <c r="Z183" s="51"/>
      <c r="AA183" s="51"/>
      <c r="AB183" s="51"/>
    </row>
    <row r="184" customFormat="false" ht="15.75" hidden="false" customHeight="false" outlineLevel="0" collapsed="false">
      <c r="A184" s="51"/>
      <c r="B184" s="51"/>
      <c r="C184" s="6"/>
      <c r="D184" s="49"/>
      <c r="E184" s="51"/>
      <c r="F184" s="6"/>
      <c r="G184" s="6"/>
      <c r="H184" s="6"/>
      <c r="I184" s="6"/>
      <c r="J184" s="6"/>
      <c r="K184" s="51"/>
      <c r="L184" s="51"/>
      <c r="M184" s="51"/>
      <c r="N184" s="51"/>
      <c r="O184" s="51"/>
      <c r="P184" s="51"/>
      <c r="Q184" s="51"/>
      <c r="R184" s="51"/>
      <c r="S184" s="51"/>
      <c r="T184" s="51"/>
      <c r="U184" s="51"/>
      <c r="V184" s="51"/>
      <c r="W184" s="51"/>
      <c r="X184" s="51"/>
      <c r="Y184" s="51"/>
      <c r="Z184" s="51"/>
      <c r="AA184" s="51"/>
      <c r="AB184" s="51"/>
    </row>
    <row r="185" customFormat="false" ht="15.75" hidden="false" customHeight="false" outlineLevel="0" collapsed="false">
      <c r="A185" s="51"/>
      <c r="B185" s="51"/>
      <c r="C185" s="6"/>
      <c r="D185" s="49"/>
      <c r="E185" s="51"/>
      <c r="F185" s="6"/>
      <c r="G185" s="6"/>
      <c r="H185" s="6"/>
      <c r="I185" s="6"/>
      <c r="J185" s="6"/>
      <c r="K185" s="51"/>
      <c r="L185" s="51"/>
      <c r="M185" s="51"/>
      <c r="N185" s="51"/>
      <c r="O185" s="51"/>
      <c r="P185" s="51"/>
      <c r="Q185" s="51"/>
      <c r="R185" s="51"/>
      <c r="S185" s="51"/>
      <c r="T185" s="51"/>
      <c r="U185" s="51"/>
      <c r="V185" s="51"/>
      <c r="W185" s="51"/>
      <c r="X185" s="51"/>
      <c r="Y185" s="51"/>
      <c r="Z185" s="51"/>
      <c r="AA185" s="51"/>
      <c r="AB185" s="51"/>
    </row>
    <row r="186" customFormat="false" ht="15.75" hidden="false" customHeight="false" outlineLevel="0" collapsed="false">
      <c r="A186" s="51"/>
      <c r="B186" s="51"/>
      <c r="C186" s="6"/>
      <c r="D186" s="49"/>
      <c r="E186" s="51"/>
      <c r="F186" s="6"/>
      <c r="G186" s="6"/>
      <c r="H186" s="6"/>
      <c r="I186" s="6"/>
      <c r="J186" s="6"/>
      <c r="K186" s="51"/>
      <c r="L186" s="51"/>
      <c r="M186" s="51"/>
      <c r="N186" s="51"/>
      <c r="O186" s="51"/>
      <c r="P186" s="51"/>
      <c r="Q186" s="51"/>
      <c r="R186" s="51"/>
      <c r="S186" s="51"/>
      <c r="T186" s="51"/>
      <c r="U186" s="51"/>
      <c r="V186" s="51"/>
      <c r="W186" s="51"/>
      <c r="X186" s="51"/>
      <c r="Y186" s="51"/>
      <c r="Z186" s="51"/>
      <c r="AA186" s="51"/>
      <c r="AB186" s="51"/>
    </row>
    <row r="187" customFormat="false" ht="15.75" hidden="false" customHeight="false" outlineLevel="0" collapsed="false">
      <c r="A187" s="51"/>
      <c r="B187" s="51"/>
      <c r="C187" s="6"/>
      <c r="D187" s="49"/>
      <c r="E187" s="51"/>
      <c r="F187" s="6"/>
      <c r="G187" s="6"/>
      <c r="H187" s="6"/>
      <c r="I187" s="6"/>
      <c r="J187" s="6"/>
      <c r="K187" s="51"/>
      <c r="L187" s="51"/>
      <c r="M187" s="51"/>
      <c r="N187" s="51"/>
      <c r="O187" s="51"/>
      <c r="P187" s="51"/>
      <c r="Q187" s="51"/>
      <c r="R187" s="51"/>
      <c r="S187" s="51"/>
      <c r="T187" s="51"/>
      <c r="U187" s="51"/>
      <c r="V187" s="51"/>
      <c r="W187" s="51"/>
      <c r="X187" s="51"/>
      <c r="Y187" s="51"/>
      <c r="Z187" s="51"/>
      <c r="AA187" s="51"/>
      <c r="AB187" s="51"/>
    </row>
    <row r="188" customFormat="false" ht="15.75" hidden="false" customHeight="false" outlineLevel="0" collapsed="false">
      <c r="A188" s="51"/>
      <c r="B188" s="51"/>
      <c r="C188" s="6"/>
      <c r="D188" s="49"/>
      <c r="E188" s="51"/>
      <c r="F188" s="6"/>
      <c r="G188" s="6"/>
      <c r="H188" s="6"/>
      <c r="I188" s="6"/>
      <c r="J188" s="6"/>
      <c r="K188" s="51"/>
      <c r="L188" s="51"/>
      <c r="M188" s="51"/>
      <c r="N188" s="51"/>
      <c r="O188" s="51"/>
      <c r="P188" s="51"/>
      <c r="Q188" s="51"/>
      <c r="R188" s="51"/>
      <c r="S188" s="51"/>
      <c r="T188" s="51"/>
      <c r="U188" s="51"/>
      <c r="V188" s="51"/>
      <c r="W188" s="51"/>
      <c r="X188" s="51"/>
      <c r="Y188" s="51"/>
      <c r="Z188" s="51"/>
      <c r="AA188" s="51"/>
      <c r="AB188" s="51"/>
    </row>
    <row r="189" customFormat="false" ht="15.75" hidden="false" customHeight="false" outlineLevel="0" collapsed="false">
      <c r="A189" s="51"/>
      <c r="B189" s="51"/>
      <c r="C189" s="6"/>
      <c r="D189" s="49"/>
      <c r="E189" s="51"/>
      <c r="F189" s="6"/>
      <c r="G189" s="6"/>
      <c r="H189" s="6"/>
      <c r="I189" s="6"/>
      <c r="J189" s="6"/>
      <c r="K189" s="51"/>
      <c r="L189" s="51"/>
      <c r="M189" s="51"/>
      <c r="N189" s="51"/>
      <c r="O189" s="51"/>
      <c r="P189" s="51"/>
      <c r="Q189" s="51"/>
      <c r="R189" s="51"/>
      <c r="S189" s="51"/>
      <c r="T189" s="51"/>
      <c r="U189" s="51"/>
      <c r="V189" s="51"/>
      <c r="W189" s="51"/>
      <c r="X189" s="51"/>
      <c r="Y189" s="51"/>
      <c r="Z189" s="51"/>
      <c r="AA189" s="51"/>
      <c r="AB189" s="51"/>
    </row>
    <row r="190" customFormat="false" ht="15.75" hidden="false" customHeight="false" outlineLevel="0" collapsed="false">
      <c r="A190" s="51"/>
      <c r="B190" s="51"/>
      <c r="C190" s="6"/>
      <c r="D190" s="49"/>
      <c r="E190" s="51"/>
      <c r="F190" s="6"/>
      <c r="G190" s="6"/>
      <c r="H190" s="6"/>
      <c r="I190" s="6"/>
      <c r="J190" s="6"/>
      <c r="K190" s="51"/>
      <c r="L190" s="51"/>
      <c r="M190" s="51"/>
      <c r="N190" s="51"/>
      <c r="O190" s="51"/>
      <c r="P190" s="51"/>
      <c r="Q190" s="51"/>
      <c r="R190" s="51"/>
      <c r="S190" s="51"/>
      <c r="T190" s="51"/>
      <c r="U190" s="51"/>
      <c r="V190" s="51"/>
      <c r="W190" s="51"/>
      <c r="X190" s="51"/>
      <c r="Y190" s="51"/>
      <c r="Z190" s="51"/>
      <c r="AA190" s="51"/>
      <c r="AB190" s="51"/>
    </row>
    <row r="191" customFormat="false" ht="15.75" hidden="false" customHeight="false" outlineLevel="0" collapsed="false">
      <c r="A191" s="51"/>
      <c r="B191" s="51"/>
      <c r="C191" s="6"/>
      <c r="D191" s="49"/>
      <c r="E191" s="51"/>
      <c r="F191" s="6"/>
      <c r="G191" s="6"/>
      <c r="H191" s="6"/>
      <c r="I191" s="6"/>
      <c r="J191" s="6"/>
      <c r="K191" s="51"/>
      <c r="L191" s="51"/>
      <c r="M191" s="51"/>
      <c r="N191" s="51"/>
      <c r="O191" s="51"/>
      <c r="P191" s="51"/>
      <c r="Q191" s="51"/>
      <c r="R191" s="51"/>
      <c r="S191" s="51"/>
      <c r="T191" s="51"/>
      <c r="U191" s="51"/>
      <c r="V191" s="51"/>
      <c r="W191" s="51"/>
      <c r="X191" s="51"/>
      <c r="Y191" s="51"/>
      <c r="Z191" s="51"/>
      <c r="AA191" s="51"/>
      <c r="AB191" s="51"/>
    </row>
    <row r="192" customFormat="false" ht="15.75" hidden="false" customHeight="false" outlineLevel="0" collapsed="false">
      <c r="A192" s="51"/>
      <c r="B192" s="51"/>
      <c r="C192" s="6"/>
      <c r="D192" s="49"/>
      <c r="E192" s="51"/>
      <c r="F192" s="6"/>
      <c r="G192" s="6"/>
      <c r="H192" s="6"/>
      <c r="I192" s="6"/>
      <c r="J192" s="6"/>
      <c r="K192" s="51"/>
      <c r="L192" s="51"/>
      <c r="M192" s="51"/>
      <c r="N192" s="51"/>
      <c r="O192" s="51"/>
      <c r="P192" s="51"/>
      <c r="Q192" s="51"/>
      <c r="R192" s="51"/>
      <c r="S192" s="51"/>
      <c r="T192" s="51"/>
      <c r="U192" s="51"/>
      <c r="V192" s="51"/>
      <c r="W192" s="51"/>
      <c r="X192" s="51"/>
      <c r="Y192" s="51"/>
      <c r="Z192" s="51"/>
      <c r="AA192" s="51"/>
      <c r="AB192" s="51"/>
    </row>
    <row r="193" customFormat="false" ht="15.75" hidden="false" customHeight="false" outlineLevel="0" collapsed="false">
      <c r="A193" s="51"/>
      <c r="B193" s="51"/>
      <c r="C193" s="6"/>
      <c r="D193" s="49"/>
      <c r="E193" s="51"/>
      <c r="F193" s="6"/>
      <c r="G193" s="6"/>
      <c r="H193" s="6"/>
      <c r="I193" s="6"/>
      <c r="J193" s="6"/>
      <c r="K193" s="51"/>
      <c r="L193" s="51"/>
      <c r="M193" s="51"/>
      <c r="N193" s="51"/>
      <c r="O193" s="51"/>
      <c r="P193" s="51"/>
      <c r="Q193" s="51"/>
      <c r="R193" s="51"/>
      <c r="S193" s="51"/>
      <c r="T193" s="51"/>
      <c r="U193" s="51"/>
      <c r="V193" s="51"/>
      <c r="W193" s="51"/>
      <c r="X193" s="51"/>
      <c r="Y193" s="51"/>
      <c r="Z193" s="51"/>
      <c r="AA193" s="51"/>
      <c r="AB193" s="51"/>
    </row>
    <row r="194" customFormat="false" ht="15.75" hidden="false" customHeight="false" outlineLevel="0" collapsed="false">
      <c r="A194" s="51"/>
      <c r="B194" s="51"/>
      <c r="C194" s="6"/>
      <c r="D194" s="49"/>
      <c r="E194" s="51"/>
      <c r="F194" s="6"/>
      <c r="G194" s="6"/>
      <c r="H194" s="6"/>
      <c r="I194" s="6"/>
      <c r="J194" s="6"/>
      <c r="K194" s="51"/>
      <c r="L194" s="51"/>
      <c r="M194" s="51"/>
      <c r="N194" s="51"/>
      <c r="O194" s="51"/>
      <c r="P194" s="51"/>
      <c r="Q194" s="51"/>
      <c r="R194" s="51"/>
      <c r="S194" s="51"/>
      <c r="T194" s="51"/>
      <c r="U194" s="51"/>
      <c r="V194" s="51"/>
      <c r="W194" s="51"/>
      <c r="X194" s="51"/>
      <c r="Y194" s="51"/>
      <c r="Z194" s="51"/>
      <c r="AA194" s="51"/>
      <c r="AB194" s="51"/>
    </row>
    <row r="195" customFormat="false" ht="15.75" hidden="false" customHeight="false" outlineLevel="0" collapsed="false">
      <c r="A195" s="51"/>
      <c r="B195" s="51"/>
      <c r="C195" s="6"/>
      <c r="D195" s="49"/>
      <c r="E195" s="51"/>
      <c r="F195" s="6"/>
      <c r="G195" s="6"/>
      <c r="H195" s="6"/>
      <c r="I195" s="6"/>
      <c r="J195" s="6"/>
      <c r="K195" s="51"/>
      <c r="L195" s="51"/>
      <c r="M195" s="51"/>
      <c r="N195" s="51"/>
      <c r="O195" s="51"/>
      <c r="P195" s="51"/>
      <c r="Q195" s="51"/>
      <c r="R195" s="51"/>
      <c r="S195" s="51"/>
      <c r="T195" s="51"/>
      <c r="U195" s="51"/>
      <c r="V195" s="51"/>
      <c r="W195" s="51"/>
      <c r="X195" s="51"/>
      <c r="Y195" s="51"/>
      <c r="Z195" s="51"/>
      <c r="AA195" s="51"/>
      <c r="AB195" s="51"/>
    </row>
    <row r="196" customFormat="false" ht="15.75" hidden="false" customHeight="false" outlineLevel="0" collapsed="false">
      <c r="A196" s="51"/>
      <c r="B196" s="51"/>
      <c r="C196" s="6"/>
      <c r="D196" s="49"/>
      <c r="E196" s="51"/>
      <c r="F196" s="6"/>
      <c r="G196" s="6"/>
      <c r="H196" s="6"/>
      <c r="I196" s="6"/>
      <c r="J196" s="6"/>
      <c r="K196" s="51"/>
      <c r="L196" s="51"/>
      <c r="M196" s="51"/>
      <c r="N196" s="51"/>
      <c r="O196" s="51"/>
      <c r="P196" s="51"/>
      <c r="Q196" s="51"/>
      <c r="R196" s="51"/>
      <c r="S196" s="51"/>
      <c r="T196" s="51"/>
      <c r="U196" s="51"/>
      <c r="V196" s="51"/>
      <c r="W196" s="51"/>
      <c r="X196" s="51"/>
      <c r="Y196" s="51"/>
      <c r="Z196" s="51"/>
      <c r="AA196" s="51"/>
      <c r="AB196" s="51"/>
    </row>
    <row r="197" customFormat="false" ht="15.75" hidden="false" customHeight="false" outlineLevel="0" collapsed="false">
      <c r="A197" s="51"/>
      <c r="B197" s="51"/>
      <c r="C197" s="6"/>
      <c r="D197" s="49"/>
      <c r="E197" s="51"/>
      <c r="F197" s="6"/>
      <c r="G197" s="6"/>
      <c r="H197" s="6"/>
      <c r="I197" s="6"/>
      <c r="J197" s="6"/>
      <c r="K197" s="51"/>
      <c r="L197" s="51"/>
      <c r="M197" s="51"/>
      <c r="N197" s="51"/>
      <c r="O197" s="51"/>
      <c r="P197" s="51"/>
      <c r="Q197" s="51"/>
      <c r="R197" s="51"/>
      <c r="S197" s="51"/>
      <c r="T197" s="51"/>
      <c r="U197" s="51"/>
      <c r="V197" s="51"/>
      <c r="W197" s="51"/>
      <c r="X197" s="51"/>
      <c r="Y197" s="51"/>
      <c r="Z197" s="51"/>
      <c r="AA197" s="51"/>
      <c r="AB197" s="51"/>
    </row>
    <row r="198" customFormat="false" ht="15.75" hidden="false" customHeight="false" outlineLevel="0" collapsed="false">
      <c r="A198" s="51"/>
      <c r="B198" s="51"/>
      <c r="C198" s="6"/>
      <c r="D198" s="49"/>
      <c r="E198" s="51"/>
      <c r="F198" s="6"/>
      <c r="G198" s="6"/>
      <c r="H198" s="6"/>
      <c r="I198" s="6"/>
      <c r="J198" s="6"/>
      <c r="K198" s="51"/>
      <c r="L198" s="51"/>
      <c r="M198" s="51"/>
      <c r="N198" s="51"/>
      <c r="O198" s="51"/>
      <c r="P198" s="51"/>
      <c r="Q198" s="51"/>
      <c r="R198" s="51"/>
      <c r="S198" s="51"/>
      <c r="T198" s="51"/>
      <c r="U198" s="51"/>
      <c r="V198" s="51"/>
      <c r="W198" s="51"/>
      <c r="X198" s="51"/>
      <c r="Y198" s="51"/>
      <c r="Z198" s="51"/>
      <c r="AA198" s="51"/>
      <c r="AB198" s="51"/>
    </row>
    <row r="199" customFormat="false" ht="15.75" hidden="false" customHeight="false" outlineLevel="0" collapsed="false">
      <c r="A199" s="51"/>
      <c r="B199" s="51"/>
      <c r="C199" s="6"/>
      <c r="D199" s="49"/>
      <c r="E199" s="51"/>
      <c r="F199" s="6"/>
      <c r="G199" s="6"/>
      <c r="H199" s="6"/>
      <c r="I199" s="6"/>
      <c r="J199" s="6"/>
      <c r="K199" s="51"/>
      <c r="L199" s="51"/>
      <c r="M199" s="51"/>
      <c r="N199" s="51"/>
      <c r="O199" s="51"/>
      <c r="P199" s="51"/>
      <c r="Q199" s="51"/>
      <c r="R199" s="51"/>
      <c r="S199" s="51"/>
      <c r="T199" s="51"/>
      <c r="U199" s="51"/>
      <c r="V199" s="51"/>
      <c r="W199" s="51"/>
      <c r="X199" s="51"/>
      <c r="Y199" s="51"/>
      <c r="Z199" s="51"/>
      <c r="AA199" s="51"/>
      <c r="AB199" s="51"/>
    </row>
    <row r="200" customFormat="false" ht="15.75" hidden="false" customHeight="false" outlineLevel="0" collapsed="false">
      <c r="A200" s="51"/>
      <c r="B200" s="51"/>
      <c r="C200" s="6"/>
      <c r="D200" s="49"/>
      <c r="E200" s="51"/>
      <c r="F200" s="6"/>
      <c r="G200" s="6"/>
      <c r="H200" s="6"/>
      <c r="I200" s="6"/>
      <c r="J200" s="6"/>
      <c r="K200" s="51"/>
      <c r="L200" s="51"/>
      <c r="M200" s="51"/>
      <c r="N200" s="51"/>
      <c r="O200" s="51"/>
      <c r="P200" s="51"/>
      <c r="Q200" s="51"/>
      <c r="R200" s="51"/>
      <c r="S200" s="51"/>
      <c r="T200" s="51"/>
      <c r="U200" s="51"/>
      <c r="V200" s="51"/>
      <c r="W200" s="51"/>
      <c r="X200" s="51"/>
      <c r="Y200" s="51"/>
      <c r="Z200" s="51"/>
      <c r="AA200" s="51"/>
      <c r="AB200" s="51"/>
    </row>
    <row r="201" customFormat="false" ht="15.75" hidden="false" customHeight="false" outlineLevel="0" collapsed="false">
      <c r="A201" s="51"/>
      <c r="B201" s="51"/>
      <c r="C201" s="6"/>
      <c r="D201" s="49"/>
      <c r="E201" s="51"/>
      <c r="F201" s="6"/>
      <c r="G201" s="6"/>
      <c r="H201" s="6"/>
      <c r="I201" s="6"/>
      <c r="J201" s="6"/>
      <c r="K201" s="51"/>
      <c r="L201" s="51"/>
      <c r="M201" s="51"/>
      <c r="N201" s="51"/>
      <c r="O201" s="51"/>
      <c r="P201" s="51"/>
      <c r="Q201" s="51"/>
      <c r="R201" s="51"/>
      <c r="S201" s="51"/>
      <c r="T201" s="51"/>
      <c r="U201" s="51"/>
      <c r="V201" s="51"/>
      <c r="W201" s="51"/>
      <c r="X201" s="51"/>
      <c r="Y201" s="51"/>
      <c r="Z201" s="51"/>
      <c r="AA201" s="51"/>
      <c r="AB201" s="51"/>
    </row>
    <row r="202" customFormat="false" ht="15.75" hidden="false" customHeight="false" outlineLevel="0" collapsed="false">
      <c r="A202" s="51"/>
      <c r="B202" s="51"/>
      <c r="C202" s="6"/>
      <c r="D202" s="49"/>
      <c r="E202" s="51"/>
      <c r="F202" s="6"/>
      <c r="G202" s="6"/>
      <c r="H202" s="6"/>
      <c r="I202" s="6"/>
      <c r="J202" s="6"/>
      <c r="K202" s="51"/>
      <c r="L202" s="51"/>
      <c r="M202" s="51"/>
      <c r="N202" s="51"/>
      <c r="O202" s="51"/>
      <c r="P202" s="51"/>
      <c r="Q202" s="51"/>
      <c r="R202" s="51"/>
      <c r="S202" s="51"/>
      <c r="T202" s="51"/>
      <c r="U202" s="51"/>
      <c r="V202" s="51"/>
      <c r="W202" s="51"/>
      <c r="X202" s="51"/>
      <c r="Y202" s="51"/>
      <c r="Z202" s="51"/>
      <c r="AA202" s="51"/>
      <c r="AB202" s="51"/>
    </row>
    <row r="203" customFormat="false" ht="15.75" hidden="false" customHeight="false" outlineLevel="0" collapsed="false">
      <c r="A203" s="51"/>
      <c r="B203" s="51"/>
      <c r="C203" s="6"/>
      <c r="D203" s="49"/>
      <c r="E203" s="51"/>
      <c r="F203" s="6"/>
      <c r="G203" s="6"/>
      <c r="H203" s="6"/>
      <c r="I203" s="6"/>
      <c r="J203" s="6"/>
      <c r="K203" s="51"/>
      <c r="L203" s="51"/>
      <c r="M203" s="51"/>
      <c r="N203" s="51"/>
      <c r="O203" s="51"/>
      <c r="P203" s="51"/>
      <c r="Q203" s="51"/>
      <c r="R203" s="51"/>
      <c r="S203" s="51"/>
      <c r="T203" s="51"/>
      <c r="U203" s="51"/>
      <c r="V203" s="51"/>
      <c r="W203" s="51"/>
      <c r="X203" s="51"/>
      <c r="Y203" s="51"/>
      <c r="Z203" s="51"/>
      <c r="AA203" s="51"/>
      <c r="AB203" s="51"/>
    </row>
    <row r="204" customFormat="false" ht="15.75" hidden="false" customHeight="false" outlineLevel="0" collapsed="false">
      <c r="A204" s="51"/>
      <c r="B204" s="51"/>
      <c r="C204" s="6"/>
      <c r="D204" s="49"/>
      <c r="E204" s="51"/>
      <c r="F204" s="6"/>
      <c r="G204" s="6"/>
      <c r="H204" s="6"/>
      <c r="I204" s="6"/>
      <c r="J204" s="6"/>
      <c r="K204" s="51"/>
      <c r="L204" s="51"/>
      <c r="M204" s="51"/>
      <c r="N204" s="51"/>
      <c r="O204" s="51"/>
      <c r="P204" s="51"/>
      <c r="Q204" s="51"/>
      <c r="R204" s="51"/>
      <c r="S204" s="51"/>
      <c r="T204" s="51"/>
      <c r="U204" s="51"/>
      <c r="V204" s="51"/>
      <c r="W204" s="51"/>
      <c r="X204" s="51"/>
      <c r="Y204" s="51"/>
      <c r="Z204" s="51"/>
      <c r="AA204" s="51"/>
      <c r="AB204" s="51"/>
    </row>
    <row r="205" customFormat="false" ht="15.75" hidden="false" customHeight="false" outlineLevel="0" collapsed="false">
      <c r="A205" s="51"/>
      <c r="B205" s="51"/>
      <c r="C205" s="6"/>
      <c r="D205" s="49"/>
      <c r="E205" s="51"/>
      <c r="F205" s="6"/>
      <c r="G205" s="6"/>
      <c r="H205" s="6"/>
      <c r="I205" s="6"/>
      <c r="J205" s="6"/>
      <c r="K205" s="51"/>
      <c r="L205" s="51"/>
      <c r="M205" s="51"/>
      <c r="N205" s="51"/>
      <c r="O205" s="51"/>
      <c r="P205" s="51"/>
      <c r="Q205" s="51"/>
      <c r="R205" s="51"/>
      <c r="S205" s="51"/>
      <c r="T205" s="51"/>
      <c r="U205" s="51"/>
      <c r="V205" s="51"/>
      <c r="W205" s="51"/>
      <c r="X205" s="51"/>
      <c r="Y205" s="51"/>
      <c r="Z205" s="51"/>
      <c r="AA205" s="51"/>
      <c r="AB205" s="51"/>
    </row>
    <row r="206" customFormat="false" ht="15.75" hidden="false" customHeight="false" outlineLevel="0" collapsed="false">
      <c r="A206" s="51"/>
      <c r="B206" s="51"/>
      <c r="C206" s="6"/>
      <c r="D206" s="49"/>
      <c r="E206" s="51"/>
      <c r="F206" s="6"/>
      <c r="G206" s="6"/>
      <c r="H206" s="6"/>
      <c r="I206" s="6"/>
      <c r="J206" s="6"/>
      <c r="K206" s="51"/>
      <c r="L206" s="51"/>
      <c r="M206" s="51"/>
      <c r="N206" s="51"/>
      <c r="O206" s="51"/>
      <c r="P206" s="51"/>
      <c r="Q206" s="51"/>
      <c r="R206" s="51"/>
      <c r="S206" s="51"/>
      <c r="T206" s="51"/>
      <c r="U206" s="51"/>
      <c r="V206" s="51"/>
      <c r="W206" s="51"/>
      <c r="X206" s="51"/>
      <c r="Y206" s="51"/>
      <c r="Z206" s="51"/>
      <c r="AA206" s="51"/>
      <c r="AB206" s="51"/>
    </row>
    <row r="207" customFormat="false" ht="15.75" hidden="false" customHeight="false" outlineLevel="0" collapsed="false">
      <c r="A207" s="51"/>
      <c r="B207" s="51"/>
      <c r="C207" s="6"/>
      <c r="D207" s="49"/>
      <c r="E207" s="51"/>
      <c r="F207" s="6"/>
      <c r="G207" s="6"/>
      <c r="H207" s="6"/>
      <c r="I207" s="6"/>
      <c r="J207" s="6"/>
      <c r="K207" s="51"/>
      <c r="L207" s="51"/>
      <c r="M207" s="51"/>
      <c r="N207" s="51"/>
      <c r="O207" s="51"/>
      <c r="P207" s="51"/>
      <c r="Q207" s="51"/>
      <c r="R207" s="51"/>
      <c r="S207" s="51"/>
      <c r="T207" s="51"/>
      <c r="U207" s="51"/>
      <c r="V207" s="51"/>
      <c r="W207" s="51"/>
      <c r="X207" s="51"/>
      <c r="Y207" s="51"/>
      <c r="Z207" s="51"/>
      <c r="AA207" s="51"/>
      <c r="AB207" s="51"/>
    </row>
    <row r="208" customFormat="false" ht="15.75" hidden="false" customHeight="false" outlineLevel="0" collapsed="false">
      <c r="A208" s="51"/>
      <c r="B208" s="51"/>
      <c r="C208" s="6"/>
      <c r="D208" s="49"/>
      <c r="E208" s="51"/>
      <c r="F208" s="6"/>
      <c r="G208" s="6"/>
      <c r="H208" s="6"/>
      <c r="I208" s="6"/>
      <c r="J208" s="6"/>
      <c r="K208" s="51"/>
      <c r="L208" s="51"/>
      <c r="M208" s="51"/>
      <c r="N208" s="51"/>
      <c r="O208" s="51"/>
      <c r="P208" s="51"/>
      <c r="Q208" s="51"/>
      <c r="R208" s="51"/>
      <c r="S208" s="51"/>
      <c r="T208" s="51"/>
      <c r="U208" s="51"/>
      <c r="V208" s="51"/>
      <c r="W208" s="51"/>
      <c r="X208" s="51"/>
      <c r="Y208" s="51"/>
      <c r="Z208" s="51"/>
      <c r="AA208" s="51"/>
      <c r="AB208" s="51"/>
    </row>
    <row r="209" customFormat="false" ht="15.75" hidden="false" customHeight="false" outlineLevel="0" collapsed="false">
      <c r="A209" s="51"/>
      <c r="B209" s="51"/>
      <c r="C209" s="6"/>
      <c r="D209" s="49"/>
      <c r="E209" s="51"/>
      <c r="F209" s="6"/>
      <c r="G209" s="6"/>
      <c r="H209" s="6"/>
      <c r="I209" s="6"/>
      <c r="J209" s="6"/>
      <c r="K209" s="51"/>
      <c r="L209" s="51"/>
      <c r="M209" s="51"/>
      <c r="N209" s="51"/>
      <c r="O209" s="51"/>
      <c r="P209" s="51"/>
      <c r="Q209" s="51"/>
      <c r="R209" s="51"/>
      <c r="S209" s="51"/>
      <c r="T209" s="51"/>
      <c r="U209" s="51"/>
      <c r="V209" s="51"/>
      <c r="W209" s="51"/>
      <c r="X209" s="51"/>
      <c r="Y209" s="51"/>
      <c r="Z209" s="51"/>
      <c r="AA209" s="51"/>
      <c r="AB209" s="51"/>
    </row>
    <row r="210" customFormat="false" ht="15.75" hidden="false" customHeight="false" outlineLevel="0" collapsed="false">
      <c r="A210" s="51"/>
      <c r="B210" s="51"/>
      <c r="C210" s="6"/>
      <c r="D210" s="49"/>
      <c r="E210" s="51"/>
      <c r="F210" s="6"/>
      <c r="G210" s="6"/>
      <c r="H210" s="6"/>
      <c r="I210" s="6"/>
      <c r="J210" s="6"/>
      <c r="K210" s="51"/>
      <c r="L210" s="51"/>
      <c r="M210" s="51"/>
      <c r="N210" s="51"/>
      <c r="O210" s="51"/>
      <c r="P210" s="51"/>
      <c r="Q210" s="51"/>
      <c r="R210" s="51"/>
      <c r="S210" s="51"/>
      <c r="T210" s="51"/>
      <c r="U210" s="51"/>
      <c r="V210" s="51"/>
      <c r="W210" s="51"/>
      <c r="X210" s="51"/>
      <c r="Y210" s="51"/>
      <c r="Z210" s="51"/>
      <c r="AA210" s="51"/>
      <c r="AB210" s="51"/>
    </row>
    <row r="211" customFormat="false" ht="15.75" hidden="false" customHeight="false" outlineLevel="0" collapsed="false">
      <c r="A211" s="51"/>
      <c r="B211" s="51"/>
      <c r="C211" s="6"/>
      <c r="D211" s="49"/>
      <c r="E211" s="51"/>
      <c r="F211" s="6"/>
      <c r="G211" s="6"/>
      <c r="H211" s="6"/>
      <c r="I211" s="6"/>
      <c r="J211" s="6"/>
      <c r="K211" s="51"/>
      <c r="L211" s="51"/>
      <c r="M211" s="51"/>
      <c r="N211" s="51"/>
      <c r="O211" s="51"/>
      <c r="P211" s="51"/>
      <c r="Q211" s="51"/>
      <c r="R211" s="51"/>
      <c r="S211" s="51"/>
      <c r="T211" s="51"/>
      <c r="U211" s="51"/>
      <c r="V211" s="51"/>
      <c r="W211" s="51"/>
      <c r="X211" s="51"/>
      <c r="Y211" s="51"/>
      <c r="Z211" s="51"/>
      <c r="AA211" s="51"/>
      <c r="AB211" s="51"/>
    </row>
    <row r="212" customFormat="false" ht="15.75" hidden="false" customHeight="false" outlineLevel="0" collapsed="false">
      <c r="A212" s="51"/>
      <c r="B212" s="51"/>
      <c r="C212" s="6"/>
      <c r="D212" s="49"/>
      <c r="E212" s="51"/>
      <c r="F212" s="6"/>
      <c r="G212" s="6"/>
      <c r="H212" s="6"/>
      <c r="I212" s="6"/>
      <c r="J212" s="6"/>
      <c r="K212" s="51"/>
      <c r="L212" s="51"/>
      <c r="M212" s="51"/>
      <c r="N212" s="51"/>
      <c r="O212" s="51"/>
      <c r="P212" s="51"/>
      <c r="Q212" s="51"/>
      <c r="R212" s="51"/>
      <c r="S212" s="51"/>
      <c r="T212" s="51"/>
      <c r="U212" s="51"/>
      <c r="V212" s="51"/>
      <c r="W212" s="51"/>
      <c r="X212" s="51"/>
      <c r="Y212" s="51"/>
      <c r="Z212" s="51"/>
      <c r="AA212" s="51"/>
      <c r="AB212" s="51"/>
    </row>
    <row r="213" customFormat="false" ht="15.75" hidden="false" customHeight="false" outlineLevel="0" collapsed="false">
      <c r="A213" s="51"/>
      <c r="B213" s="51"/>
      <c r="C213" s="6"/>
      <c r="D213" s="49"/>
      <c r="E213" s="51"/>
      <c r="F213" s="6"/>
      <c r="G213" s="6"/>
      <c r="H213" s="6"/>
      <c r="I213" s="6"/>
      <c r="J213" s="6"/>
      <c r="K213" s="51"/>
      <c r="L213" s="51"/>
      <c r="M213" s="51"/>
      <c r="N213" s="51"/>
      <c r="O213" s="51"/>
      <c r="P213" s="51"/>
      <c r="Q213" s="51"/>
      <c r="R213" s="51"/>
      <c r="S213" s="51"/>
      <c r="T213" s="51"/>
      <c r="U213" s="51"/>
      <c r="V213" s="51"/>
      <c r="W213" s="51"/>
      <c r="X213" s="51"/>
      <c r="Y213" s="51"/>
      <c r="Z213" s="51"/>
      <c r="AA213" s="51"/>
      <c r="AB213" s="51"/>
    </row>
    <row r="214" customFormat="false" ht="15.75" hidden="false" customHeight="false" outlineLevel="0" collapsed="false">
      <c r="A214" s="51"/>
      <c r="B214" s="51"/>
      <c r="C214" s="6"/>
      <c r="D214" s="49"/>
      <c r="E214" s="51"/>
      <c r="F214" s="6"/>
      <c r="G214" s="6"/>
      <c r="H214" s="6"/>
      <c r="I214" s="6"/>
      <c r="J214" s="6"/>
      <c r="K214" s="51"/>
      <c r="L214" s="51"/>
      <c r="M214" s="51"/>
      <c r="N214" s="51"/>
      <c r="O214" s="51"/>
      <c r="P214" s="51"/>
      <c r="Q214" s="51"/>
      <c r="R214" s="51"/>
      <c r="S214" s="51"/>
      <c r="T214" s="51"/>
      <c r="U214" s="51"/>
      <c r="V214" s="51"/>
      <c r="W214" s="51"/>
      <c r="X214" s="51"/>
      <c r="Y214" s="51"/>
      <c r="Z214" s="51"/>
      <c r="AA214" s="51"/>
      <c r="AB214" s="51"/>
    </row>
    <row r="215" customFormat="false" ht="15.75" hidden="false" customHeight="false" outlineLevel="0" collapsed="false">
      <c r="A215" s="51"/>
      <c r="B215" s="51"/>
      <c r="C215" s="6"/>
      <c r="D215" s="49"/>
      <c r="E215" s="51"/>
      <c r="F215" s="6"/>
      <c r="G215" s="6"/>
      <c r="H215" s="6"/>
      <c r="I215" s="6"/>
      <c r="J215" s="6"/>
      <c r="K215" s="51"/>
      <c r="L215" s="51"/>
      <c r="M215" s="51"/>
      <c r="N215" s="51"/>
      <c r="O215" s="51"/>
      <c r="P215" s="51"/>
      <c r="Q215" s="51"/>
      <c r="R215" s="51"/>
      <c r="S215" s="51"/>
      <c r="T215" s="51"/>
      <c r="U215" s="51"/>
      <c r="V215" s="51"/>
      <c r="W215" s="51"/>
      <c r="X215" s="51"/>
      <c r="Y215" s="51"/>
      <c r="Z215" s="51"/>
      <c r="AA215" s="51"/>
      <c r="AB215" s="51"/>
    </row>
    <row r="216" customFormat="false" ht="15.75" hidden="false" customHeight="false" outlineLevel="0" collapsed="false">
      <c r="A216" s="51"/>
      <c r="B216" s="51"/>
      <c r="C216" s="6"/>
      <c r="D216" s="49"/>
      <c r="E216" s="51"/>
      <c r="F216" s="6"/>
      <c r="G216" s="6"/>
      <c r="H216" s="6"/>
      <c r="I216" s="6"/>
      <c r="J216" s="6"/>
      <c r="K216" s="51"/>
      <c r="L216" s="51"/>
      <c r="M216" s="51"/>
      <c r="N216" s="51"/>
      <c r="O216" s="51"/>
      <c r="P216" s="51"/>
      <c r="Q216" s="51"/>
      <c r="R216" s="51"/>
      <c r="S216" s="51"/>
      <c r="T216" s="51"/>
      <c r="U216" s="51"/>
      <c r="V216" s="51"/>
      <c r="W216" s="51"/>
      <c r="X216" s="51"/>
      <c r="Y216" s="51"/>
      <c r="Z216" s="51"/>
      <c r="AA216" s="51"/>
      <c r="AB216" s="51"/>
    </row>
    <row r="217" customFormat="false" ht="15.75" hidden="false" customHeight="false" outlineLevel="0" collapsed="false">
      <c r="A217" s="51"/>
      <c r="B217" s="51"/>
      <c r="C217" s="6"/>
      <c r="D217" s="49"/>
      <c r="E217" s="51"/>
      <c r="F217" s="6"/>
      <c r="G217" s="6"/>
      <c r="H217" s="6"/>
      <c r="I217" s="6"/>
      <c r="J217" s="6"/>
      <c r="K217" s="51"/>
      <c r="L217" s="51"/>
      <c r="M217" s="51"/>
      <c r="N217" s="51"/>
      <c r="O217" s="51"/>
      <c r="P217" s="51"/>
      <c r="Q217" s="51"/>
      <c r="R217" s="51"/>
      <c r="S217" s="51"/>
      <c r="T217" s="51"/>
      <c r="U217" s="51"/>
      <c r="V217" s="51"/>
      <c r="W217" s="51"/>
      <c r="X217" s="51"/>
      <c r="Y217" s="51"/>
      <c r="Z217" s="51"/>
      <c r="AA217" s="51"/>
      <c r="AB217" s="51"/>
    </row>
    <row r="218" customFormat="false" ht="15.75" hidden="false" customHeight="false" outlineLevel="0" collapsed="false">
      <c r="A218" s="51"/>
      <c r="B218" s="51"/>
      <c r="C218" s="6"/>
      <c r="D218" s="49"/>
      <c r="E218" s="51"/>
      <c r="F218" s="6"/>
      <c r="G218" s="6"/>
      <c r="H218" s="6"/>
      <c r="I218" s="6"/>
      <c r="J218" s="6"/>
      <c r="K218" s="51"/>
      <c r="L218" s="51"/>
      <c r="M218" s="51"/>
      <c r="N218" s="51"/>
      <c r="O218" s="51"/>
      <c r="P218" s="51"/>
      <c r="Q218" s="51"/>
      <c r="R218" s="51"/>
      <c r="S218" s="51"/>
      <c r="T218" s="51"/>
      <c r="U218" s="51"/>
      <c r="V218" s="51"/>
      <c r="W218" s="51"/>
      <c r="X218" s="51"/>
      <c r="Y218" s="51"/>
      <c r="Z218" s="51"/>
      <c r="AA218" s="51"/>
      <c r="AB218" s="51"/>
    </row>
    <row r="219" customFormat="false" ht="15.75" hidden="false" customHeight="false" outlineLevel="0" collapsed="false">
      <c r="A219" s="51"/>
      <c r="B219" s="51"/>
      <c r="C219" s="6"/>
      <c r="D219" s="49"/>
      <c r="E219" s="51"/>
      <c r="F219" s="6"/>
      <c r="G219" s="6"/>
      <c r="H219" s="6"/>
      <c r="I219" s="6"/>
      <c r="J219" s="6"/>
      <c r="K219" s="51"/>
      <c r="L219" s="51"/>
      <c r="M219" s="51"/>
      <c r="N219" s="51"/>
      <c r="O219" s="51"/>
      <c r="P219" s="51"/>
      <c r="Q219" s="51"/>
      <c r="R219" s="51"/>
      <c r="S219" s="51"/>
      <c r="T219" s="51"/>
      <c r="U219" s="51"/>
      <c r="V219" s="51"/>
      <c r="W219" s="51"/>
      <c r="X219" s="51"/>
      <c r="Y219" s="51"/>
      <c r="Z219" s="51"/>
      <c r="AA219" s="51"/>
      <c r="AB219" s="51"/>
    </row>
    <row r="220" customFormat="false" ht="15.75" hidden="false" customHeight="false" outlineLevel="0" collapsed="false">
      <c r="A220" s="51"/>
      <c r="B220" s="51"/>
      <c r="C220" s="6"/>
      <c r="D220" s="49"/>
      <c r="E220" s="51"/>
      <c r="F220" s="6"/>
      <c r="G220" s="6"/>
      <c r="H220" s="6"/>
      <c r="I220" s="6"/>
      <c r="J220" s="6"/>
      <c r="K220" s="51"/>
      <c r="L220" s="51"/>
      <c r="M220" s="51"/>
      <c r="N220" s="51"/>
      <c r="O220" s="51"/>
      <c r="P220" s="51"/>
      <c r="Q220" s="51"/>
      <c r="R220" s="51"/>
      <c r="S220" s="51"/>
      <c r="T220" s="51"/>
      <c r="U220" s="51"/>
      <c r="V220" s="51"/>
      <c r="W220" s="51"/>
      <c r="X220" s="51"/>
      <c r="Y220" s="51"/>
      <c r="Z220" s="51"/>
      <c r="AA220" s="51"/>
      <c r="AB220" s="51"/>
    </row>
    <row r="221" customFormat="false" ht="15.75" hidden="false" customHeight="false" outlineLevel="0" collapsed="false">
      <c r="A221" s="51"/>
      <c r="B221" s="51"/>
      <c r="C221" s="6"/>
      <c r="D221" s="49"/>
      <c r="E221" s="51"/>
      <c r="F221" s="6"/>
      <c r="G221" s="6"/>
      <c r="H221" s="6"/>
      <c r="I221" s="6"/>
      <c r="J221" s="6"/>
      <c r="K221" s="51"/>
      <c r="L221" s="51"/>
      <c r="M221" s="51"/>
      <c r="N221" s="51"/>
      <c r="O221" s="51"/>
      <c r="P221" s="51"/>
      <c r="Q221" s="51"/>
      <c r="R221" s="51"/>
      <c r="S221" s="51"/>
      <c r="T221" s="51"/>
      <c r="U221" s="51"/>
      <c r="V221" s="51"/>
      <c r="W221" s="51"/>
      <c r="X221" s="51"/>
      <c r="Y221" s="51"/>
      <c r="Z221" s="51"/>
      <c r="AA221" s="51"/>
      <c r="AB221" s="51"/>
    </row>
    <row r="222" customFormat="false" ht="15.75" hidden="false" customHeight="false" outlineLevel="0" collapsed="false">
      <c r="A222" s="51"/>
      <c r="B222" s="51"/>
      <c r="C222" s="6"/>
      <c r="D222" s="49"/>
      <c r="E222" s="51"/>
      <c r="F222" s="6"/>
      <c r="G222" s="6"/>
      <c r="H222" s="6"/>
      <c r="I222" s="6"/>
      <c r="J222" s="6"/>
      <c r="K222" s="51"/>
      <c r="L222" s="51"/>
      <c r="M222" s="51"/>
      <c r="N222" s="51"/>
      <c r="O222" s="51"/>
      <c r="P222" s="51"/>
      <c r="Q222" s="51"/>
      <c r="R222" s="51"/>
      <c r="S222" s="51"/>
      <c r="T222" s="51"/>
      <c r="U222" s="51"/>
      <c r="V222" s="51"/>
      <c r="W222" s="51"/>
      <c r="X222" s="51"/>
      <c r="Y222" s="51"/>
      <c r="Z222" s="51"/>
      <c r="AA222" s="51"/>
      <c r="AB222" s="51"/>
    </row>
    <row r="223" customFormat="false" ht="15.75" hidden="false" customHeight="false" outlineLevel="0" collapsed="false">
      <c r="A223" s="51"/>
      <c r="B223" s="51"/>
      <c r="C223" s="6"/>
      <c r="D223" s="49"/>
      <c r="E223" s="51"/>
      <c r="F223" s="6"/>
      <c r="G223" s="6"/>
      <c r="H223" s="6"/>
      <c r="I223" s="6"/>
      <c r="J223" s="6"/>
      <c r="K223" s="51"/>
      <c r="L223" s="51"/>
      <c r="M223" s="51"/>
      <c r="N223" s="51"/>
      <c r="O223" s="51"/>
      <c r="P223" s="51"/>
      <c r="Q223" s="51"/>
      <c r="R223" s="51"/>
      <c r="S223" s="51"/>
      <c r="T223" s="51"/>
      <c r="U223" s="51"/>
      <c r="V223" s="51"/>
      <c r="W223" s="51"/>
      <c r="X223" s="51"/>
      <c r="Y223" s="51"/>
      <c r="Z223" s="51"/>
      <c r="AA223" s="51"/>
      <c r="AB223" s="51"/>
    </row>
    <row r="224" customFormat="false" ht="15.75" hidden="false" customHeight="false" outlineLevel="0" collapsed="false">
      <c r="A224" s="51"/>
      <c r="B224" s="51"/>
      <c r="C224" s="6"/>
      <c r="D224" s="49"/>
      <c r="E224" s="51"/>
      <c r="F224" s="6"/>
      <c r="G224" s="6"/>
      <c r="H224" s="6"/>
      <c r="I224" s="6"/>
      <c r="J224" s="6"/>
      <c r="K224" s="51"/>
      <c r="L224" s="51"/>
      <c r="M224" s="51"/>
      <c r="N224" s="51"/>
      <c r="O224" s="51"/>
      <c r="P224" s="51"/>
      <c r="Q224" s="51"/>
      <c r="R224" s="51"/>
      <c r="S224" s="51"/>
      <c r="T224" s="51"/>
      <c r="U224" s="51"/>
      <c r="V224" s="51"/>
      <c r="W224" s="51"/>
      <c r="X224" s="51"/>
      <c r="Y224" s="51"/>
      <c r="Z224" s="51"/>
      <c r="AA224" s="51"/>
      <c r="AB224" s="51"/>
    </row>
    <row r="225" customFormat="false" ht="15.75" hidden="false" customHeight="false" outlineLevel="0" collapsed="false">
      <c r="A225" s="51"/>
      <c r="B225" s="51"/>
      <c r="C225" s="6"/>
      <c r="D225" s="49"/>
      <c r="E225" s="51"/>
      <c r="F225" s="6"/>
      <c r="G225" s="6"/>
      <c r="H225" s="6"/>
      <c r="I225" s="6"/>
      <c r="J225" s="6"/>
      <c r="K225" s="51"/>
      <c r="L225" s="51"/>
      <c r="M225" s="51"/>
      <c r="N225" s="51"/>
      <c r="O225" s="51"/>
      <c r="P225" s="51"/>
      <c r="Q225" s="51"/>
      <c r="R225" s="51"/>
      <c r="S225" s="51"/>
      <c r="T225" s="51"/>
      <c r="U225" s="51"/>
      <c r="V225" s="51"/>
      <c r="W225" s="51"/>
      <c r="X225" s="51"/>
      <c r="Y225" s="51"/>
      <c r="Z225" s="51"/>
      <c r="AA225" s="51"/>
      <c r="AB225" s="51"/>
    </row>
    <row r="226" customFormat="false" ht="15.75" hidden="false" customHeight="false" outlineLevel="0" collapsed="false">
      <c r="A226" s="51"/>
      <c r="B226" s="51"/>
      <c r="C226" s="6"/>
      <c r="D226" s="49"/>
      <c r="E226" s="51"/>
      <c r="F226" s="6"/>
      <c r="G226" s="6"/>
      <c r="H226" s="6"/>
      <c r="I226" s="6"/>
      <c r="J226" s="6"/>
      <c r="K226" s="51"/>
      <c r="L226" s="51"/>
      <c r="M226" s="51"/>
      <c r="N226" s="51"/>
      <c r="O226" s="51"/>
      <c r="P226" s="51"/>
      <c r="Q226" s="51"/>
      <c r="R226" s="51"/>
      <c r="S226" s="51"/>
      <c r="T226" s="51"/>
      <c r="U226" s="51"/>
      <c r="V226" s="51"/>
      <c r="W226" s="51"/>
      <c r="X226" s="51"/>
      <c r="Y226" s="51"/>
      <c r="Z226" s="51"/>
      <c r="AA226" s="51"/>
      <c r="AB226" s="51"/>
    </row>
    <row r="227" customFormat="false" ht="15.75" hidden="false" customHeight="false" outlineLevel="0" collapsed="false">
      <c r="A227" s="51"/>
      <c r="B227" s="51"/>
      <c r="C227" s="6"/>
      <c r="D227" s="49"/>
      <c r="E227" s="51"/>
      <c r="F227" s="6"/>
      <c r="G227" s="6"/>
      <c r="H227" s="6"/>
      <c r="I227" s="6"/>
      <c r="J227" s="6"/>
      <c r="K227" s="51"/>
      <c r="L227" s="51"/>
      <c r="M227" s="51"/>
      <c r="N227" s="51"/>
      <c r="O227" s="51"/>
      <c r="P227" s="51"/>
      <c r="Q227" s="51"/>
      <c r="R227" s="51"/>
      <c r="S227" s="51"/>
      <c r="T227" s="51"/>
      <c r="U227" s="51"/>
      <c r="V227" s="51"/>
      <c r="W227" s="51"/>
      <c r="X227" s="51"/>
      <c r="Y227" s="51"/>
      <c r="Z227" s="51"/>
      <c r="AA227" s="51"/>
      <c r="AB227" s="51"/>
    </row>
    <row r="228" customFormat="false" ht="15.75" hidden="false" customHeight="false" outlineLevel="0" collapsed="false">
      <c r="A228" s="51"/>
      <c r="B228" s="51"/>
      <c r="C228" s="6"/>
      <c r="D228" s="49"/>
      <c r="E228" s="51"/>
      <c r="F228" s="6"/>
      <c r="G228" s="6"/>
      <c r="H228" s="6"/>
      <c r="I228" s="6"/>
      <c r="J228" s="6"/>
      <c r="K228" s="51"/>
      <c r="L228" s="51"/>
      <c r="M228" s="51"/>
      <c r="N228" s="51"/>
      <c r="O228" s="51"/>
      <c r="P228" s="51"/>
      <c r="Q228" s="51"/>
      <c r="R228" s="51"/>
      <c r="S228" s="51"/>
      <c r="T228" s="51"/>
      <c r="U228" s="51"/>
      <c r="V228" s="51"/>
      <c r="W228" s="51"/>
      <c r="X228" s="51"/>
      <c r="Y228" s="51"/>
      <c r="Z228" s="51"/>
      <c r="AA228" s="51"/>
      <c r="AB228" s="51"/>
    </row>
    <row r="229" customFormat="false" ht="15.75" hidden="false" customHeight="false" outlineLevel="0" collapsed="false">
      <c r="A229" s="51"/>
      <c r="B229" s="51"/>
      <c r="C229" s="6"/>
      <c r="D229" s="49"/>
      <c r="E229" s="51"/>
      <c r="F229" s="6"/>
      <c r="G229" s="6"/>
      <c r="H229" s="6"/>
      <c r="I229" s="6"/>
      <c r="J229" s="6"/>
      <c r="K229" s="51"/>
      <c r="L229" s="51"/>
      <c r="M229" s="51"/>
      <c r="N229" s="51"/>
      <c r="O229" s="51"/>
      <c r="P229" s="51"/>
      <c r="Q229" s="51"/>
      <c r="R229" s="51"/>
      <c r="S229" s="51"/>
      <c r="T229" s="51"/>
      <c r="U229" s="51"/>
      <c r="V229" s="51"/>
      <c r="W229" s="51"/>
      <c r="X229" s="51"/>
      <c r="Y229" s="51"/>
      <c r="Z229" s="51"/>
      <c r="AA229" s="51"/>
      <c r="AB229" s="51"/>
    </row>
    <row r="230" customFormat="false" ht="15.75" hidden="false" customHeight="false" outlineLevel="0" collapsed="false">
      <c r="A230" s="51"/>
      <c r="B230" s="51"/>
      <c r="C230" s="6"/>
      <c r="D230" s="49"/>
      <c r="E230" s="51"/>
      <c r="F230" s="6"/>
      <c r="G230" s="6"/>
      <c r="H230" s="6"/>
      <c r="I230" s="6"/>
      <c r="J230" s="6"/>
      <c r="K230" s="51"/>
      <c r="L230" s="51"/>
      <c r="M230" s="51"/>
      <c r="N230" s="51"/>
      <c r="O230" s="51"/>
      <c r="P230" s="51"/>
      <c r="Q230" s="51"/>
      <c r="R230" s="51"/>
      <c r="S230" s="51"/>
      <c r="T230" s="51"/>
      <c r="U230" s="51"/>
      <c r="V230" s="51"/>
      <c r="W230" s="51"/>
      <c r="X230" s="51"/>
      <c r="Y230" s="51"/>
      <c r="Z230" s="51"/>
      <c r="AA230" s="51"/>
      <c r="AB230" s="51"/>
    </row>
    <row r="231" customFormat="false" ht="15.75" hidden="false" customHeight="false" outlineLevel="0" collapsed="false">
      <c r="A231" s="51"/>
      <c r="B231" s="51"/>
      <c r="C231" s="6"/>
      <c r="D231" s="49"/>
      <c r="E231" s="51"/>
      <c r="F231" s="6"/>
      <c r="G231" s="6"/>
      <c r="H231" s="6"/>
      <c r="I231" s="6"/>
      <c r="J231" s="6"/>
      <c r="K231" s="51"/>
      <c r="L231" s="51"/>
      <c r="M231" s="51"/>
      <c r="N231" s="51"/>
      <c r="O231" s="51"/>
      <c r="P231" s="51"/>
      <c r="Q231" s="51"/>
      <c r="R231" s="51"/>
      <c r="S231" s="51"/>
      <c r="T231" s="51"/>
      <c r="U231" s="51"/>
      <c r="V231" s="51"/>
      <c r="W231" s="51"/>
      <c r="X231" s="51"/>
      <c r="Y231" s="51"/>
      <c r="Z231" s="51"/>
      <c r="AA231" s="51"/>
      <c r="AB231" s="51"/>
    </row>
    <row r="232" customFormat="false" ht="15.75" hidden="false" customHeight="false" outlineLevel="0" collapsed="false">
      <c r="A232" s="51"/>
      <c r="B232" s="51"/>
      <c r="C232" s="6"/>
      <c r="D232" s="49"/>
      <c r="E232" s="51"/>
      <c r="F232" s="6"/>
      <c r="G232" s="6"/>
      <c r="H232" s="6"/>
      <c r="I232" s="6"/>
      <c r="J232" s="6"/>
      <c r="K232" s="51"/>
      <c r="L232" s="51"/>
      <c r="M232" s="51"/>
      <c r="N232" s="51"/>
      <c r="O232" s="51"/>
      <c r="P232" s="51"/>
      <c r="Q232" s="51"/>
      <c r="R232" s="51"/>
      <c r="S232" s="51"/>
      <c r="T232" s="51"/>
      <c r="U232" s="51"/>
      <c r="V232" s="51"/>
      <c r="W232" s="51"/>
      <c r="X232" s="51"/>
      <c r="Y232" s="51"/>
      <c r="Z232" s="51"/>
      <c r="AA232" s="51"/>
      <c r="AB232" s="51"/>
    </row>
    <row r="233" customFormat="false" ht="15.75" hidden="false" customHeight="false" outlineLevel="0" collapsed="false">
      <c r="A233" s="51"/>
      <c r="B233" s="51"/>
      <c r="C233" s="6"/>
      <c r="D233" s="49"/>
      <c r="E233" s="51"/>
      <c r="F233" s="6"/>
      <c r="G233" s="6"/>
      <c r="H233" s="6"/>
      <c r="I233" s="6"/>
      <c r="J233" s="6"/>
      <c r="K233" s="51"/>
      <c r="L233" s="51"/>
      <c r="M233" s="51"/>
      <c r="N233" s="51"/>
      <c r="O233" s="51"/>
      <c r="P233" s="51"/>
      <c r="Q233" s="51"/>
      <c r="R233" s="51"/>
      <c r="S233" s="51"/>
      <c r="T233" s="51"/>
      <c r="U233" s="51"/>
      <c r="V233" s="51"/>
      <c r="W233" s="51"/>
      <c r="X233" s="51"/>
      <c r="Y233" s="51"/>
      <c r="Z233" s="51"/>
      <c r="AA233" s="51"/>
      <c r="AB233" s="51"/>
    </row>
    <row r="234" customFormat="false" ht="15.75" hidden="false" customHeight="false" outlineLevel="0" collapsed="false">
      <c r="A234" s="51"/>
      <c r="B234" s="51"/>
      <c r="C234" s="6"/>
      <c r="D234" s="49"/>
      <c r="E234" s="51"/>
      <c r="F234" s="6"/>
      <c r="G234" s="6"/>
      <c r="H234" s="6"/>
      <c r="I234" s="6"/>
      <c r="J234" s="6"/>
      <c r="K234" s="51"/>
      <c r="L234" s="51"/>
      <c r="M234" s="51"/>
      <c r="N234" s="51"/>
      <c r="O234" s="51"/>
      <c r="P234" s="51"/>
      <c r="Q234" s="51"/>
      <c r="R234" s="51"/>
      <c r="S234" s="51"/>
      <c r="T234" s="51"/>
      <c r="U234" s="51"/>
      <c r="V234" s="51"/>
      <c r="W234" s="51"/>
      <c r="X234" s="51"/>
      <c r="Y234" s="51"/>
      <c r="Z234" s="51"/>
      <c r="AA234" s="51"/>
      <c r="AB234" s="51"/>
    </row>
    <row r="235" customFormat="false" ht="15.75" hidden="false" customHeight="false" outlineLevel="0" collapsed="false">
      <c r="A235" s="51"/>
      <c r="B235" s="51"/>
      <c r="C235" s="6"/>
      <c r="D235" s="49"/>
      <c r="E235" s="51"/>
      <c r="F235" s="6"/>
      <c r="G235" s="6"/>
      <c r="H235" s="6"/>
      <c r="I235" s="6"/>
      <c r="J235" s="6"/>
      <c r="K235" s="51"/>
      <c r="L235" s="51"/>
      <c r="M235" s="51"/>
      <c r="N235" s="51"/>
      <c r="O235" s="51"/>
      <c r="P235" s="51"/>
      <c r="Q235" s="51"/>
      <c r="R235" s="51"/>
      <c r="S235" s="51"/>
      <c r="T235" s="51"/>
      <c r="U235" s="51"/>
      <c r="V235" s="51"/>
      <c r="W235" s="51"/>
      <c r="X235" s="51"/>
      <c r="Y235" s="51"/>
      <c r="Z235" s="51"/>
      <c r="AA235" s="51"/>
      <c r="AB235" s="51"/>
    </row>
    <row r="236" customFormat="false" ht="15.75" hidden="false" customHeight="false" outlineLevel="0" collapsed="false">
      <c r="A236" s="51"/>
      <c r="B236" s="51"/>
      <c r="C236" s="6"/>
      <c r="D236" s="49"/>
      <c r="E236" s="51"/>
      <c r="F236" s="6"/>
      <c r="G236" s="6"/>
      <c r="H236" s="6"/>
      <c r="I236" s="6"/>
      <c r="J236" s="6"/>
      <c r="K236" s="51"/>
      <c r="L236" s="51"/>
      <c r="M236" s="51"/>
      <c r="N236" s="51"/>
      <c r="O236" s="51"/>
      <c r="P236" s="51"/>
      <c r="Q236" s="51"/>
      <c r="R236" s="51"/>
      <c r="S236" s="51"/>
      <c r="T236" s="51"/>
      <c r="U236" s="51"/>
      <c r="V236" s="51"/>
      <c r="W236" s="51"/>
      <c r="X236" s="51"/>
      <c r="Y236" s="51"/>
      <c r="Z236" s="51"/>
      <c r="AA236" s="51"/>
      <c r="AB236" s="51"/>
    </row>
    <row r="237" customFormat="false" ht="15.75" hidden="false" customHeight="false" outlineLevel="0" collapsed="false">
      <c r="A237" s="51"/>
      <c r="B237" s="51"/>
      <c r="C237" s="6"/>
      <c r="D237" s="49"/>
      <c r="E237" s="51"/>
      <c r="F237" s="6"/>
      <c r="G237" s="6"/>
      <c r="H237" s="6"/>
      <c r="I237" s="6"/>
      <c r="J237" s="6"/>
      <c r="K237" s="51"/>
      <c r="L237" s="51"/>
      <c r="M237" s="51"/>
      <c r="N237" s="51"/>
      <c r="O237" s="51"/>
      <c r="P237" s="51"/>
      <c r="Q237" s="51"/>
      <c r="R237" s="51"/>
      <c r="S237" s="51"/>
      <c r="T237" s="51"/>
      <c r="U237" s="51"/>
      <c r="V237" s="51"/>
      <c r="W237" s="51"/>
      <c r="X237" s="51"/>
      <c r="Y237" s="51"/>
      <c r="Z237" s="51"/>
      <c r="AA237" s="51"/>
      <c r="AB237" s="51"/>
    </row>
    <row r="238" customFormat="false" ht="15.75" hidden="false" customHeight="false" outlineLevel="0" collapsed="false">
      <c r="A238" s="51"/>
      <c r="B238" s="51"/>
      <c r="C238" s="6"/>
      <c r="D238" s="49"/>
      <c r="E238" s="51"/>
      <c r="F238" s="6"/>
      <c r="G238" s="6"/>
      <c r="H238" s="6"/>
      <c r="I238" s="6"/>
      <c r="J238" s="6"/>
      <c r="K238" s="51"/>
      <c r="L238" s="51"/>
      <c r="M238" s="51"/>
      <c r="N238" s="51"/>
      <c r="O238" s="51"/>
      <c r="P238" s="51"/>
      <c r="Q238" s="51"/>
      <c r="R238" s="51"/>
      <c r="S238" s="51"/>
      <c r="T238" s="51"/>
      <c r="U238" s="51"/>
      <c r="V238" s="51"/>
      <c r="W238" s="51"/>
      <c r="X238" s="51"/>
      <c r="Y238" s="51"/>
      <c r="Z238" s="51"/>
      <c r="AA238" s="51"/>
      <c r="AB238" s="51"/>
    </row>
    <row r="239" customFormat="false" ht="15.75" hidden="false" customHeight="false" outlineLevel="0" collapsed="false">
      <c r="A239" s="51"/>
      <c r="B239" s="51"/>
      <c r="C239" s="6"/>
      <c r="D239" s="49"/>
      <c r="E239" s="51"/>
      <c r="F239" s="6"/>
      <c r="G239" s="6"/>
      <c r="H239" s="6"/>
      <c r="I239" s="6"/>
      <c r="J239" s="6"/>
      <c r="K239" s="51"/>
      <c r="L239" s="51"/>
      <c r="M239" s="51"/>
      <c r="N239" s="51"/>
      <c r="O239" s="51"/>
      <c r="P239" s="51"/>
      <c r="Q239" s="51"/>
      <c r="R239" s="51"/>
      <c r="S239" s="51"/>
      <c r="T239" s="51"/>
      <c r="U239" s="51"/>
      <c r="V239" s="51"/>
      <c r="W239" s="51"/>
      <c r="X239" s="51"/>
      <c r="Y239" s="51"/>
      <c r="Z239" s="51"/>
      <c r="AA239" s="51"/>
      <c r="AB239" s="51"/>
    </row>
    <row r="240" customFormat="false" ht="15.75" hidden="false" customHeight="false" outlineLevel="0" collapsed="false">
      <c r="A240" s="51"/>
      <c r="B240" s="51"/>
      <c r="C240" s="6"/>
      <c r="D240" s="49"/>
      <c r="E240" s="51"/>
      <c r="F240" s="6"/>
      <c r="G240" s="6"/>
      <c r="H240" s="6"/>
      <c r="I240" s="6"/>
      <c r="J240" s="6"/>
      <c r="K240" s="51"/>
      <c r="L240" s="51"/>
      <c r="M240" s="51"/>
      <c r="N240" s="51"/>
      <c r="O240" s="51"/>
      <c r="P240" s="51"/>
      <c r="Q240" s="51"/>
      <c r="R240" s="51"/>
      <c r="S240" s="51"/>
      <c r="T240" s="51"/>
      <c r="U240" s="51"/>
      <c r="V240" s="51"/>
      <c r="W240" s="51"/>
      <c r="X240" s="51"/>
      <c r="Y240" s="51"/>
      <c r="Z240" s="51"/>
      <c r="AA240" s="51"/>
      <c r="AB240" s="51"/>
    </row>
    <row r="241" customFormat="false" ht="15.75" hidden="false" customHeight="false" outlineLevel="0" collapsed="false">
      <c r="A241" s="51"/>
      <c r="B241" s="51"/>
      <c r="C241" s="6"/>
      <c r="D241" s="49"/>
      <c r="E241" s="51"/>
      <c r="F241" s="6"/>
      <c r="G241" s="6"/>
      <c r="H241" s="6"/>
      <c r="I241" s="6"/>
      <c r="J241" s="6"/>
      <c r="K241" s="51"/>
      <c r="L241" s="51"/>
      <c r="M241" s="51"/>
      <c r="N241" s="51"/>
      <c r="O241" s="51"/>
      <c r="P241" s="51"/>
      <c r="Q241" s="51"/>
      <c r="R241" s="51"/>
      <c r="S241" s="51"/>
      <c r="T241" s="51"/>
      <c r="U241" s="51"/>
      <c r="V241" s="51"/>
      <c r="W241" s="51"/>
      <c r="X241" s="51"/>
      <c r="Y241" s="51"/>
      <c r="Z241" s="51"/>
      <c r="AA241" s="51"/>
      <c r="AB241" s="51"/>
    </row>
    <row r="242" customFormat="false" ht="15.75" hidden="false" customHeight="false" outlineLevel="0" collapsed="false">
      <c r="A242" s="51"/>
      <c r="B242" s="51"/>
      <c r="C242" s="6"/>
      <c r="D242" s="49"/>
      <c r="E242" s="51"/>
      <c r="F242" s="6"/>
      <c r="G242" s="6"/>
      <c r="H242" s="6"/>
      <c r="I242" s="6"/>
      <c r="J242" s="6"/>
      <c r="K242" s="51"/>
      <c r="L242" s="51"/>
      <c r="M242" s="51"/>
      <c r="N242" s="51"/>
      <c r="O242" s="51"/>
      <c r="P242" s="51"/>
      <c r="Q242" s="51"/>
      <c r="R242" s="51"/>
      <c r="S242" s="51"/>
      <c r="T242" s="51"/>
      <c r="U242" s="51"/>
      <c r="V242" s="51"/>
      <c r="W242" s="51"/>
      <c r="X242" s="51"/>
      <c r="Y242" s="51"/>
      <c r="Z242" s="51"/>
      <c r="AA242" s="51"/>
      <c r="AB242" s="51"/>
    </row>
    <row r="243" customFormat="false" ht="15.75" hidden="false" customHeight="false" outlineLevel="0" collapsed="false">
      <c r="A243" s="51"/>
      <c r="B243" s="51"/>
      <c r="C243" s="6"/>
      <c r="D243" s="49"/>
      <c r="E243" s="51"/>
      <c r="F243" s="6"/>
      <c r="G243" s="6"/>
      <c r="H243" s="6"/>
      <c r="I243" s="6"/>
      <c r="J243" s="6"/>
      <c r="K243" s="51"/>
      <c r="L243" s="51"/>
      <c r="M243" s="51"/>
      <c r="N243" s="51"/>
      <c r="O243" s="51"/>
      <c r="P243" s="51"/>
      <c r="Q243" s="51"/>
      <c r="R243" s="51"/>
      <c r="S243" s="51"/>
      <c r="T243" s="51"/>
      <c r="U243" s="51"/>
      <c r="V243" s="51"/>
      <c r="W243" s="51"/>
      <c r="X243" s="51"/>
      <c r="Y243" s="51"/>
      <c r="Z243" s="51"/>
      <c r="AA243" s="51"/>
      <c r="AB243" s="51"/>
    </row>
    <row r="244" customFormat="false" ht="15.75" hidden="false" customHeight="false" outlineLevel="0" collapsed="false">
      <c r="A244" s="51"/>
      <c r="B244" s="51"/>
      <c r="C244" s="6"/>
      <c r="D244" s="49"/>
      <c r="E244" s="51"/>
      <c r="F244" s="6"/>
      <c r="G244" s="6"/>
      <c r="H244" s="6"/>
      <c r="I244" s="6"/>
      <c r="J244" s="6"/>
      <c r="K244" s="51"/>
      <c r="L244" s="51"/>
      <c r="M244" s="51"/>
      <c r="N244" s="51"/>
      <c r="O244" s="51"/>
      <c r="P244" s="51"/>
      <c r="Q244" s="51"/>
      <c r="R244" s="51"/>
      <c r="S244" s="51"/>
      <c r="T244" s="51"/>
      <c r="U244" s="51"/>
      <c r="V244" s="51"/>
      <c r="W244" s="51"/>
      <c r="X244" s="51"/>
      <c r="Y244" s="51"/>
      <c r="Z244" s="51"/>
      <c r="AA244" s="51"/>
      <c r="AB244" s="51"/>
    </row>
    <row r="245" customFormat="false" ht="15.75" hidden="false" customHeight="false" outlineLevel="0" collapsed="false">
      <c r="A245" s="51"/>
      <c r="B245" s="51"/>
      <c r="C245" s="6"/>
      <c r="D245" s="49"/>
      <c r="E245" s="51"/>
      <c r="F245" s="6"/>
      <c r="G245" s="6"/>
      <c r="H245" s="6"/>
      <c r="I245" s="6"/>
      <c r="J245" s="6"/>
      <c r="K245" s="51"/>
      <c r="L245" s="51"/>
      <c r="M245" s="51"/>
      <c r="N245" s="51"/>
      <c r="O245" s="51"/>
      <c r="P245" s="51"/>
      <c r="Q245" s="51"/>
      <c r="R245" s="51"/>
      <c r="S245" s="51"/>
      <c r="T245" s="51"/>
      <c r="U245" s="51"/>
      <c r="V245" s="51"/>
      <c r="W245" s="51"/>
      <c r="X245" s="51"/>
      <c r="Y245" s="51"/>
      <c r="Z245" s="51"/>
      <c r="AA245" s="51"/>
      <c r="AB245" s="51"/>
    </row>
    <row r="246" customFormat="false" ht="15.75" hidden="false" customHeight="false" outlineLevel="0" collapsed="false">
      <c r="A246" s="51"/>
      <c r="B246" s="51"/>
      <c r="C246" s="6"/>
      <c r="D246" s="49"/>
      <c r="E246" s="51"/>
      <c r="F246" s="6"/>
      <c r="G246" s="6"/>
      <c r="H246" s="6"/>
      <c r="I246" s="6"/>
      <c r="J246" s="6"/>
      <c r="K246" s="51"/>
      <c r="L246" s="51"/>
      <c r="M246" s="51"/>
      <c r="N246" s="51"/>
      <c r="O246" s="51"/>
      <c r="P246" s="51"/>
      <c r="Q246" s="51"/>
      <c r="R246" s="51"/>
      <c r="S246" s="51"/>
      <c r="T246" s="51"/>
      <c r="U246" s="51"/>
      <c r="V246" s="51"/>
      <c r="W246" s="51"/>
      <c r="X246" s="51"/>
      <c r="Y246" s="51"/>
      <c r="Z246" s="51"/>
      <c r="AA246" s="51"/>
      <c r="AB246" s="51"/>
    </row>
    <row r="247" customFormat="false" ht="15.75" hidden="false" customHeight="false" outlineLevel="0" collapsed="false">
      <c r="A247" s="51"/>
      <c r="B247" s="51"/>
      <c r="C247" s="6"/>
      <c r="D247" s="49"/>
      <c r="E247" s="51"/>
      <c r="F247" s="6"/>
      <c r="G247" s="6"/>
      <c r="H247" s="6"/>
      <c r="I247" s="6"/>
      <c r="J247" s="6"/>
      <c r="K247" s="51"/>
      <c r="L247" s="51"/>
      <c r="M247" s="51"/>
      <c r="N247" s="51"/>
      <c r="O247" s="51"/>
      <c r="P247" s="51"/>
      <c r="Q247" s="51"/>
      <c r="R247" s="51"/>
      <c r="S247" s="51"/>
      <c r="T247" s="51"/>
      <c r="U247" s="51"/>
      <c r="V247" s="51"/>
      <c r="W247" s="51"/>
      <c r="X247" s="51"/>
      <c r="Y247" s="51"/>
      <c r="Z247" s="51"/>
      <c r="AA247" s="51"/>
      <c r="AB247" s="51"/>
    </row>
    <row r="248" customFormat="false" ht="15.75" hidden="false" customHeight="false" outlineLevel="0" collapsed="false">
      <c r="A248" s="51"/>
      <c r="B248" s="51"/>
      <c r="C248" s="6"/>
      <c r="D248" s="49"/>
      <c r="E248" s="51"/>
      <c r="F248" s="6"/>
      <c r="G248" s="6"/>
      <c r="H248" s="6"/>
      <c r="I248" s="6"/>
      <c r="J248" s="6"/>
      <c r="K248" s="51"/>
      <c r="L248" s="51"/>
      <c r="M248" s="51"/>
      <c r="N248" s="51"/>
      <c r="O248" s="51"/>
      <c r="P248" s="51"/>
      <c r="Q248" s="51"/>
      <c r="R248" s="51"/>
      <c r="S248" s="51"/>
      <c r="T248" s="51"/>
      <c r="U248" s="51"/>
      <c r="V248" s="51"/>
      <c r="W248" s="51"/>
      <c r="X248" s="51"/>
      <c r="Y248" s="51"/>
      <c r="Z248" s="51"/>
      <c r="AA248" s="51"/>
      <c r="AB248" s="51"/>
    </row>
    <row r="249" customFormat="false" ht="15.75" hidden="false" customHeight="false" outlineLevel="0" collapsed="false">
      <c r="A249" s="51"/>
      <c r="B249" s="51"/>
      <c r="C249" s="6"/>
      <c r="D249" s="49"/>
      <c r="E249" s="51"/>
      <c r="F249" s="6"/>
      <c r="G249" s="6"/>
      <c r="H249" s="6"/>
      <c r="I249" s="6"/>
      <c r="J249" s="6"/>
      <c r="K249" s="51"/>
      <c r="L249" s="51"/>
      <c r="M249" s="51"/>
      <c r="N249" s="51"/>
      <c r="O249" s="51"/>
      <c r="P249" s="51"/>
      <c r="Q249" s="51"/>
      <c r="R249" s="51"/>
      <c r="S249" s="51"/>
      <c r="T249" s="51"/>
      <c r="U249" s="51"/>
      <c r="V249" s="51"/>
      <c r="W249" s="51"/>
      <c r="X249" s="51"/>
      <c r="Y249" s="51"/>
      <c r="Z249" s="51"/>
      <c r="AA249" s="51"/>
      <c r="AB249" s="51"/>
    </row>
    <row r="250" customFormat="false" ht="15.75" hidden="false" customHeight="false" outlineLevel="0" collapsed="false">
      <c r="A250" s="51"/>
      <c r="B250" s="51"/>
      <c r="C250" s="6"/>
      <c r="D250" s="49"/>
      <c r="E250" s="51"/>
      <c r="F250" s="6"/>
      <c r="G250" s="6"/>
      <c r="H250" s="6"/>
      <c r="I250" s="6"/>
      <c r="J250" s="6"/>
      <c r="K250" s="51"/>
      <c r="L250" s="51"/>
      <c r="M250" s="51"/>
      <c r="N250" s="51"/>
      <c r="O250" s="51"/>
      <c r="P250" s="51"/>
      <c r="Q250" s="51"/>
      <c r="R250" s="51"/>
      <c r="S250" s="51"/>
      <c r="T250" s="51"/>
      <c r="U250" s="51"/>
      <c r="V250" s="51"/>
      <c r="W250" s="51"/>
      <c r="X250" s="51"/>
      <c r="Y250" s="51"/>
      <c r="Z250" s="51"/>
      <c r="AA250" s="51"/>
      <c r="AB250" s="51"/>
    </row>
    <row r="251" customFormat="false" ht="15.75" hidden="false" customHeight="false" outlineLevel="0" collapsed="false">
      <c r="A251" s="51"/>
      <c r="B251" s="51"/>
      <c r="C251" s="6"/>
      <c r="D251" s="49"/>
      <c r="E251" s="51"/>
      <c r="F251" s="6"/>
      <c r="G251" s="6"/>
      <c r="H251" s="6"/>
      <c r="I251" s="6"/>
      <c r="J251" s="6"/>
      <c r="K251" s="51"/>
      <c r="L251" s="51"/>
      <c r="M251" s="51"/>
      <c r="N251" s="51"/>
      <c r="O251" s="51"/>
      <c r="P251" s="51"/>
      <c r="Q251" s="51"/>
      <c r="R251" s="51"/>
      <c r="S251" s="51"/>
      <c r="T251" s="51"/>
      <c r="U251" s="51"/>
      <c r="V251" s="51"/>
      <c r="W251" s="51"/>
      <c r="X251" s="51"/>
      <c r="Y251" s="51"/>
      <c r="Z251" s="51"/>
      <c r="AA251" s="51"/>
      <c r="AB251" s="51"/>
    </row>
    <row r="252" customFormat="false" ht="15.75" hidden="false" customHeight="false" outlineLevel="0" collapsed="false">
      <c r="A252" s="51"/>
      <c r="B252" s="51"/>
      <c r="C252" s="6"/>
      <c r="D252" s="49"/>
      <c r="E252" s="51"/>
      <c r="F252" s="6"/>
      <c r="G252" s="6"/>
      <c r="H252" s="6"/>
      <c r="I252" s="6"/>
      <c r="J252" s="6"/>
      <c r="K252" s="51"/>
      <c r="L252" s="51"/>
      <c r="M252" s="51"/>
      <c r="N252" s="51"/>
      <c r="O252" s="51"/>
      <c r="P252" s="51"/>
      <c r="Q252" s="51"/>
      <c r="R252" s="51"/>
      <c r="S252" s="51"/>
      <c r="T252" s="51"/>
      <c r="U252" s="51"/>
      <c r="V252" s="51"/>
      <c r="W252" s="51"/>
      <c r="X252" s="51"/>
      <c r="Y252" s="51"/>
      <c r="Z252" s="51"/>
      <c r="AA252" s="51"/>
      <c r="AB252" s="51"/>
    </row>
    <row r="253" customFormat="false" ht="15.75" hidden="false" customHeight="false" outlineLevel="0" collapsed="false">
      <c r="A253" s="51"/>
      <c r="B253" s="51"/>
      <c r="C253" s="6"/>
      <c r="D253" s="49"/>
      <c r="E253" s="51"/>
      <c r="F253" s="6"/>
      <c r="G253" s="6"/>
      <c r="H253" s="6"/>
      <c r="I253" s="6"/>
      <c r="J253" s="6"/>
      <c r="K253" s="51"/>
      <c r="L253" s="51"/>
      <c r="M253" s="51"/>
      <c r="N253" s="51"/>
      <c r="O253" s="51"/>
      <c r="P253" s="51"/>
      <c r="Q253" s="51"/>
      <c r="R253" s="51"/>
      <c r="S253" s="51"/>
      <c r="T253" s="51"/>
      <c r="U253" s="51"/>
      <c r="V253" s="51"/>
      <c r="W253" s="51"/>
      <c r="X253" s="51"/>
      <c r="Y253" s="51"/>
      <c r="Z253" s="51"/>
      <c r="AA253" s="51"/>
      <c r="AB253" s="51"/>
    </row>
    <row r="254" customFormat="false" ht="15.75" hidden="false" customHeight="false" outlineLevel="0" collapsed="false">
      <c r="A254" s="51"/>
      <c r="B254" s="51"/>
      <c r="C254" s="6"/>
      <c r="D254" s="49"/>
      <c r="E254" s="51"/>
      <c r="F254" s="6"/>
      <c r="G254" s="6"/>
      <c r="H254" s="6"/>
      <c r="I254" s="6"/>
      <c r="J254" s="6"/>
      <c r="K254" s="51"/>
      <c r="L254" s="51"/>
      <c r="M254" s="51"/>
      <c r="N254" s="51"/>
      <c r="O254" s="51"/>
      <c r="P254" s="51"/>
      <c r="Q254" s="51"/>
      <c r="R254" s="51"/>
      <c r="S254" s="51"/>
      <c r="T254" s="51"/>
      <c r="U254" s="51"/>
      <c r="V254" s="51"/>
      <c r="W254" s="51"/>
      <c r="X254" s="51"/>
      <c r="Y254" s="51"/>
      <c r="Z254" s="51"/>
      <c r="AA254" s="51"/>
      <c r="AB254" s="51"/>
    </row>
    <row r="255" customFormat="false" ht="15.75" hidden="false" customHeight="false" outlineLevel="0" collapsed="false">
      <c r="A255" s="51"/>
      <c r="B255" s="51"/>
      <c r="C255" s="6"/>
      <c r="D255" s="49"/>
      <c r="E255" s="51"/>
      <c r="F255" s="6"/>
      <c r="G255" s="6"/>
      <c r="H255" s="6"/>
      <c r="I255" s="6"/>
      <c r="J255" s="6"/>
      <c r="K255" s="51"/>
      <c r="L255" s="51"/>
      <c r="M255" s="51"/>
      <c r="N255" s="51"/>
      <c r="O255" s="51"/>
      <c r="P255" s="51"/>
      <c r="Q255" s="51"/>
      <c r="R255" s="51"/>
      <c r="S255" s="51"/>
      <c r="T255" s="51"/>
      <c r="U255" s="51"/>
      <c r="V255" s="51"/>
      <c r="W255" s="51"/>
      <c r="X255" s="51"/>
      <c r="Y255" s="51"/>
      <c r="Z255" s="51"/>
      <c r="AA255" s="51"/>
      <c r="AB255" s="51"/>
    </row>
    <row r="256" customFormat="false" ht="15.75" hidden="false" customHeight="false" outlineLevel="0" collapsed="false">
      <c r="A256" s="51"/>
      <c r="B256" s="51"/>
      <c r="C256" s="6"/>
      <c r="D256" s="49"/>
      <c r="E256" s="51"/>
      <c r="F256" s="6"/>
      <c r="G256" s="6"/>
      <c r="H256" s="6"/>
      <c r="I256" s="6"/>
      <c r="J256" s="6"/>
      <c r="K256" s="51"/>
      <c r="L256" s="51"/>
      <c r="M256" s="51"/>
      <c r="N256" s="51"/>
      <c r="O256" s="51"/>
      <c r="P256" s="51"/>
      <c r="Q256" s="51"/>
      <c r="R256" s="51"/>
      <c r="S256" s="51"/>
      <c r="T256" s="51"/>
      <c r="U256" s="51"/>
      <c r="V256" s="51"/>
      <c r="W256" s="51"/>
      <c r="X256" s="51"/>
      <c r="Y256" s="51"/>
      <c r="Z256" s="51"/>
      <c r="AA256" s="51"/>
      <c r="AB256" s="51"/>
    </row>
    <row r="257" customFormat="false" ht="15.75" hidden="false" customHeight="false" outlineLevel="0" collapsed="false">
      <c r="A257" s="51"/>
      <c r="B257" s="51"/>
      <c r="C257" s="6"/>
      <c r="D257" s="49"/>
      <c r="E257" s="51"/>
      <c r="F257" s="6"/>
      <c r="G257" s="6"/>
      <c r="H257" s="6"/>
      <c r="I257" s="6"/>
      <c r="J257" s="6"/>
      <c r="K257" s="51"/>
      <c r="L257" s="51"/>
      <c r="M257" s="51"/>
      <c r="N257" s="51"/>
      <c r="O257" s="51"/>
      <c r="P257" s="51"/>
      <c r="Q257" s="51"/>
      <c r="R257" s="51"/>
      <c r="S257" s="51"/>
      <c r="T257" s="51"/>
      <c r="U257" s="51"/>
      <c r="V257" s="51"/>
      <c r="W257" s="51"/>
      <c r="X257" s="51"/>
      <c r="Y257" s="51"/>
      <c r="Z257" s="51"/>
      <c r="AA257" s="51"/>
      <c r="AB257" s="51"/>
    </row>
    <row r="258" customFormat="false" ht="15.75" hidden="false" customHeight="false" outlineLevel="0" collapsed="false">
      <c r="A258" s="51"/>
      <c r="B258" s="51"/>
      <c r="C258" s="6"/>
      <c r="D258" s="49"/>
      <c r="E258" s="51"/>
      <c r="F258" s="6"/>
      <c r="G258" s="6"/>
      <c r="H258" s="6"/>
      <c r="I258" s="6"/>
      <c r="J258" s="6"/>
      <c r="K258" s="51"/>
      <c r="L258" s="51"/>
      <c r="M258" s="51"/>
      <c r="N258" s="51"/>
      <c r="O258" s="51"/>
      <c r="P258" s="51"/>
      <c r="Q258" s="51"/>
      <c r="R258" s="51"/>
      <c r="S258" s="51"/>
      <c r="T258" s="51"/>
      <c r="U258" s="51"/>
      <c r="V258" s="51"/>
      <c r="W258" s="51"/>
      <c r="X258" s="51"/>
      <c r="Y258" s="51"/>
      <c r="Z258" s="51"/>
      <c r="AA258" s="51"/>
      <c r="AB258" s="51"/>
    </row>
    <row r="259" customFormat="false" ht="15.75" hidden="false" customHeight="false" outlineLevel="0" collapsed="false">
      <c r="A259" s="51"/>
      <c r="B259" s="51"/>
      <c r="C259" s="6"/>
      <c r="D259" s="49"/>
      <c r="E259" s="51"/>
      <c r="F259" s="6"/>
      <c r="G259" s="6"/>
      <c r="H259" s="6"/>
      <c r="I259" s="6"/>
      <c r="J259" s="6"/>
      <c r="K259" s="51"/>
      <c r="L259" s="51"/>
      <c r="M259" s="51"/>
      <c r="N259" s="51"/>
      <c r="O259" s="51"/>
      <c r="P259" s="51"/>
      <c r="Q259" s="51"/>
      <c r="R259" s="51"/>
      <c r="S259" s="51"/>
      <c r="T259" s="51"/>
      <c r="U259" s="51"/>
      <c r="V259" s="51"/>
      <c r="W259" s="51"/>
      <c r="X259" s="51"/>
      <c r="Y259" s="51"/>
      <c r="Z259" s="51"/>
      <c r="AA259" s="51"/>
      <c r="AB259" s="51"/>
    </row>
    <row r="260" customFormat="false" ht="15.75" hidden="false" customHeight="false" outlineLevel="0" collapsed="false">
      <c r="A260" s="51"/>
      <c r="B260" s="51"/>
      <c r="C260" s="6"/>
      <c r="D260" s="49"/>
      <c r="E260" s="51"/>
      <c r="F260" s="6"/>
      <c r="G260" s="6"/>
      <c r="H260" s="6"/>
      <c r="I260" s="6"/>
      <c r="J260" s="6"/>
      <c r="K260" s="51"/>
      <c r="L260" s="51"/>
      <c r="M260" s="51"/>
      <c r="N260" s="51"/>
      <c r="O260" s="51"/>
      <c r="P260" s="51"/>
      <c r="Q260" s="51"/>
      <c r="R260" s="51"/>
      <c r="S260" s="51"/>
      <c r="T260" s="51"/>
      <c r="U260" s="51"/>
      <c r="V260" s="51"/>
      <c r="W260" s="51"/>
      <c r="X260" s="51"/>
      <c r="Y260" s="51"/>
      <c r="Z260" s="51"/>
      <c r="AA260" s="51"/>
      <c r="AB260" s="51"/>
    </row>
    <row r="261" customFormat="false" ht="15.75" hidden="false" customHeight="false" outlineLevel="0" collapsed="false">
      <c r="A261" s="51"/>
      <c r="B261" s="51"/>
      <c r="C261" s="6"/>
      <c r="D261" s="49"/>
      <c r="E261" s="51"/>
      <c r="F261" s="6"/>
      <c r="G261" s="6"/>
      <c r="H261" s="6"/>
      <c r="I261" s="6"/>
      <c r="J261" s="6"/>
      <c r="K261" s="51"/>
      <c r="L261" s="51"/>
      <c r="M261" s="51"/>
      <c r="N261" s="51"/>
      <c r="O261" s="51"/>
      <c r="P261" s="51"/>
      <c r="Q261" s="51"/>
      <c r="R261" s="51"/>
      <c r="S261" s="51"/>
      <c r="T261" s="51"/>
      <c r="U261" s="51"/>
      <c r="V261" s="51"/>
      <c r="W261" s="51"/>
      <c r="X261" s="51"/>
      <c r="Y261" s="51"/>
      <c r="Z261" s="51"/>
      <c r="AA261" s="51"/>
      <c r="AB261" s="51"/>
    </row>
    <row r="262" customFormat="false" ht="15.75" hidden="false" customHeight="false" outlineLevel="0" collapsed="false">
      <c r="A262" s="51"/>
      <c r="B262" s="51"/>
      <c r="C262" s="6"/>
      <c r="D262" s="49"/>
      <c r="E262" s="51"/>
      <c r="F262" s="6"/>
      <c r="G262" s="6"/>
      <c r="H262" s="6"/>
      <c r="I262" s="6"/>
      <c r="J262" s="6"/>
      <c r="K262" s="51"/>
      <c r="L262" s="51"/>
      <c r="M262" s="51"/>
      <c r="N262" s="51"/>
      <c r="O262" s="51"/>
      <c r="P262" s="51"/>
      <c r="Q262" s="51"/>
      <c r="R262" s="51"/>
      <c r="S262" s="51"/>
      <c r="T262" s="51"/>
      <c r="U262" s="51"/>
      <c r="V262" s="51"/>
      <c r="W262" s="51"/>
      <c r="X262" s="51"/>
      <c r="Y262" s="51"/>
      <c r="Z262" s="51"/>
      <c r="AA262" s="51"/>
      <c r="AB262" s="51"/>
    </row>
    <row r="263" customFormat="false" ht="15.75" hidden="false" customHeight="false" outlineLevel="0" collapsed="false">
      <c r="A263" s="51"/>
      <c r="B263" s="51"/>
      <c r="C263" s="6"/>
      <c r="D263" s="49"/>
      <c r="E263" s="51"/>
      <c r="F263" s="6"/>
      <c r="G263" s="6"/>
      <c r="H263" s="6"/>
      <c r="I263" s="6"/>
      <c r="J263" s="6"/>
      <c r="K263" s="51"/>
      <c r="L263" s="51"/>
      <c r="M263" s="51"/>
      <c r="N263" s="51"/>
      <c r="O263" s="51"/>
      <c r="P263" s="51"/>
      <c r="Q263" s="51"/>
      <c r="R263" s="51"/>
      <c r="S263" s="51"/>
      <c r="T263" s="51"/>
      <c r="U263" s="51"/>
      <c r="V263" s="51"/>
      <c r="W263" s="51"/>
      <c r="X263" s="51"/>
      <c r="Y263" s="51"/>
      <c r="Z263" s="51"/>
      <c r="AA263" s="51"/>
      <c r="AB263" s="51"/>
    </row>
    <row r="264" customFormat="false" ht="15.75" hidden="false" customHeight="false" outlineLevel="0" collapsed="false">
      <c r="A264" s="51"/>
      <c r="B264" s="51"/>
      <c r="C264" s="6"/>
      <c r="D264" s="49"/>
      <c r="E264" s="51"/>
      <c r="F264" s="6"/>
      <c r="G264" s="6"/>
      <c r="H264" s="6"/>
      <c r="I264" s="6"/>
      <c r="J264" s="6"/>
      <c r="K264" s="51"/>
      <c r="L264" s="51"/>
      <c r="M264" s="51"/>
      <c r="N264" s="51"/>
      <c r="O264" s="51"/>
      <c r="P264" s="51"/>
      <c r="Q264" s="51"/>
      <c r="R264" s="51"/>
      <c r="S264" s="51"/>
      <c r="T264" s="51"/>
      <c r="U264" s="51"/>
      <c r="V264" s="51"/>
      <c r="W264" s="51"/>
      <c r="X264" s="51"/>
      <c r="Y264" s="51"/>
      <c r="Z264" s="51"/>
      <c r="AA264" s="51"/>
      <c r="AB264" s="51"/>
    </row>
    <row r="265" customFormat="false" ht="15.75" hidden="false" customHeight="false" outlineLevel="0" collapsed="false">
      <c r="A265" s="51"/>
      <c r="B265" s="51"/>
      <c r="C265" s="6"/>
      <c r="D265" s="49"/>
      <c r="E265" s="51"/>
      <c r="F265" s="6"/>
      <c r="G265" s="6"/>
      <c r="H265" s="6"/>
      <c r="I265" s="6"/>
      <c r="J265" s="6"/>
      <c r="K265" s="51"/>
      <c r="L265" s="51"/>
      <c r="M265" s="51"/>
      <c r="N265" s="51"/>
      <c r="O265" s="51"/>
      <c r="P265" s="51"/>
      <c r="Q265" s="51"/>
      <c r="R265" s="51"/>
      <c r="S265" s="51"/>
      <c r="T265" s="51"/>
      <c r="U265" s="51"/>
      <c r="V265" s="51"/>
      <c r="W265" s="51"/>
      <c r="X265" s="51"/>
      <c r="Y265" s="51"/>
      <c r="Z265" s="51"/>
      <c r="AA265" s="51"/>
      <c r="AB265" s="51"/>
    </row>
    <row r="266" customFormat="false" ht="15.75" hidden="false" customHeight="false" outlineLevel="0" collapsed="false">
      <c r="A266" s="51"/>
      <c r="B266" s="51"/>
      <c r="C266" s="6"/>
      <c r="D266" s="49"/>
      <c r="E266" s="51"/>
      <c r="F266" s="6"/>
      <c r="G266" s="6"/>
      <c r="H266" s="6"/>
      <c r="I266" s="6"/>
      <c r="J266" s="6"/>
      <c r="K266" s="51"/>
      <c r="L266" s="51"/>
      <c r="M266" s="51"/>
      <c r="N266" s="51"/>
      <c r="O266" s="51"/>
      <c r="P266" s="51"/>
      <c r="Q266" s="51"/>
      <c r="R266" s="51"/>
      <c r="S266" s="51"/>
      <c r="T266" s="51"/>
      <c r="U266" s="51"/>
      <c r="V266" s="51"/>
      <c r="W266" s="51"/>
      <c r="X266" s="51"/>
      <c r="Y266" s="51"/>
      <c r="Z266" s="51"/>
      <c r="AA266" s="51"/>
      <c r="AB266" s="51"/>
    </row>
    <row r="267" customFormat="false" ht="15.75" hidden="false" customHeight="false" outlineLevel="0" collapsed="false">
      <c r="A267" s="51"/>
      <c r="B267" s="51"/>
      <c r="C267" s="6"/>
      <c r="D267" s="49"/>
      <c r="E267" s="51"/>
      <c r="F267" s="6"/>
      <c r="G267" s="6"/>
      <c r="H267" s="6"/>
      <c r="I267" s="6"/>
      <c r="J267" s="6"/>
      <c r="K267" s="51"/>
      <c r="L267" s="51"/>
      <c r="M267" s="51"/>
      <c r="N267" s="51"/>
      <c r="O267" s="51"/>
      <c r="P267" s="51"/>
      <c r="Q267" s="51"/>
      <c r="R267" s="51"/>
      <c r="S267" s="51"/>
      <c r="T267" s="51"/>
      <c r="U267" s="51"/>
      <c r="V267" s="51"/>
      <c r="W267" s="51"/>
      <c r="X267" s="51"/>
      <c r="Y267" s="51"/>
      <c r="Z267" s="51"/>
      <c r="AA267" s="51"/>
      <c r="AB267" s="51"/>
    </row>
    <row r="268" customFormat="false" ht="15.75" hidden="false" customHeight="false" outlineLevel="0" collapsed="false">
      <c r="A268" s="51"/>
      <c r="B268" s="51"/>
      <c r="C268" s="6"/>
      <c r="D268" s="49"/>
      <c r="E268" s="51"/>
      <c r="F268" s="6"/>
      <c r="G268" s="6"/>
      <c r="H268" s="6"/>
      <c r="I268" s="6"/>
      <c r="J268" s="6"/>
      <c r="K268" s="51"/>
      <c r="L268" s="51"/>
      <c r="M268" s="51"/>
      <c r="N268" s="51"/>
      <c r="O268" s="51"/>
      <c r="P268" s="51"/>
      <c r="Q268" s="51"/>
      <c r="R268" s="51"/>
      <c r="S268" s="51"/>
      <c r="T268" s="51"/>
      <c r="U268" s="51"/>
      <c r="V268" s="51"/>
      <c r="W268" s="51"/>
      <c r="X268" s="51"/>
      <c r="Y268" s="51"/>
      <c r="Z268" s="51"/>
      <c r="AA268" s="51"/>
      <c r="AB268" s="51"/>
    </row>
    <row r="269" customFormat="false" ht="15.75" hidden="false" customHeight="false" outlineLevel="0" collapsed="false">
      <c r="A269" s="51"/>
      <c r="B269" s="51"/>
      <c r="C269" s="6"/>
      <c r="D269" s="49"/>
      <c r="E269" s="51"/>
      <c r="F269" s="6"/>
      <c r="G269" s="6"/>
      <c r="H269" s="6"/>
      <c r="I269" s="6"/>
      <c r="J269" s="6"/>
      <c r="K269" s="51"/>
      <c r="L269" s="51"/>
      <c r="M269" s="51"/>
      <c r="N269" s="51"/>
      <c r="O269" s="51"/>
      <c r="P269" s="51"/>
      <c r="Q269" s="51"/>
      <c r="R269" s="51"/>
      <c r="S269" s="51"/>
      <c r="T269" s="51"/>
      <c r="U269" s="51"/>
      <c r="V269" s="51"/>
      <c r="W269" s="51"/>
      <c r="X269" s="51"/>
      <c r="Y269" s="51"/>
      <c r="Z269" s="51"/>
      <c r="AA269" s="51"/>
      <c r="AB269" s="51"/>
    </row>
    <row r="270" customFormat="false" ht="15.75" hidden="false" customHeight="false" outlineLevel="0" collapsed="false">
      <c r="A270" s="51"/>
      <c r="B270" s="51"/>
      <c r="C270" s="6"/>
      <c r="D270" s="49"/>
      <c r="E270" s="51"/>
      <c r="F270" s="6"/>
      <c r="G270" s="6"/>
      <c r="H270" s="6"/>
      <c r="I270" s="6"/>
      <c r="J270" s="6"/>
      <c r="K270" s="51"/>
      <c r="L270" s="51"/>
      <c r="M270" s="51"/>
      <c r="N270" s="51"/>
      <c r="O270" s="51"/>
      <c r="P270" s="51"/>
      <c r="Q270" s="51"/>
      <c r="R270" s="51"/>
      <c r="S270" s="51"/>
      <c r="T270" s="51"/>
      <c r="U270" s="51"/>
      <c r="V270" s="51"/>
      <c r="W270" s="51"/>
      <c r="X270" s="51"/>
      <c r="Y270" s="51"/>
      <c r="Z270" s="51"/>
      <c r="AA270" s="51"/>
      <c r="AB270" s="51"/>
    </row>
    <row r="271" customFormat="false" ht="15.75" hidden="false" customHeight="false" outlineLevel="0" collapsed="false">
      <c r="A271" s="51"/>
      <c r="B271" s="51"/>
      <c r="C271" s="6"/>
      <c r="D271" s="49"/>
      <c r="E271" s="51"/>
      <c r="F271" s="6"/>
      <c r="G271" s="6"/>
      <c r="H271" s="6"/>
      <c r="I271" s="6"/>
      <c r="J271" s="6"/>
      <c r="K271" s="51"/>
      <c r="L271" s="51"/>
      <c r="M271" s="51"/>
      <c r="N271" s="51"/>
      <c r="O271" s="51"/>
      <c r="P271" s="51"/>
      <c r="Q271" s="51"/>
      <c r="R271" s="51"/>
      <c r="S271" s="51"/>
      <c r="T271" s="51"/>
      <c r="U271" s="51"/>
      <c r="V271" s="51"/>
      <c r="W271" s="51"/>
      <c r="X271" s="51"/>
      <c r="Y271" s="51"/>
      <c r="Z271" s="51"/>
      <c r="AA271" s="51"/>
      <c r="AB271" s="51"/>
    </row>
    <row r="272" customFormat="false" ht="15.75" hidden="false" customHeight="false" outlineLevel="0" collapsed="false">
      <c r="A272" s="51"/>
      <c r="B272" s="51"/>
      <c r="C272" s="6"/>
      <c r="D272" s="49"/>
      <c r="E272" s="51"/>
      <c r="F272" s="6"/>
      <c r="G272" s="6"/>
      <c r="H272" s="6"/>
      <c r="I272" s="6"/>
      <c r="J272" s="6"/>
      <c r="K272" s="51"/>
      <c r="L272" s="51"/>
      <c r="M272" s="51"/>
      <c r="N272" s="51"/>
      <c r="O272" s="51"/>
      <c r="P272" s="51"/>
      <c r="Q272" s="51"/>
      <c r="R272" s="51"/>
      <c r="S272" s="51"/>
      <c r="T272" s="51"/>
      <c r="U272" s="51"/>
      <c r="V272" s="51"/>
      <c r="W272" s="51"/>
      <c r="X272" s="51"/>
      <c r="Y272" s="51"/>
      <c r="Z272" s="51"/>
      <c r="AA272" s="51"/>
      <c r="AB272" s="51"/>
    </row>
    <row r="273" customFormat="false" ht="15.75" hidden="false" customHeight="false" outlineLevel="0" collapsed="false">
      <c r="A273" s="51"/>
      <c r="B273" s="51"/>
      <c r="C273" s="6"/>
      <c r="D273" s="49"/>
      <c r="E273" s="51"/>
      <c r="F273" s="6"/>
      <c r="G273" s="6"/>
      <c r="H273" s="6"/>
      <c r="I273" s="6"/>
      <c r="J273" s="6"/>
      <c r="K273" s="51"/>
      <c r="L273" s="51"/>
      <c r="M273" s="51"/>
      <c r="N273" s="51"/>
      <c r="O273" s="51"/>
      <c r="P273" s="51"/>
      <c r="Q273" s="51"/>
      <c r="R273" s="51"/>
      <c r="S273" s="51"/>
      <c r="T273" s="51"/>
      <c r="U273" s="51"/>
      <c r="V273" s="51"/>
      <c r="W273" s="51"/>
      <c r="X273" s="51"/>
      <c r="Y273" s="51"/>
      <c r="Z273" s="51"/>
      <c r="AA273" s="51"/>
      <c r="AB273" s="51"/>
    </row>
    <row r="274" customFormat="false" ht="15.75" hidden="false" customHeight="false" outlineLevel="0" collapsed="false">
      <c r="A274" s="51"/>
      <c r="B274" s="51"/>
      <c r="C274" s="6"/>
      <c r="D274" s="49"/>
      <c r="E274" s="51"/>
      <c r="F274" s="6"/>
      <c r="G274" s="6"/>
      <c r="H274" s="6"/>
      <c r="I274" s="6"/>
      <c r="J274" s="6"/>
      <c r="K274" s="51"/>
      <c r="L274" s="51"/>
      <c r="M274" s="51"/>
      <c r="N274" s="51"/>
      <c r="O274" s="51"/>
      <c r="P274" s="51"/>
      <c r="Q274" s="51"/>
      <c r="R274" s="51"/>
      <c r="S274" s="51"/>
      <c r="T274" s="51"/>
      <c r="U274" s="51"/>
      <c r="V274" s="51"/>
      <c r="W274" s="51"/>
      <c r="X274" s="51"/>
      <c r="Y274" s="51"/>
      <c r="Z274" s="51"/>
      <c r="AA274" s="51"/>
      <c r="AB274" s="51"/>
    </row>
    <row r="275" customFormat="false" ht="15.75" hidden="false" customHeight="false" outlineLevel="0" collapsed="false">
      <c r="A275" s="51"/>
      <c r="B275" s="51"/>
      <c r="C275" s="6"/>
      <c r="D275" s="49"/>
      <c r="E275" s="51"/>
      <c r="F275" s="6"/>
      <c r="G275" s="6"/>
      <c r="H275" s="6"/>
      <c r="I275" s="6"/>
      <c r="J275" s="6"/>
      <c r="K275" s="51"/>
      <c r="L275" s="51"/>
      <c r="M275" s="51"/>
      <c r="N275" s="51"/>
      <c r="O275" s="51"/>
      <c r="P275" s="51"/>
      <c r="Q275" s="51"/>
      <c r="R275" s="51"/>
      <c r="S275" s="51"/>
      <c r="T275" s="51"/>
      <c r="U275" s="51"/>
      <c r="V275" s="51"/>
      <c r="W275" s="51"/>
      <c r="X275" s="51"/>
      <c r="Y275" s="51"/>
      <c r="Z275" s="51"/>
      <c r="AA275" s="51"/>
      <c r="AB275" s="51"/>
    </row>
    <row r="276" customFormat="false" ht="15.75" hidden="false" customHeight="false" outlineLevel="0" collapsed="false">
      <c r="A276" s="51"/>
      <c r="B276" s="51"/>
      <c r="C276" s="6"/>
      <c r="D276" s="49"/>
      <c r="E276" s="51"/>
      <c r="F276" s="6"/>
      <c r="G276" s="6"/>
      <c r="H276" s="6"/>
      <c r="I276" s="6"/>
      <c r="J276" s="6"/>
      <c r="K276" s="51"/>
      <c r="L276" s="51"/>
      <c r="M276" s="51"/>
      <c r="N276" s="51"/>
      <c r="O276" s="51"/>
      <c r="P276" s="51"/>
      <c r="Q276" s="51"/>
      <c r="R276" s="51"/>
      <c r="S276" s="51"/>
      <c r="T276" s="51"/>
      <c r="U276" s="51"/>
      <c r="V276" s="51"/>
      <c r="W276" s="51"/>
      <c r="X276" s="51"/>
      <c r="Y276" s="51"/>
      <c r="Z276" s="51"/>
      <c r="AA276" s="51"/>
      <c r="AB276" s="51"/>
    </row>
    <row r="277" customFormat="false" ht="15.75" hidden="false" customHeight="false" outlineLevel="0" collapsed="false">
      <c r="A277" s="51"/>
      <c r="B277" s="51"/>
      <c r="C277" s="6"/>
      <c r="D277" s="49"/>
      <c r="E277" s="51"/>
      <c r="F277" s="6"/>
      <c r="G277" s="6"/>
      <c r="H277" s="6"/>
      <c r="I277" s="6"/>
      <c r="J277" s="6"/>
      <c r="K277" s="51"/>
      <c r="L277" s="51"/>
      <c r="M277" s="51"/>
      <c r="N277" s="51"/>
      <c r="O277" s="51"/>
      <c r="P277" s="51"/>
      <c r="Q277" s="51"/>
      <c r="R277" s="51"/>
      <c r="S277" s="51"/>
      <c r="T277" s="51"/>
      <c r="U277" s="51"/>
      <c r="V277" s="51"/>
      <c r="W277" s="51"/>
      <c r="X277" s="51"/>
      <c r="Y277" s="51"/>
      <c r="Z277" s="51"/>
      <c r="AA277" s="51"/>
      <c r="AB277" s="51"/>
    </row>
    <row r="278" customFormat="false" ht="15.75" hidden="false" customHeight="false" outlineLevel="0" collapsed="false">
      <c r="A278" s="51"/>
      <c r="B278" s="51"/>
      <c r="C278" s="6"/>
      <c r="D278" s="49"/>
      <c r="E278" s="51"/>
      <c r="F278" s="6"/>
      <c r="G278" s="6"/>
      <c r="H278" s="6"/>
      <c r="I278" s="6"/>
      <c r="J278" s="6"/>
      <c r="K278" s="51"/>
      <c r="L278" s="51"/>
      <c r="M278" s="51"/>
      <c r="N278" s="51"/>
      <c r="O278" s="51"/>
      <c r="P278" s="51"/>
      <c r="Q278" s="51"/>
      <c r="R278" s="51"/>
      <c r="S278" s="51"/>
      <c r="T278" s="51"/>
      <c r="U278" s="51"/>
      <c r="V278" s="51"/>
      <c r="W278" s="51"/>
      <c r="X278" s="51"/>
      <c r="Y278" s="51"/>
      <c r="Z278" s="51"/>
      <c r="AA278" s="51"/>
      <c r="AB278" s="51"/>
    </row>
    <row r="279" customFormat="false" ht="15.75" hidden="false" customHeight="false" outlineLevel="0" collapsed="false">
      <c r="A279" s="51"/>
      <c r="B279" s="51"/>
      <c r="C279" s="6"/>
      <c r="D279" s="49"/>
      <c r="E279" s="51"/>
      <c r="F279" s="6"/>
      <c r="G279" s="6"/>
      <c r="H279" s="6"/>
      <c r="I279" s="6"/>
      <c r="J279" s="6"/>
      <c r="K279" s="51"/>
      <c r="L279" s="51"/>
      <c r="M279" s="51"/>
      <c r="N279" s="51"/>
      <c r="O279" s="51"/>
      <c r="P279" s="51"/>
      <c r="Q279" s="51"/>
      <c r="R279" s="51"/>
      <c r="S279" s="51"/>
      <c r="T279" s="51"/>
      <c r="U279" s="51"/>
      <c r="V279" s="51"/>
      <c r="W279" s="51"/>
      <c r="X279" s="51"/>
      <c r="Y279" s="51"/>
      <c r="Z279" s="51"/>
      <c r="AA279" s="51"/>
      <c r="AB279" s="51"/>
    </row>
    <row r="280" customFormat="false" ht="15.75" hidden="false" customHeight="false" outlineLevel="0" collapsed="false">
      <c r="A280" s="51"/>
      <c r="B280" s="51"/>
      <c r="C280" s="6"/>
      <c r="D280" s="49"/>
      <c r="E280" s="51"/>
      <c r="F280" s="6"/>
      <c r="G280" s="6"/>
      <c r="H280" s="6"/>
      <c r="I280" s="6"/>
      <c r="J280" s="6"/>
      <c r="K280" s="51"/>
      <c r="L280" s="51"/>
      <c r="M280" s="51"/>
      <c r="N280" s="51"/>
      <c r="O280" s="51"/>
      <c r="P280" s="51"/>
      <c r="Q280" s="51"/>
      <c r="R280" s="51"/>
      <c r="S280" s="51"/>
      <c r="T280" s="51"/>
      <c r="U280" s="51"/>
      <c r="V280" s="51"/>
      <c r="W280" s="51"/>
      <c r="X280" s="51"/>
      <c r="Y280" s="51"/>
      <c r="Z280" s="51"/>
      <c r="AA280" s="51"/>
      <c r="AB280" s="51"/>
    </row>
    <row r="281" customFormat="false" ht="15.75" hidden="false" customHeight="false" outlineLevel="0" collapsed="false">
      <c r="A281" s="51"/>
      <c r="B281" s="51"/>
      <c r="C281" s="6"/>
      <c r="D281" s="49"/>
      <c r="E281" s="51"/>
      <c r="F281" s="6"/>
      <c r="G281" s="6"/>
      <c r="H281" s="6"/>
      <c r="I281" s="6"/>
      <c r="J281" s="6"/>
      <c r="K281" s="51"/>
      <c r="L281" s="51"/>
      <c r="M281" s="51"/>
      <c r="N281" s="51"/>
      <c r="O281" s="51"/>
      <c r="P281" s="51"/>
      <c r="Q281" s="51"/>
      <c r="R281" s="51"/>
      <c r="S281" s="51"/>
      <c r="T281" s="51"/>
      <c r="U281" s="51"/>
      <c r="V281" s="51"/>
      <c r="W281" s="51"/>
      <c r="X281" s="51"/>
      <c r="Y281" s="51"/>
      <c r="Z281" s="51"/>
      <c r="AA281" s="51"/>
      <c r="AB281" s="51"/>
    </row>
    <row r="282" customFormat="false" ht="15.75" hidden="false" customHeight="false" outlineLevel="0" collapsed="false">
      <c r="A282" s="51"/>
      <c r="B282" s="51"/>
      <c r="C282" s="6"/>
      <c r="D282" s="49"/>
      <c r="E282" s="51"/>
      <c r="F282" s="6"/>
      <c r="G282" s="6"/>
      <c r="H282" s="6"/>
      <c r="I282" s="6"/>
      <c r="J282" s="6"/>
      <c r="K282" s="51"/>
      <c r="L282" s="51"/>
      <c r="M282" s="51"/>
      <c r="N282" s="51"/>
      <c r="O282" s="51"/>
      <c r="P282" s="51"/>
      <c r="Q282" s="51"/>
      <c r="R282" s="51"/>
      <c r="S282" s="51"/>
      <c r="T282" s="51"/>
      <c r="U282" s="51"/>
      <c r="V282" s="51"/>
      <c r="W282" s="51"/>
      <c r="X282" s="51"/>
      <c r="Y282" s="51"/>
      <c r="Z282" s="51"/>
      <c r="AA282" s="51"/>
      <c r="AB282" s="51"/>
    </row>
    <row r="283" customFormat="false" ht="15.75" hidden="false" customHeight="false" outlineLevel="0" collapsed="false">
      <c r="A283" s="51"/>
      <c r="B283" s="51"/>
      <c r="C283" s="6"/>
      <c r="D283" s="49"/>
      <c r="E283" s="51"/>
      <c r="F283" s="6"/>
      <c r="G283" s="6"/>
      <c r="H283" s="6"/>
      <c r="I283" s="6"/>
      <c r="J283" s="6"/>
      <c r="K283" s="51"/>
      <c r="L283" s="51"/>
      <c r="M283" s="51"/>
      <c r="N283" s="51"/>
      <c r="O283" s="51"/>
      <c r="P283" s="51"/>
      <c r="Q283" s="51"/>
      <c r="R283" s="51"/>
      <c r="S283" s="51"/>
      <c r="T283" s="51"/>
      <c r="U283" s="51"/>
      <c r="V283" s="51"/>
      <c r="W283" s="51"/>
      <c r="X283" s="51"/>
      <c r="Y283" s="51"/>
      <c r="Z283" s="51"/>
      <c r="AA283" s="51"/>
      <c r="AB283" s="51"/>
    </row>
    <row r="284" customFormat="false" ht="15.75" hidden="false" customHeight="false" outlineLevel="0" collapsed="false">
      <c r="A284" s="51"/>
      <c r="B284" s="51"/>
      <c r="C284" s="6"/>
      <c r="D284" s="49"/>
      <c r="E284" s="51"/>
      <c r="F284" s="6"/>
      <c r="G284" s="6"/>
      <c r="H284" s="6"/>
      <c r="I284" s="6"/>
      <c r="J284" s="6"/>
      <c r="K284" s="51"/>
      <c r="L284" s="51"/>
      <c r="M284" s="51"/>
      <c r="N284" s="51"/>
      <c r="O284" s="51"/>
      <c r="P284" s="51"/>
      <c r="Q284" s="51"/>
      <c r="R284" s="51"/>
      <c r="S284" s="51"/>
      <c r="T284" s="51"/>
      <c r="U284" s="51"/>
      <c r="V284" s="51"/>
      <c r="W284" s="51"/>
      <c r="X284" s="51"/>
      <c r="Y284" s="51"/>
      <c r="Z284" s="51"/>
      <c r="AA284" s="51"/>
      <c r="AB284" s="51"/>
    </row>
    <row r="285" customFormat="false" ht="15.75" hidden="false" customHeight="false" outlineLevel="0" collapsed="false">
      <c r="A285" s="51"/>
      <c r="B285" s="51"/>
      <c r="C285" s="6"/>
      <c r="D285" s="49"/>
      <c r="E285" s="51"/>
      <c r="F285" s="6"/>
      <c r="G285" s="6"/>
      <c r="H285" s="6"/>
      <c r="I285" s="6"/>
      <c r="J285" s="6"/>
      <c r="K285" s="51"/>
      <c r="L285" s="51"/>
      <c r="M285" s="51"/>
      <c r="N285" s="51"/>
      <c r="O285" s="51"/>
      <c r="P285" s="51"/>
      <c r="Q285" s="51"/>
      <c r="R285" s="51"/>
      <c r="S285" s="51"/>
      <c r="T285" s="51"/>
      <c r="U285" s="51"/>
      <c r="V285" s="51"/>
      <c r="W285" s="51"/>
      <c r="X285" s="51"/>
      <c r="Y285" s="51"/>
      <c r="Z285" s="51"/>
      <c r="AA285" s="51"/>
      <c r="AB285" s="51"/>
    </row>
    <row r="286" customFormat="false" ht="15.75" hidden="false" customHeight="false" outlineLevel="0" collapsed="false">
      <c r="A286" s="51"/>
      <c r="B286" s="51"/>
      <c r="C286" s="6"/>
      <c r="D286" s="49"/>
      <c r="E286" s="51"/>
      <c r="F286" s="6"/>
      <c r="G286" s="6"/>
      <c r="H286" s="6"/>
      <c r="I286" s="6"/>
      <c r="J286" s="6"/>
      <c r="K286" s="51"/>
      <c r="L286" s="51"/>
      <c r="M286" s="51"/>
      <c r="N286" s="51"/>
      <c r="O286" s="51"/>
      <c r="P286" s="51"/>
      <c r="Q286" s="51"/>
      <c r="R286" s="51"/>
      <c r="S286" s="51"/>
      <c r="T286" s="51"/>
      <c r="U286" s="51"/>
      <c r="V286" s="51"/>
      <c r="W286" s="51"/>
      <c r="X286" s="51"/>
      <c r="Y286" s="51"/>
      <c r="Z286" s="51"/>
      <c r="AA286" s="51"/>
      <c r="AB286" s="51"/>
    </row>
    <row r="287" customFormat="false" ht="15.75" hidden="false" customHeight="false" outlineLevel="0" collapsed="false">
      <c r="A287" s="51"/>
      <c r="B287" s="51"/>
      <c r="C287" s="6"/>
      <c r="D287" s="49"/>
      <c r="E287" s="51"/>
      <c r="F287" s="6"/>
      <c r="G287" s="6"/>
      <c r="H287" s="6"/>
      <c r="I287" s="6"/>
      <c r="J287" s="6"/>
      <c r="K287" s="51"/>
      <c r="L287" s="51"/>
      <c r="M287" s="51"/>
      <c r="N287" s="51"/>
      <c r="O287" s="51"/>
      <c r="P287" s="51"/>
      <c r="Q287" s="51"/>
      <c r="R287" s="51"/>
      <c r="S287" s="51"/>
      <c r="T287" s="51"/>
      <c r="U287" s="51"/>
      <c r="V287" s="51"/>
      <c r="W287" s="51"/>
      <c r="X287" s="51"/>
      <c r="Y287" s="51"/>
      <c r="Z287" s="51"/>
      <c r="AA287" s="51"/>
      <c r="AB287" s="51"/>
    </row>
    <row r="288" customFormat="false" ht="15.75" hidden="false" customHeight="false" outlineLevel="0" collapsed="false">
      <c r="A288" s="51"/>
      <c r="B288" s="51"/>
      <c r="C288" s="6"/>
      <c r="D288" s="49"/>
      <c r="E288" s="51"/>
      <c r="F288" s="6"/>
      <c r="G288" s="6"/>
      <c r="H288" s="6"/>
      <c r="I288" s="6"/>
      <c r="J288" s="6"/>
      <c r="K288" s="51"/>
      <c r="L288" s="51"/>
      <c r="M288" s="51"/>
      <c r="N288" s="51"/>
      <c r="O288" s="51"/>
      <c r="P288" s="51"/>
      <c r="Q288" s="51"/>
      <c r="R288" s="51"/>
      <c r="S288" s="51"/>
      <c r="T288" s="51"/>
      <c r="U288" s="51"/>
      <c r="V288" s="51"/>
      <c r="W288" s="51"/>
      <c r="X288" s="51"/>
      <c r="Y288" s="51"/>
      <c r="Z288" s="51"/>
      <c r="AA288" s="51"/>
      <c r="AB288" s="51"/>
    </row>
    <row r="289" customFormat="false" ht="15.75" hidden="false" customHeight="false" outlineLevel="0" collapsed="false">
      <c r="A289" s="51"/>
      <c r="B289" s="51"/>
      <c r="C289" s="6"/>
      <c r="D289" s="49"/>
      <c r="E289" s="51"/>
      <c r="F289" s="6"/>
      <c r="G289" s="6"/>
      <c r="H289" s="6"/>
      <c r="I289" s="6"/>
      <c r="J289" s="6"/>
      <c r="K289" s="51"/>
      <c r="L289" s="51"/>
      <c r="M289" s="51"/>
      <c r="N289" s="51"/>
      <c r="O289" s="51"/>
      <c r="P289" s="51"/>
      <c r="Q289" s="51"/>
      <c r="R289" s="51"/>
      <c r="S289" s="51"/>
      <c r="T289" s="51"/>
      <c r="U289" s="51"/>
      <c r="V289" s="51"/>
      <c r="W289" s="51"/>
      <c r="X289" s="51"/>
      <c r="Y289" s="51"/>
      <c r="Z289" s="51"/>
      <c r="AA289" s="51"/>
      <c r="AB289" s="51"/>
    </row>
    <row r="290" customFormat="false" ht="15.75" hidden="false" customHeight="false" outlineLevel="0" collapsed="false">
      <c r="A290" s="51"/>
      <c r="B290" s="51"/>
      <c r="C290" s="6"/>
      <c r="D290" s="49"/>
      <c r="E290" s="51"/>
      <c r="F290" s="6"/>
      <c r="G290" s="6"/>
      <c r="H290" s="6"/>
      <c r="I290" s="6"/>
      <c r="J290" s="6"/>
      <c r="K290" s="51"/>
      <c r="L290" s="51"/>
      <c r="M290" s="51"/>
      <c r="N290" s="51"/>
      <c r="O290" s="51"/>
      <c r="P290" s="51"/>
      <c r="Q290" s="51"/>
      <c r="R290" s="51"/>
      <c r="S290" s="51"/>
      <c r="T290" s="51"/>
      <c r="U290" s="51"/>
      <c r="V290" s="51"/>
      <c r="W290" s="51"/>
      <c r="X290" s="51"/>
      <c r="Y290" s="51"/>
      <c r="Z290" s="51"/>
      <c r="AA290" s="51"/>
      <c r="AB290" s="51"/>
    </row>
    <row r="291" customFormat="false" ht="15.75" hidden="false" customHeight="false" outlineLevel="0" collapsed="false">
      <c r="A291" s="51"/>
      <c r="B291" s="51"/>
      <c r="C291" s="6"/>
      <c r="D291" s="49"/>
      <c r="E291" s="51"/>
      <c r="F291" s="6"/>
      <c r="G291" s="6"/>
      <c r="H291" s="6"/>
      <c r="I291" s="6"/>
      <c r="J291" s="6"/>
      <c r="K291" s="51"/>
      <c r="L291" s="51"/>
      <c r="M291" s="51"/>
      <c r="N291" s="51"/>
      <c r="O291" s="51"/>
      <c r="P291" s="51"/>
      <c r="Q291" s="51"/>
      <c r="R291" s="51"/>
      <c r="S291" s="51"/>
      <c r="T291" s="51"/>
      <c r="U291" s="51"/>
      <c r="V291" s="51"/>
      <c r="W291" s="51"/>
      <c r="X291" s="51"/>
      <c r="Y291" s="51"/>
      <c r="Z291" s="51"/>
      <c r="AA291" s="51"/>
      <c r="AB291" s="51"/>
    </row>
    <row r="292" customFormat="false" ht="15.75" hidden="false" customHeight="false" outlineLevel="0" collapsed="false">
      <c r="A292" s="51"/>
      <c r="B292" s="51"/>
      <c r="C292" s="6"/>
      <c r="D292" s="49"/>
      <c r="E292" s="51"/>
      <c r="F292" s="6"/>
      <c r="G292" s="6"/>
      <c r="H292" s="6"/>
      <c r="I292" s="6"/>
      <c r="J292" s="6"/>
      <c r="K292" s="51"/>
      <c r="L292" s="51"/>
      <c r="M292" s="51"/>
      <c r="N292" s="51"/>
      <c r="O292" s="51"/>
      <c r="P292" s="51"/>
      <c r="Q292" s="51"/>
      <c r="R292" s="51"/>
      <c r="S292" s="51"/>
      <c r="T292" s="51"/>
      <c r="U292" s="51"/>
      <c r="V292" s="51"/>
      <c r="W292" s="51"/>
      <c r="X292" s="51"/>
      <c r="Y292" s="51"/>
      <c r="Z292" s="51"/>
      <c r="AA292" s="51"/>
      <c r="AB292" s="51"/>
    </row>
    <row r="293" customFormat="false" ht="15.75" hidden="false" customHeight="false" outlineLevel="0" collapsed="false">
      <c r="A293" s="51"/>
      <c r="B293" s="51"/>
      <c r="C293" s="6"/>
      <c r="D293" s="49"/>
      <c r="E293" s="51"/>
      <c r="F293" s="6"/>
      <c r="G293" s="6"/>
      <c r="H293" s="6"/>
      <c r="I293" s="6"/>
      <c r="J293" s="6"/>
      <c r="K293" s="51"/>
      <c r="L293" s="51"/>
      <c r="M293" s="51"/>
      <c r="N293" s="51"/>
      <c r="O293" s="51"/>
      <c r="P293" s="51"/>
      <c r="Q293" s="51"/>
      <c r="R293" s="51"/>
      <c r="S293" s="51"/>
      <c r="T293" s="51"/>
      <c r="U293" s="51"/>
      <c r="V293" s="51"/>
      <c r="W293" s="51"/>
      <c r="X293" s="51"/>
      <c r="Y293" s="51"/>
      <c r="Z293" s="51"/>
      <c r="AA293" s="51"/>
      <c r="AB293" s="51"/>
    </row>
    <row r="294" customFormat="false" ht="15.75" hidden="false" customHeight="false" outlineLevel="0" collapsed="false">
      <c r="A294" s="51"/>
      <c r="B294" s="51"/>
      <c r="C294" s="6"/>
      <c r="D294" s="49"/>
      <c r="E294" s="51"/>
      <c r="F294" s="6"/>
      <c r="G294" s="6"/>
      <c r="H294" s="6"/>
      <c r="I294" s="6"/>
      <c r="J294" s="6"/>
      <c r="K294" s="51"/>
      <c r="L294" s="51"/>
      <c r="M294" s="51"/>
      <c r="N294" s="51"/>
      <c r="O294" s="51"/>
      <c r="P294" s="51"/>
      <c r="Q294" s="51"/>
      <c r="R294" s="51"/>
      <c r="S294" s="51"/>
      <c r="T294" s="51"/>
      <c r="U294" s="51"/>
      <c r="V294" s="51"/>
      <c r="W294" s="51"/>
      <c r="X294" s="51"/>
      <c r="Y294" s="51"/>
      <c r="Z294" s="51"/>
      <c r="AA294" s="51"/>
      <c r="AB294" s="51"/>
    </row>
    <row r="295" customFormat="false" ht="15.75" hidden="false" customHeight="false" outlineLevel="0" collapsed="false">
      <c r="A295" s="51"/>
      <c r="B295" s="51"/>
      <c r="C295" s="6"/>
      <c r="D295" s="49"/>
      <c r="E295" s="51"/>
      <c r="F295" s="6"/>
      <c r="G295" s="6"/>
      <c r="H295" s="6"/>
      <c r="I295" s="6"/>
      <c r="J295" s="6"/>
      <c r="K295" s="51"/>
      <c r="L295" s="51"/>
      <c r="M295" s="51"/>
      <c r="N295" s="51"/>
      <c r="O295" s="51"/>
      <c r="P295" s="51"/>
      <c r="Q295" s="51"/>
      <c r="R295" s="51"/>
      <c r="S295" s="51"/>
      <c r="T295" s="51"/>
      <c r="U295" s="51"/>
      <c r="V295" s="51"/>
      <c r="W295" s="51"/>
      <c r="X295" s="51"/>
      <c r="Y295" s="51"/>
      <c r="Z295" s="51"/>
      <c r="AA295" s="51"/>
      <c r="AB295" s="51"/>
    </row>
    <row r="296" customFormat="false" ht="15.75" hidden="false" customHeight="false" outlineLevel="0" collapsed="false">
      <c r="A296" s="51"/>
      <c r="B296" s="51"/>
      <c r="C296" s="6"/>
      <c r="D296" s="49"/>
      <c r="E296" s="51"/>
      <c r="F296" s="6"/>
      <c r="G296" s="6"/>
      <c r="H296" s="6"/>
      <c r="I296" s="6"/>
      <c r="J296" s="6"/>
      <c r="K296" s="51"/>
      <c r="L296" s="51"/>
      <c r="M296" s="51"/>
      <c r="N296" s="51"/>
      <c r="O296" s="51"/>
      <c r="P296" s="51"/>
      <c r="Q296" s="51"/>
      <c r="R296" s="51"/>
      <c r="S296" s="51"/>
      <c r="T296" s="51"/>
      <c r="U296" s="51"/>
      <c r="V296" s="51"/>
      <c r="W296" s="51"/>
      <c r="X296" s="51"/>
      <c r="Y296" s="51"/>
      <c r="Z296" s="51"/>
      <c r="AA296" s="51"/>
      <c r="AB296" s="51"/>
    </row>
    <row r="297" customFormat="false" ht="15.75" hidden="false" customHeight="false" outlineLevel="0" collapsed="false">
      <c r="A297" s="51"/>
      <c r="B297" s="51"/>
      <c r="C297" s="6"/>
      <c r="D297" s="49"/>
      <c r="E297" s="51"/>
      <c r="F297" s="6"/>
      <c r="G297" s="6"/>
      <c r="H297" s="6"/>
      <c r="I297" s="6"/>
      <c r="J297" s="6"/>
      <c r="K297" s="51"/>
      <c r="L297" s="51"/>
      <c r="M297" s="51"/>
      <c r="N297" s="51"/>
      <c r="O297" s="51"/>
      <c r="P297" s="51"/>
      <c r="Q297" s="51"/>
      <c r="R297" s="51"/>
      <c r="S297" s="51"/>
      <c r="T297" s="51"/>
      <c r="U297" s="51"/>
      <c r="V297" s="51"/>
      <c r="W297" s="51"/>
      <c r="X297" s="51"/>
      <c r="Y297" s="51"/>
      <c r="Z297" s="51"/>
      <c r="AA297" s="51"/>
      <c r="AB297" s="51"/>
    </row>
    <row r="298" customFormat="false" ht="15.75" hidden="false" customHeight="false" outlineLevel="0" collapsed="false">
      <c r="A298" s="51"/>
      <c r="B298" s="51"/>
      <c r="C298" s="6"/>
      <c r="D298" s="49"/>
      <c r="E298" s="51"/>
      <c r="F298" s="6"/>
      <c r="G298" s="6"/>
      <c r="H298" s="6"/>
      <c r="I298" s="6"/>
      <c r="J298" s="6"/>
      <c r="K298" s="51"/>
      <c r="L298" s="51"/>
      <c r="M298" s="51"/>
      <c r="N298" s="51"/>
      <c r="O298" s="51"/>
      <c r="P298" s="51"/>
      <c r="Q298" s="51"/>
      <c r="R298" s="51"/>
      <c r="S298" s="51"/>
      <c r="T298" s="51"/>
      <c r="U298" s="51"/>
      <c r="V298" s="51"/>
      <c r="W298" s="51"/>
      <c r="X298" s="51"/>
      <c r="Y298" s="51"/>
      <c r="Z298" s="51"/>
      <c r="AA298" s="51"/>
      <c r="AB298" s="51"/>
    </row>
    <row r="299" customFormat="false" ht="15.75" hidden="false" customHeight="false" outlineLevel="0" collapsed="false">
      <c r="A299" s="51"/>
      <c r="B299" s="51"/>
      <c r="C299" s="6"/>
      <c r="D299" s="49"/>
      <c r="E299" s="51"/>
      <c r="F299" s="6"/>
      <c r="G299" s="6"/>
      <c r="H299" s="6"/>
      <c r="I299" s="6"/>
      <c r="J299" s="6"/>
      <c r="K299" s="51"/>
      <c r="L299" s="51"/>
      <c r="M299" s="51"/>
      <c r="N299" s="51"/>
      <c r="O299" s="51"/>
      <c r="P299" s="51"/>
      <c r="Q299" s="51"/>
      <c r="R299" s="51"/>
      <c r="S299" s="51"/>
      <c r="T299" s="51"/>
      <c r="U299" s="51"/>
      <c r="V299" s="51"/>
      <c r="W299" s="51"/>
      <c r="X299" s="51"/>
      <c r="Y299" s="51"/>
      <c r="Z299" s="51"/>
      <c r="AA299" s="51"/>
      <c r="AB299" s="51"/>
    </row>
    <row r="300" customFormat="false" ht="15.75" hidden="false" customHeight="false" outlineLevel="0" collapsed="false">
      <c r="A300" s="51"/>
      <c r="B300" s="51"/>
      <c r="C300" s="6"/>
      <c r="D300" s="49"/>
      <c r="E300" s="51"/>
      <c r="F300" s="6"/>
      <c r="G300" s="6"/>
      <c r="H300" s="6"/>
      <c r="I300" s="6"/>
      <c r="J300" s="6"/>
      <c r="K300" s="51"/>
      <c r="L300" s="51"/>
      <c r="M300" s="51"/>
      <c r="N300" s="51"/>
      <c r="O300" s="51"/>
      <c r="P300" s="51"/>
      <c r="Q300" s="51"/>
      <c r="R300" s="51"/>
      <c r="S300" s="51"/>
      <c r="T300" s="51"/>
      <c r="U300" s="51"/>
      <c r="V300" s="51"/>
      <c r="W300" s="51"/>
      <c r="X300" s="51"/>
      <c r="Y300" s="51"/>
      <c r="Z300" s="51"/>
      <c r="AA300" s="51"/>
      <c r="AB300" s="51"/>
    </row>
    <row r="301" customFormat="false" ht="15.75" hidden="false" customHeight="false" outlineLevel="0" collapsed="false">
      <c r="A301" s="51"/>
      <c r="B301" s="51"/>
      <c r="C301" s="6"/>
      <c r="D301" s="49"/>
      <c r="E301" s="51"/>
      <c r="F301" s="6"/>
      <c r="G301" s="6"/>
      <c r="H301" s="6"/>
      <c r="I301" s="6"/>
      <c r="J301" s="6"/>
      <c r="K301" s="51"/>
      <c r="L301" s="51"/>
      <c r="M301" s="51"/>
      <c r="N301" s="51"/>
      <c r="O301" s="51"/>
      <c r="P301" s="51"/>
      <c r="Q301" s="51"/>
      <c r="R301" s="51"/>
      <c r="S301" s="51"/>
      <c r="T301" s="51"/>
      <c r="U301" s="51"/>
      <c r="V301" s="51"/>
      <c r="W301" s="51"/>
      <c r="X301" s="51"/>
      <c r="Y301" s="51"/>
      <c r="Z301" s="51"/>
      <c r="AA301" s="51"/>
      <c r="AB301" s="51"/>
    </row>
    <row r="302" customFormat="false" ht="15.75" hidden="false" customHeight="false" outlineLevel="0" collapsed="false">
      <c r="A302" s="51"/>
      <c r="B302" s="51"/>
      <c r="C302" s="6"/>
      <c r="D302" s="49"/>
      <c r="E302" s="51"/>
      <c r="F302" s="6"/>
      <c r="G302" s="6"/>
      <c r="H302" s="6"/>
      <c r="I302" s="6"/>
      <c r="J302" s="6"/>
      <c r="K302" s="51"/>
      <c r="L302" s="51"/>
      <c r="M302" s="51"/>
      <c r="N302" s="51"/>
      <c r="O302" s="51"/>
      <c r="P302" s="51"/>
      <c r="Q302" s="51"/>
      <c r="R302" s="51"/>
      <c r="S302" s="51"/>
      <c r="T302" s="51"/>
      <c r="U302" s="51"/>
      <c r="V302" s="51"/>
      <c r="W302" s="51"/>
      <c r="X302" s="51"/>
      <c r="Y302" s="51"/>
      <c r="Z302" s="51"/>
      <c r="AA302" s="51"/>
      <c r="AB302" s="51"/>
    </row>
    <row r="303" customFormat="false" ht="15.75" hidden="false" customHeight="false" outlineLevel="0" collapsed="false">
      <c r="A303" s="51"/>
      <c r="B303" s="51"/>
      <c r="C303" s="6"/>
      <c r="D303" s="49"/>
      <c r="E303" s="51"/>
      <c r="F303" s="6"/>
      <c r="G303" s="6"/>
      <c r="H303" s="6"/>
      <c r="I303" s="6"/>
      <c r="J303" s="6"/>
      <c r="K303" s="51"/>
      <c r="L303" s="51"/>
      <c r="M303" s="51"/>
      <c r="N303" s="51"/>
      <c r="O303" s="51"/>
      <c r="P303" s="51"/>
      <c r="Q303" s="51"/>
      <c r="R303" s="51"/>
      <c r="S303" s="51"/>
      <c r="T303" s="51"/>
      <c r="U303" s="51"/>
      <c r="V303" s="51"/>
      <c r="W303" s="51"/>
      <c r="X303" s="51"/>
      <c r="Y303" s="51"/>
      <c r="Z303" s="51"/>
      <c r="AA303" s="51"/>
      <c r="AB303" s="51"/>
    </row>
    <row r="304" customFormat="false" ht="15.75" hidden="false" customHeight="false" outlineLevel="0" collapsed="false">
      <c r="A304" s="51"/>
      <c r="B304" s="51"/>
      <c r="C304" s="6"/>
      <c r="D304" s="49"/>
      <c r="E304" s="51"/>
      <c r="F304" s="6"/>
      <c r="G304" s="6"/>
      <c r="H304" s="6"/>
      <c r="I304" s="6"/>
      <c r="J304" s="6"/>
      <c r="K304" s="51"/>
      <c r="L304" s="51"/>
      <c r="M304" s="51"/>
      <c r="N304" s="51"/>
      <c r="O304" s="51"/>
      <c r="P304" s="51"/>
      <c r="Q304" s="51"/>
      <c r="R304" s="51"/>
      <c r="S304" s="51"/>
      <c r="T304" s="51"/>
      <c r="U304" s="51"/>
      <c r="V304" s="51"/>
      <c r="W304" s="51"/>
      <c r="X304" s="51"/>
      <c r="Y304" s="51"/>
      <c r="Z304" s="51"/>
      <c r="AA304" s="51"/>
      <c r="AB304" s="51"/>
    </row>
    <row r="305" customFormat="false" ht="15.75" hidden="false" customHeight="false" outlineLevel="0" collapsed="false">
      <c r="A305" s="51"/>
      <c r="B305" s="51"/>
      <c r="C305" s="6"/>
      <c r="D305" s="49"/>
      <c r="E305" s="51"/>
      <c r="F305" s="6"/>
      <c r="G305" s="6"/>
      <c r="H305" s="6"/>
      <c r="I305" s="6"/>
      <c r="J305" s="6"/>
      <c r="K305" s="51"/>
      <c r="L305" s="51"/>
      <c r="M305" s="51"/>
      <c r="N305" s="51"/>
      <c r="O305" s="51"/>
      <c r="P305" s="51"/>
      <c r="Q305" s="51"/>
      <c r="R305" s="51"/>
      <c r="S305" s="51"/>
      <c r="T305" s="51"/>
      <c r="U305" s="51"/>
      <c r="V305" s="51"/>
      <c r="W305" s="51"/>
      <c r="X305" s="51"/>
      <c r="Y305" s="51"/>
      <c r="Z305" s="51"/>
      <c r="AA305" s="51"/>
      <c r="AB305" s="51"/>
    </row>
    <row r="306" customFormat="false" ht="15.75" hidden="false" customHeight="false" outlineLevel="0" collapsed="false">
      <c r="A306" s="51"/>
      <c r="B306" s="51"/>
      <c r="C306" s="6"/>
      <c r="D306" s="49"/>
      <c r="E306" s="51"/>
      <c r="F306" s="6"/>
      <c r="G306" s="6"/>
      <c r="H306" s="6"/>
      <c r="I306" s="6"/>
      <c r="J306" s="6"/>
      <c r="K306" s="51"/>
      <c r="L306" s="51"/>
      <c r="M306" s="51"/>
      <c r="N306" s="51"/>
      <c r="O306" s="51"/>
      <c r="P306" s="51"/>
      <c r="Q306" s="51"/>
      <c r="R306" s="51"/>
      <c r="S306" s="51"/>
      <c r="T306" s="51"/>
      <c r="U306" s="51"/>
      <c r="V306" s="51"/>
      <c r="W306" s="51"/>
      <c r="X306" s="51"/>
      <c r="Y306" s="51"/>
      <c r="Z306" s="51"/>
      <c r="AA306" s="51"/>
      <c r="AB306" s="51"/>
    </row>
    <row r="307" customFormat="false" ht="15.75" hidden="false" customHeight="false" outlineLevel="0" collapsed="false">
      <c r="A307" s="51"/>
      <c r="B307" s="51"/>
      <c r="C307" s="6"/>
      <c r="D307" s="49"/>
      <c r="E307" s="51"/>
      <c r="F307" s="6"/>
      <c r="G307" s="6"/>
      <c r="H307" s="6"/>
      <c r="I307" s="6"/>
      <c r="J307" s="6"/>
      <c r="K307" s="51"/>
      <c r="L307" s="51"/>
      <c r="M307" s="51"/>
      <c r="N307" s="51"/>
      <c r="O307" s="51"/>
      <c r="P307" s="51"/>
      <c r="Q307" s="51"/>
      <c r="R307" s="51"/>
      <c r="S307" s="51"/>
      <c r="T307" s="51"/>
      <c r="U307" s="51"/>
      <c r="V307" s="51"/>
      <c r="W307" s="51"/>
      <c r="X307" s="51"/>
      <c r="Y307" s="51"/>
      <c r="Z307" s="51"/>
      <c r="AA307" s="51"/>
      <c r="AB307" s="51"/>
    </row>
    <row r="308" customFormat="false" ht="15.75" hidden="false" customHeight="false" outlineLevel="0" collapsed="false">
      <c r="A308" s="51"/>
      <c r="B308" s="51"/>
      <c r="C308" s="6"/>
      <c r="D308" s="49"/>
      <c r="E308" s="51"/>
      <c r="F308" s="6"/>
      <c r="G308" s="6"/>
      <c r="H308" s="6"/>
      <c r="I308" s="6"/>
      <c r="J308" s="6"/>
      <c r="K308" s="51"/>
      <c r="L308" s="51"/>
      <c r="M308" s="51"/>
      <c r="N308" s="51"/>
      <c r="O308" s="51"/>
      <c r="P308" s="51"/>
      <c r="Q308" s="51"/>
      <c r="R308" s="51"/>
      <c r="S308" s="51"/>
      <c r="T308" s="51"/>
      <c r="U308" s="51"/>
      <c r="V308" s="51"/>
      <c r="W308" s="51"/>
      <c r="X308" s="51"/>
      <c r="Y308" s="51"/>
      <c r="Z308" s="51"/>
      <c r="AA308" s="51"/>
      <c r="AB308" s="51"/>
    </row>
    <row r="309" customFormat="false" ht="15.75" hidden="false" customHeight="false" outlineLevel="0" collapsed="false">
      <c r="A309" s="51"/>
      <c r="B309" s="51"/>
      <c r="C309" s="6"/>
      <c r="D309" s="49"/>
      <c r="E309" s="51"/>
      <c r="F309" s="6"/>
      <c r="G309" s="6"/>
      <c r="H309" s="6"/>
      <c r="I309" s="6"/>
      <c r="J309" s="6"/>
      <c r="K309" s="51"/>
      <c r="L309" s="51"/>
      <c r="M309" s="51"/>
      <c r="N309" s="51"/>
      <c r="O309" s="51"/>
      <c r="P309" s="51"/>
      <c r="Q309" s="51"/>
      <c r="R309" s="51"/>
      <c r="S309" s="51"/>
      <c r="T309" s="51"/>
      <c r="U309" s="51"/>
      <c r="V309" s="51"/>
      <c r="W309" s="51"/>
      <c r="X309" s="51"/>
      <c r="Y309" s="51"/>
      <c r="Z309" s="51"/>
      <c r="AA309" s="51"/>
      <c r="AB309" s="51"/>
    </row>
    <row r="310" customFormat="false" ht="15.75" hidden="false" customHeight="false" outlineLevel="0" collapsed="false">
      <c r="A310" s="51"/>
      <c r="B310" s="51"/>
      <c r="C310" s="6"/>
      <c r="D310" s="49"/>
      <c r="E310" s="51"/>
      <c r="F310" s="6"/>
      <c r="G310" s="6"/>
      <c r="H310" s="6"/>
      <c r="I310" s="6"/>
      <c r="J310" s="6"/>
      <c r="K310" s="51"/>
      <c r="L310" s="51"/>
      <c r="M310" s="51"/>
      <c r="N310" s="51"/>
      <c r="O310" s="51"/>
      <c r="P310" s="51"/>
      <c r="Q310" s="51"/>
      <c r="R310" s="51"/>
      <c r="S310" s="51"/>
      <c r="T310" s="51"/>
      <c r="U310" s="51"/>
      <c r="V310" s="51"/>
      <c r="W310" s="51"/>
      <c r="X310" s="51"/>
      <c r="Y310" s="51"/>
      <c r="Z310" s="51"/>
      <c r="AA310" s="51"/>
      <c r="AB310" s="51"/>
    </row>
    <row r="311" customFormat="false" ht="15.75" hidden="false" customHeight="false" outlineLevel="0" collapsed="false">
      <c r="A311" s="51"/>
      <c r="B311" s="51"/>
      <c r="C311" s="6"/>
      <c r="D311" s="49"/>
      <c r="E311" s="51"/>
      <c r="F311" s="6"/>
      <c r="G311" s="6"/>
      <c r="H311" s="6"/>
      <c r="I311" s="6"/>
      <c r="J311" s="6"/>
      <c r="K311" s="51"/>
      <c r="L311" s="51"/>
      <c r="M311" s="51"/>
      <c r="N311" s="51"/>
      <c r="O311" s="51"/>
      <c r="P311" s="51"/>
      <c r="Q311" s="51"/>
      <c r="R311" s="51"/>
      <c r="S311" s="51"/>
      <c r="T311" s="51"/>
      <c r="U311" s="51"/>
      <c r="V311" s="51"/>
      <c r="W311" s="51"/>
      <c r="X311" s="51"/>
      <c r="Y311" s="51"/>
      <c r="Z311" s="51"/>
      <c r="AA311" s="51"/>
      <c r="AB311" s="51"/>
    </row>
    <row r="312" customFormat="false" ht="15.75" hidden="false" customHeight="false" outlineLevel="0" collapsed="false">
      <c r="A312" s="51"/>
      <c r="B312" s="51"/>
      <c r="C312" s="6"/>
      <c r="D312" s="49"/>
      <c r="E312" s="51"/>
      <c r="F312" s="6"/>
      <c r="G312" s="6"/>
      <c r="H312" s="6"/>
      <c r="I312" s="6"/>
      <c r="J312" s="6"/>
      <c r="K312" s="51"/>
      <c r="L312" s="51"/>
      <c r="M312" s="51"/>
      <c r="N312" s="51"/>
      <c r="O312" s="51"/>
      <c r="P312" s="51"/>
      <c r="Q312" s="51"/>
      <c r="R312" s="51"/>
      <c r="S312" s="51"/>
      <c r="T312" s="51"/>
      <c r="U312" s="51"/>
      <c r="V312" s="51"/>
      <c r="W312" s="51"/>
      <c r="X312" s="51"/>
      <c r="Y312" s="51"/>
      <c r="Z312" s="51"/>
      <c r="AA312" s="51"/>
      <c r="AB312" s="51"/>
    </row>
    <row r="313" customFormat="false" ht="15.75" hidden="false" customHeight="false" outlineLevel="0" collapsed="false">
      <c r="A313" s="51"/>
      <c r="B313" s="51"/>
      <c r="C313" s="6"/>
      <c r="D313" s="49"/>
      <c r="E313" s="51"/>
      <c r="F313" s="6"/>
      <c r="G313" s="6"/>
      <c r="H313" s="6"/>
      <c r="I313" s="6"/>
      <c r="J313" s="6"/>
      <c r="K313" s="51"/>
      <c r="L313" s="51"/>
      <c r="M313" s="51"/>
      <c r="N313" s="51"/>
      <c r="O313" s="51"/>
      <c r="P313" s="51"/>
      <c r="Q313" s="51"/>
      <c r="R313" s="51"/>
      <c r="S313" s="51"/>
      <c r="T313" s="51"/>
      <c r="U313" s="51"/>
      <c r="V313" s="51"/>
      <c r="W313" s="51"/>
      <c r="X313" s="51"/>
      <c r="Y313" s="51"/>
      <c r="Z313" s="51"/>
      <c r="AA313" s="51"/>
      <c r="AB313" s="51"/>
    </row>
    <row r="314" customFormat="false" ht="15.75" hidden="false" customHeight="false" outlineLevel="0" collapsed="false">
      <c r="A314" s="51"/>
      <c r="B314" s="51"/>
      <c r="C314" s="6"/>
      <c r="D314" s="49"/>
      <c r="E314" s="51"/>
      <c r="F314" s="6"/>
      <c r="G314" s="6"/>
      <c r="H314" s="6"/>
      <c r="I314" s="6"/>
      <c r="J314" s="6"/>
      <c r="K314" s="51"/>
      <c r="L314" s="51"/>
      <c r="M314" s="51"/>
      <c r="N314" s="51"/>
      <c r="O314" s="51"/>
      <c r="P314" s="51"/>
      <c r="Q314" s="51"/>
      <c r="R314" s="51"/>
      <c r="S314" s="51"/>
      <c r="T314" s="51"/>
      <c r="U314" s="51"/>
      <c r="V314" s="51"/>
      <c r="W314" s="51"/>
      <c r="X314" s="51"/>
      <c r="Y314" s="51"/>
      <c r="Z314" s="51"/>
      <c r="AA314" s="51"/>
      <c r="AB314" s="51"/>
    </row>
    <row r="315" customFormat="false" ht="15.75" hidden="false" customHeight="false" outlineLevel="0" collapsed="false">
      <c r="A315" s="51"/>
      <c r="B315" s="51"/>
      <c r="C315" s="6"/>
      <c r="D315" s="49"/>
      <c r="E315" s="51"/>
      <c r="F315" s="6"/>
      <c r="G315" s="6"/>
      <c r="H315" s="6"/>
      <c r="I315" s="6"/>
      <c r="J315" s="6"/>
      <c r="K315" s="51"/>
      <c r="L315" s="51"/>
      <c r="M315" s="51"/>
      <c r="N315" s="51"/>
      <c r="O315" s="51"/>
      <c r="P315" s="51"/>
      <c r="Q315" s="51"/>
      <c r="R315" s="51"/>
      <c r="S315" s="51"/>
      <c r="T315" s="51"/>
      <c r="U315" s="51"/>
      <c r="V315" s="51"/>
      <c r="W315" s="51"/>
      <c r="X315" s="51"/>
      <c r="Y315" s="51"/>
      <c r="Z315" s="51"/>
      <c r="AA315" s="51"/>
      <c r="AB315" s="51"/>
    </row>
    <row r="316" customFormat="false" ht="15.75" hidden="false" customHeight="false" outlineLevel="0" collapsed="false">
      <c r="A316" s="51"/>
      <c r="B316" s="51"/>
      <c r="C316" s="6"/>
      <c r="D316" s="49"/>
      <c r="E316" s="51"/>
      <c r="F316" s="6"/>
      <c r="G316" s="6"/>
      <c r="H316" s="6"/>
      <c r="I316" s="6"/>
      <c r="J316" s="6"/>
      <c r="K316" s="51"/>
      <c r="L316" s="51"/>
      <c r="M316" s="51"/>
      <c r="N316" s="51"/>
      <c r="O316" s="51"/>
      <c r="P316" s="51"/>
      <c r="Q316" s="51"/>
      <c r="R316" s="51"/>
      <c r="S316" s="51"/>
      <c r="T316" s="51"/>
      <c r="U316" s="51"/>
      <c r="V316" s="51"/>
      <c r="W316" s="51"/>
      <c r="X316" s="51"/>
      <c r="Y316" s="51"/>
      <c r="Z316" s="51"/>
      <c r="AA316" s="51"/>
      <c r="AB316" s="51"/>
    </row>
    <row r="317" customFormat="false" ht="15.75" hidden="false" customHeight="false" outlineLevel="0" collapsed="false">
      <c r="A317" s="51"/>
      <c r="B317" s="51"/>
      <c r="C317" s="6"/>
      <c r="D317" s="49"/>
      <c r="E317" s="51"/>
      <c r="F317" s="6"/>
      <c r="G317" s="6"/>
      <c r="H317" s="6"/>
      <c r="I317" s="6"/>
      <c r="J317" s="6"/>
      <c r="K317" s="51"/>
      <c r="L317" s="51"/>
      <c r="M317" s="51"/>
      <c r="N317" s="51"/>
      <c r="O317" s="51"/>
      <c r="P317" s="51"/>
      <c r="Q317" s="51"/>
      <c r="R317" s="51"/>
      <c r="S317" s="51"/>
      <c r="T317" s="51"/>
      <c r="U317" s="51"/>
      <c r="V317" s="51"/>
      <c r="W317" s="51"/>
      <c r="X317" s="51"/>
      <c r="Y317" s="51"/>
      <c r="Z317" s="51"/>
      <c r="AA317" s="51"/>
      <c r="AB317" s="51"/>
    </row>
    <row r="318" customFormat="false" ht="15.75" hidden="false" customHeight="false" outlineLevel="0" collapsed="false">
      <c r="A318" s="51"/>
      <c r="B318" s="51"/>
      <c r="C318" s="6"/>
      <c r="D318" s="49"/>
      <c r="E318" s="51"/>
      <c r="F318" s="6"/>
      <c r="G318" s="6"/>
      <c r="H318" s="6"/>
      <c r="I318" s="6"/>
      <c r="J318" s="6"/>
      <c r="K318" s="51"/>
      <c r="L318" s="51"/>
      <c r="M318" s="51"/>
      <c r="N318" s="51"/>
      <c r="O318" s="51"/>
      <c r="P318" s="51"/>
      <c r="Q318" s="51"/>
      <c r="R318" s="51"/>
      <c r="S318" s="51"/>
      <c r="T318" s="51"/>
      <c r="U318" s="51"/>
      <c r="V318" s="51"/>
      <c r="W318" s="51"/>
      <c r="X318" s="51"/>
      <c r="Y318" s="51"/>
      <c r="Z318" s="51"/>
      <c r="AA318" s="51"/>
      <c r="AB318" s="51"/>
    </row>
    <row r="319" customFormat="false" ht="15.75" hidden="false" customHeight="false" outlineLevel="0" collapsed="false">
      <c r="A319" s="51"/>
      <c r="B319" s="51"/>
      <c r="C319" s="6"/>
      <c r="D319" s="49"/>
      <c r="E319" s="51"/>
      <c r="F319" s="6"/>
      <c r="G319" s="6"/>
      <c r="H319" s="6"/>
      <c r="I319" s="6"/>
      <c r="J319" s="6"/>
      <c r="K319" s="51"/>
      <c r="L319" s="51"/>
      <c r="M319" s="51"/>
      <c r="N319" s="51"/>
      <c r="O319" s="51"/>
      <c r="P319" s="51"/>
      <c r="Q319" s="51"/>
      <c r="R319" s="51"/>
      <c r="S319" s="51"/>
      <c r="T319" s="51"/>
      <c r="U319" s="51"/>
      <c r="V319" s="51"/>
      <c r="W319" s="51"/>
      <c r="X319" s="51"/>
      <c r="Y319" s="51"/>
      <c r="Z319" s="51"/>
      <c r="AA319" s="51"/>
      <c r="AB319" s="51"/>
    </row>
    <row r="320" customFormat="false" ht="15.75" hidden="false" customHeight="false" outlineLevel="0" collapsed="false">
      <c r="A320" s="51"/>
      <c r="B320" s="51"/>
      <c r="C320" s="6"/>
      <c r="D320" s="49"/>
      <c r="E320" s="51"/>
      <c r="F320" s="6"/>
      <c r="G320" s="6"/>
      <c r="H320" s="6"/>
      <c r="I320" s="6"/>
      <c r="J320" s="6"/>
      <c r="K320" s="51"/>
      <c r="L320" s="51"/>
      <c r="M320" s="51"/>
      <c r="N320" s="51"/>
      <c r="O320" s="51"/>
      <c r="P320" s="51"/>
      <c r="Q320" s="51"/>
      <c r="R320" s="51"/>
      <c r="S320" s="51"/>
      <c r="T320" s="51"/>
      <c r="U320" s="51"/>
      <c r="V320" s="51"/>
      <c r="W320" s="51"/>
      <c r="X320" s="51"/>
      <c r="Y320" s="51"/>
      <c r="Z320" s="51"/>
      <c r="AA320" s="51"/>
      <c r="AB320" s="51"/>
    </row>
    <row r="321" customFormat="false" ht="15.75" hidden="false" customHeight="false" outlineLevel="0" collapsed="false">
      <c r="A321" s="51"/>
      <c r="B321" s="51"/>
      <c r="C321" s="6"/>
      <c r="D321" s="49"/>
      <c r="E321" s="51"/>
      <c r="F321" s="6"/>
      <c r="G321" s="6"/>
      <c r="H321" s="6"/>
      <c r="I321" s="6"/>
      <c r="J321" s="6"/>
      <c r="K321" s="51"/>
      <c r="L321" s="51"/>
      <c r="M321" s="51"/>
      <c r="N321" s="51"/>
      <c r="O321" s="51"/>
      <c r="P321" s="51"/>
      <c r="Q321" s="51"/>
      <c r="R321" s="51"/>
      <c r="S321" s="51"/>
      <c r="T321" s="51"/>
      <c r="U321" s="51"/>
      <c r="V321" s="51"/>
      <c r="W321" s="51"/>
      <c r="X321" s="51"/>
      <c r="Y321" s="51"/>
      <c r="Z321" s="51"/>
      <c r="AA321" s="51"/>
      <c r="AB321" s="51"/>
    </row>
    <row r="322" customFormat="false" ht="15.75" hidden="false" customHeight="false" outlineLevel="0" collapsed="false">
      <c r="A322" s="51"/>
      <c r="B322" s="51"/>
      <c r="C322" s="6"/>
      <c r="D322" s="49"/>
      <c r="E322" s="51"/>
      <c r="F322" s="6"/>
      <c r="G322" s="6"/>
      <c r="H322" s="6"/>
      <c r="I322" s="6"/>
      <c r="J322" s="6"/>
      <c r="K322" s="51"/>
      <c r="L322" s="51"/>
      <c r="M322" s="51"/>
      <c r="N322" s="51"/>
      <c r="O322" s="51"/>
      <c r="P322" s="51"/>
      <c r="Q322" s="51"/>
      <c r="R322" s="51"/>
      <c r="S322" s="51"/>
      <c r="T322" s="51"/>
      <c r="U322" s="51"/>
      <c r="V322" s="51"/>
      <c r="W322" s="51"/>
      <c r="X322" s="51"/>
      <c r="Y322" s="51"/>
      <c r="Z322" s="51"/>
      <c r="AA322" s="51"/>
      <c r="AB322" s="51"/>
    </row>
    <row r="323" customFormat="false" ht="15.75" hidden="false" customHeight="false" outlineLevel="0" collapsed="false">
      <c r="A323" s="51"/>
      <c r="B323" s="51"/>
      <c r="C323" s="6"/>
      <c r="D323" s="49"/>
      <c r="E323" s="51"/>
      <c r="F323" s="6"/>
      <c r="G323" s="6"/>
      <c r="H323" s="6"/>
      <c r="I323" s="6"/>
      <c r="J323" s="6"/>
      <c r="K323" s="51"/>
      <c r="L323" s="51"/>
      <c r="M323" s="51"/>
      <c r="N323" s="51"/>
      <c r="O323" s="51"/>
      <c r="P323" s="51"/>
      <c r="Q323" s="51"/>
      <c r="R323" s="51"/>
      <c r="S323" s="51"/>
      <c r="T323" s="51"/>
      <c r="U323" s="51"/>
      <c r="V323" s="51"/>
      <c r="W323" s="51"/>
      <c r="X323" s="51"/>
      <c r="Y323" s="51"/>
      <c r="Z323" s="51"/>
      <c r="AA323" s="51"/>
      <c r="AB323" s="51"/>
    </row>
    <row r="324" customFormat="false" ht="15.75" hidden="false" customHeight="false" outlineLevel="0" collapsed="false">
      <c r="A324" s="51"/>
      <c r="B324" s="51"/>
      <c r="C324" s="6"/>
      <c r="D324" s="49"/>
      <c r="E324" s="51"/>
      <c r="F324" s="6"/>
      <c r="G324" s="6"/>
      <c r="H324" s="6"/>
      <c r="I324" s="6"/>
      <c r="J324" s="6"/>
      <c r="K324" s="51"/>
      <c r="L324" s="51"/>
      <c r="M324" s="51"/>
      <c r="N324" s="51"/>
      <c r="O324" s="51"/>
      <c r="P324" s="51"/>
      <c r="Q324" s="51"/>
      <c r="R324" s="51"/>
      <c r="S324" s="51"/>
      <c r="T324" s="51"/>
      <c r="U324" s="51"/>
      <c r="V324" s="51"/>
      <c r="W324" s="51"/>
      <c r="X324" s="51"/>
      <c r="Y324" s="51"/>
      <c r="Z324" s="51"/>
      <c r="AA324" s="51"/>
      <c r="AB324" s="51"/>
    </row>
    <row r="325" customFormat="false" ht="15.75" hidden="false" customHeight="false" outlineLevel="0" collapsed="false">
      <c r="A325" s="51"/>
      <c r="B325" s="51"/>
      <c r="C325" s="6"/>
      <c r="D325" s="49"/>
      <c r="E325" s="51"/>
      <c r="F325" s="6"/>
      <c r="G325" s="6"/>
      <c r="H325" s="6"/>
      <c r="I325" s="6"/>
      <c r="J325" s="6"/>
      <c r="K325" s="51"/>
      <c r="L325" s="51"/>
      <c r="M325" s="51"/>
      <c r="N325" s="51"/>
      <c r="O325" s="51"/>
      <c r="P325" s="51"/>
      <c r="Q325" s="51"/>
      <c r="R325" s="51"/>
      <c r="S325" s="51"/>
      <c r="T325" s="51"/>
      <c r="U325" s="51"/>
      <c r="V325" s="51"/>
      <c r="W325" s="51"/>
      <c r="X325" s="51"/>
      <c r="Y325" s="51"/>
      <c r="Z325" s="51"/>
      <c r="AA325" s="51"/>
      <c r="AB325" s="51"/>
    </row>
    <row r="326" customFormat="false" ht="15.75" hidden="false" customHeight="false" outlineLevel="0" collapsed="false">
      <c r="A326" s="51"/>
      <c r="B326" s="51"/>
      <c r="C326" s="6"/>
      <c r="D326" s="49"/>
      <c r="E326" s="51"/>
      <c r="F326" s="6"/>
      <c r="G326" s="6"/>
      <c r="H326" s="6"/>
      <c r="I326" s="6"/>
      <c r="J326" s="6"/>
      <c r="K326" s="51"/>
      <c r="L326" s="51"/>
      <c r="M326" s="51"/>
      <c r="N326" s="51"/>
      <c r="O326" s="51"/>
      <c r="P326" s="51"/>
      <c r="Q326" s="51"/>
      <c r="R326" s="51"/>
      <c r="S326" s="51"/>
      <c r="T326" s="51"/>
      <c r="U326" s="51"/>
      <c r="V326" s="51"/>
      <c r="W326" s="51"/>
      <c r="X326" s="51"/>
      <c r="Y326" s="51"/>
      <c r="Z326" s="51"/>
      <c r="AA326" s="51"/>
      <c r="AB326" s="51"/>
    </row>
    <row r="327" customFormat="false" ht="15.75" hidden="false" customHeight="false" outlineLevel="0" collapsed="false">
      <c r="A327" s="51"/>
      <c r="B327" s="51"/>
      <c r="C327" s="6"/>
      <c r="D327" s="49"/>
      <c r="E327" s="51"/>
      <c r="F327" s="6"/>
      <c r="G327" s="6"/>
      <c r="H327" s="6"/>
      <c r="I327" s="6"/>
      <c r="J327" s="6"/>
      <c r="K327" s="51"/>
      <c r="L327" s="51"/>
      <c r="M327" s="51"/>
      <c r="N327" s="51"/>
      <c r="O327" s="51"/>
      <c r="P327" s="51"/>
      <c r="Q327" s="51"/>
      <c r="R327" s="51"/>
      <c r="S327" s="51"/>
      <c r="T327" s="51"/>
      <c r="U327" s="51"/>
      <c r="V327" s="51"/>
      <c r="W327" s="51"/>
      <c r="X327" s="51"/>
      <c r="Y327" s="51"/>
      <c r="Z327" s="51"/>
      <c r="AA327" s="51"/>
      <c r="AB327" s="51"/>
    </row>
    <row r="328" customFormat="false" ht="15.75" hidden="false" customHeight="false" outlineLevel="0" collapsed="false">
      <c r="A328" s="51"/>
      <c r="B328" s="51"/>
      <c r="C328" s="6"/>
      <c r="D328" s="49"/>
      <c r="E328" s="51"/>
      <c r="F328" s="6"/>
      <c r="G328" s="6"/>
      <c r="H328" s="6"/>
      <c r="I328" s="6"/>
      <c r="J328" s="6"/>
      <c r="K328" s="51"/>
      <c r="L328" s="51"/>
      <c r="M328" s="51"/>
      <c r="N328" s="51"/>
      <c r="O328" s="51"/>
      <c r="P328" s="51"/>
      <c r="Q328" s="51"/>
      <c r="R328" s="51"/>
      <c r="S328" s="51"/>
      <c r="T328" s="51"/>
      <c r="U328" s="51"/>
      <c r="V328" s="51"/>
      <c r="W328" s="51"/>
      <c r="X328" s="51"/>
      <c r="Y328" s="51"/>
      <c r="Z328" s="51"/>
      <c r="AA328" s="51"/>
      <c r="AB328" s="51"/>
    </row>
    <row r="329" customFormat="false" ht="15.75" hidden="false" customHeight="false" outlineLevel="0" collapsed="false">
      <c r="A329" s="51"/>
      <c r="B329" s="51"/>
      <c r="C329" s="6"/>
      <c r="D329" s="49"/>
      <c r="E329" s="51"/>
      <c r="F329" s="6"/>
      <c r="G329" s="6"/>
      <c r="H329" s="6"/>
      <c r="I329" s="6"/>
      <c r="J329" s="6"/>
      <c r="K329" s="51"/>
      <c r="L329" s="51"/>
      <c r="M329" s="51"/>
      <c r="N329" s="51"/>
      <c r="O329" s="51"/>
      <c r="P329" s="51"/>
      <c r="Q329" s="51"/>
      <c r="R329" s="51"/>
      <c r="S329" s="51"/>
      <c r="T329" s="51"/>
      <c r="U329" s="51"/>
      <c r="V329" s="51"/>
      <c r="W329" s="51"/>
      <c r="X329" s="51"/>
      <c r="Y329" s="51"/>
      <c r="Z329" s="51"/>
      <c r="AA329" s="51"/>
      <c r="AB329" s="51"/>
    </row>
    <row r="330" customFormat="false" ht="15.75" hidden="false" customHeight="false" outlineLevel="0" collapsed="false">
      <c r="A330" s="51"/>
      <c r="B330" s="51"/>
      <c r="C330" s="6"/>
      <c r="D330" s="49"/>
      <c r="E330" s="51"/>
      <c r="F330" s="6"/>
      <c r="G330" s="6"/>
      <c r="H330" s="6"/>
      <c r="I330" s="6"/>
      <c r="J330" s="6"/>
      <c r="K330" s="51"/>
      <c r="L330" s="51"/>
      <c r="M330" s="51"/>
      <c r="N330" s="51"/>
      <c r="O330" s="51"/>
      <c r="P330" s="51"/>
      <c r="Q330" s="51"/>
      <c r="R330" s="51"/>
      <c r="S330" s="51"/>
      <c r="T330" s="51"/>
      <c r="U330" s="51"/>
      <c r="V330" s="51"/>
      <c r="W330" s="51"/>
      <c r="X330" s="51"/>
      <c r="Y330" s="51"/>
      <c r="Z330" s="51"/>
      <c r="AA330" s="51"/>
      <c r="AB330" s="51"/>
    </row>
    <row r="331" customFormat="false" ht="15.75" hidden="false" customHeight="false" outlineLevel="0" collapsed="false">
      <c r="A331" s="51"/>
      <c r="B331" s="51"/>
      <c r="C331" s="6"/>
      <c r="D331" s="49"/>
      <c r="E331" s="51"/>
      <c r="F331" s="6"/>
      <c r="G331" s="6"/>
      <c r="H331" s="6"/>
      <c r="I331" s="6"/>
      <c r="J331" s="6"/>
      <c r="K331" s="51"/>
      <c r="L331" s="51"/>
      <c r="M331" s="51"/>
      <c r="N331" s="51"/>
      <c r="O331" s="51"/>
      <c r="P331" s="51"/>
      <c r="Q331" s="51"/>
      <c r="R331" s="51"/>
      <c r="S331" s="51"/>
      <c r="T331" s="51"/>
      <c r="U331" s="51"/>
      <c r="V331" s="51"/>
      <c r="W331" s="51"/>
      <c r="X331" s="51"/>
      <c r="Y331" s="51"/>
      <c r="Z331" s="51"/>
      <c r="AA331" s="51"/>
      <c r="AB331" s="51"/>
    </row>
    <row r="332" customFormat="false" ht="15.75" hidden="false" customHeight="false" outlineLevel="0" collapsed="false">
      <c r="A332" s="51"/>
      <c r="B332" s="51"/>
      <c r="C332" s="6"/>
      <c r="D332" s="49"/>
      <c r="E332" s="51"/>
      <c r="F332" s="6"/>
      <c r="G332" s="6"/>
      <c r="H332" s="6"/>
      <c r="I332" s="6"/>
      <c r="J332" s="6"/>
      <c r="K332" s="51"/>
      <c r="L332" s="51"/>
      <c r="M332" s="51"/>
      <c r="N332" s="51"/>
      <c r="O332" s="51"/>
      <c r="P332" s="51"/>
      <c r="Q332" s="51"/>
      <c r="R332" s="51"/>
      <c r="S332" s="51"/>
      <c r="T332" s="51"/>
      <c r="U332" s="51"/>
      <c r="V332" s="51"/>
      <c r="W332" s="51"/>
      <c r="X332" s="51"/>
      <c r="Y332" s="51"/>
      <c r="Z332" s="51"/>
      <c r="AA332" s="51"/>
      <c r="AB332" s="51"/>
    </row>
    <row r="333" customFormat="false" ht="15.75" hidden="false" customHeight="false" outlineLevel="0" collapsed="false">
      <c r="A333" s="51"/>
      <c r="B333" s="51"/>
      <c r="C333" s="6"/>
      <c r="D333" s="49"/>
      <c r="E333" s="51"/>
      <c r="F333" s="6"/>
      <c r="G333" s="6"/>
      <c r="H333" s="6"/>
      <c r="I333" s="6"/>
      <c r="J333" s="6"/>
      <c r="K333" s="51"/>
      <c r="L333" s="51"/>
      <c r="M333" s="51"/>
      <c r="N333" s="51"/>
      <c r="O333" s="51"/>
      <c r="P333" s="51"/>
      <c r="Q333" s="51"/>
      <c r="R333" s="51"/>
      <c r="S333" s="51"/>
      <c r="T333" s="51"/>
      <c r="U333" s="51"/>
      <c r="V333" s="51"/>
      <c r="W333" s="51"/>
      <c r="X333" s="51"/>
      <c r="Y333" s="51"/>
      <c r="Z333" s="51"/>
      <c r="AA333" s="51"/>
      <c r="AB333" s="51"/>
    </row>
    <row r="334" customFormat="false" ht="15.75" hidden="false" customHeight="false" outlineLevel="0" collapsed="false">
      <c r="A334" s="51"/>
      <c r="B334" s="51"/>
      <c r="C334" s="6"/>
      <c r="D334" s="49"/>
      <c r="E334" s="51"/>
      <c r="F334" s="6"/>
      <c r="G334" s="6"/>
      <c r="H334" s="6"/>
      <c r="I334" s="6"/>
      <c r="J334" s="6"/>
      <c r="K334" s="51"/>
      <c r="L334" s="51"/>
      <c r="M334" s="51"/>
      <c r="N334" s="51"/>
      <c r="O334" s="51"/>
      <c r="P334" s="51"/>
      <c r="Q334" s="51"/>
      <c r="R334" s="51"/>
      <c r="S334" s="51"/>
      <c r="T334" s="51"/>
      <c r="U334" s="51"/>
      <c r="V334" s="51"/>
      <c r="W334" s="51"/>
      <c r="X334" s="51"/>
      <c r="Y334" s="51"/>
      <c r="Z334" s="51"/>
      <c r="AA334" s="51"/>
      <c r="AB334" s="51"/>
    </row>
    <row r="335" customFormat="false" ht="15.75" hidden="false" customHeight="false" outlineLevel="0" collapsed="false">
      <c r="A335" s="51"/>
      <c r="B335" s="51"/>
      <c r="C335" s="6"/>
      <c r="D335" s="49"/>
      <c r="E335" s="51"/>
      <c r="F335" s="6"/>
      <c r="G335" s="6"/>
      <c r="H335" s="6"/>
      <c r="I335" s="6"/>
      <c r="J335" s="6"/>
      <c r="K335" s="51"/>
      <c r="L335" s="51"/>
      <c r="M335" s="51"/>
      <c r="N335" s="51"/>
      <c r="O335" s="51"/>
      <c r="P335" s="51"/>
      <c r="Q335" s="51"/>
      <c r="R335" s="51"/>
      <c r="S335" s="51"/>
      <c r="T335" s="51"/>
      <c r="U335" s="51"/>
      <c r="V335" s="51"/>
      <c r="W335" s="51"/>
      <c r="X335" s="51"/>
      <c r="Y335" s="51"/>
      <c r="Z335" s="51"/>
      <c r="AA335" s="51"/>
      <c r="AB335" s="51"/>
    </row>
    <row r="336" customFormat="false" ht="15.75" hidden="false" customHeight="false" outlineLevel="0" collapsed="false">
      <c r="A336" s="51"/>
      <c r="B336" s="51"/>
      <c r="C336" s="6"/>
      <c r="D336" s="49"/>
      <c r="E336" s="51"/>
      <c r="F336" s="6"/>
      <c r="G336" s="6"/>
      <c r="H336" s="6"/>
      <c r="I336" s="6"/>
      <c r="J336" s="6"/>
      <c r="K336" s="51"/>
      <c r="L336" s="51"/>
      <c r="M336" s="51"/>
      <c r="N336" s="51"/>
      <c r="O336" s="51"/>
      <c r="P336" s="51"/>
      <c r="Q336" s="51"/>
      <c r="R336" s="51"/>
      <c r="S336" s="51"/>
      <c r="T336" s="51"/>
      <c r="U336" s="51"/>
      <c r="V336" s="51"/>
      <c r="W336" s="51"/>
      <c r="X336" s="51"/>
      <c r="Y336" s="51"/>
      <c r="Z336" s="51"/>
      <c r="AA336" s="51"/>
      <c r="AB336" s="51"/>
    </row>
    <row r="337" customFormat="false" ht="15.75" hidden="false" customHeight="false" outlineLevel="0" collapsed="false">
      <c r="A337" s="51"/>
      <c r="B337" s="51"/>
      <c r="C337" s="6"/>
      <c r="D337" s="49"/>
      <c r="E337" s="51"/>
      <c r="F337" s="6"/>
      <c r="G337" s="6"/>
      <c r="H337" s="6"/>
      <c r="I337" s="6"/>
      <c r="J337" s="6"/>
      <c r="K337" s="51"/>
      <c r="L337" s="51"/>
      <c r="M337" s="51"/>
      <c r="N337" s="51"/>
      <c r="O337" s="51"/>
      <c r="P337" s="51"/>
      <c r="Q337" s="51"/>
      <c r="R337" s="51"/>
      <c r="S337" s="51"/>
      <c r="T337" s="51"/>
      <c r="U337" s="51"/>
      <c r="V337" s="51"/>
      <c r="W337" s="51"/>
      <c r="X337" s="51"/>
      <c r="Y337" s="51"/>
      <c r="Z337" s="51"/>
      <c r="AA337" s="51"/>
      <c r="AB337" s="51"/>
    </row>
    <row r="338" customFormat="false" ht="15.75" hidden="false" customHeight="false" outlineLevel="0" collapsed="false">
      <c r="A338" s="51"/>
      <c r="B338" s="51"/>
      <c r="C338" s="6"/>
      <c r="D338" s="49"/>
      <c r="E338" s="51"/>
      <c r="F338" s="6"/>
      <c r="G338" s="6"/>
      <c r="H338" s="6"/>
      <c r="I338" s="6"/>
      <c r="J338" s="6"/>
      <c r="K338" s="51"/>
      <c r="L338" s="51"/>
      <c r="M338" s="51"/>
      <c r="N338" s="51"/>
      <c r="O338" s="51"/>
      <c r="P338" s="51"/>
      <c r="Q338" s="51"/>
      <c r="R338" s="51"/>
      <c r="S338" s="51"/>
      <c r="T338" s="51"/>
      <c r="U338" s="51"/>
      <c r="V338" s="51"/>
      <c r="W338" s="51"/>
      <c r="X338" s="51"/>
      <c r="Y338" s="51"/>
      <c r="Z338" s="51"/>
      <c r="AA338" s="51"/>
      <c r="AB338" s="51"/>
    </row>
    <row r="339" customFormat="false" ht="15.75" hidden="false" customHeight="false" outlineLevel="0" collapsed="false">
      <c r="A339" s="51"/>
      <c r="B339" s="51"/>
      <c r="C339" s="6"/>
      <c r="D339" s="49"/>
      <c r="E339" s="51"/>
      <c r="F339" s="6"/>
      <c r="G339" s="6"/>
      <c r="H339" s="6"/>
      <c r="I339" s="6"/>
      <c r="J339" s="6"/>
      <c r="K339" s="51"/>
      <c r="L339" s="51"/>
      <c r="M339" s="51"/>
      <c r="N339" s="51"/>
      <c r="O339" s="51"/>
      <c r="P339" s="51"/>
      <c r="Q339" s="51"/>
      <c r="R339" s="51"/>
      <c r="S339" s="51"/>
      <c r="T339" s="51"/>
      <c r="U339" s="51"/>
      <c r="V339" s="51"/>
      <c r="W339" s="51"/>
      <c r="X339" s="51"/>
      <c r="Y339" s="51"/>
      <c r="Z339" s="51"/>
      <c r="AA339" s="51"/>
      <c r="AB339" s="51"/>
    </row>
    <row r="340" customFormat="false" ht="15.75" hidden="false" customHeight="false" outlineLevel="0" collapsed="false">
      <c r="A340" s="51"/>
      <c r="B340" s="51"/>
      <c r="C340" s="6"/>
      <c r="D340" s="49"/>
      <c r="E340" s="51"/>
      <c r="F340" s="6"/>
      <c r="G340" s="6"/>
      <c r="H340" s="6"/>
      <c r="I340" s="6"/>
      <c r="J340" s="6"/>
      <c r="K340" s="51"/>
      <c r="L340" s="51"/>
      <c r="M340" s="51"/>
      <c r="N340" s="51"/>
      <c r="O340" s="51"/>
      <c r="P340" s="51"/>
      <c r="Q340" s="51"/>
      <c r="R340" s="51"/>
      <c r="S340" s="51"/>
      <c r="T340" s="51"/>
      <c r="U340" s="51"/>
      <c r="V340" s="51"/>
      <c r="W340" s="51"/>
      <c r="X340" s="51"/>
      <c r="Y340" s="51"/>
      <c r="Z340" s="51"/>
      <c r="AA340" s="51"/>
      <c r="AB340" s="51"/>
    </row>
    <row r="341" customFormat="false" ht="15.75" hidden="false" customHeight="false" outlineLevel="0" collapsed="false">
      <c r="A341" s="51"/>
      <c r="B341" s="51"/>
      <c r="C341" s="6"/>
      <c r="D341" s="49"/>
      <c r="E341" s="51"/>
      <c r="F341" s="6"/>
      <c r="G341" s="6"/>
      <c r="H341" s="6"/>
      <c r="I341" s="6"/>
      <c r="J341" s="6"/>
      <c r="K341" s="51"/>
      <c r="L341" s="51"/>
      <c r="M341" s="51"/>
      <c r="N341" s="51"/>
      <c r="O341" s="51"/>
      <c r="P341" s="51"/>
      <c r="Q341" s="51"/>
      <c r="R341" s="51"/>
      <c r="S341" s="51"/>
      <c r="T341" s="51"/>
      <c r="U341" s="51"/>
      <c r="V341" s="51"/>
      <c r="W341" s="51"/>
      <c r="X341" s="51"/>
      <c r="Y341" s="51"/>
      <c r="Z341" s="51"/>
      <c r="AA341" s="51"/>
      <c r="AB341" s="51"/>
    </row>
    <row r="342" customFormat="false" ht="15.75" hidden="false" customHeight="false" outlineLevel="0" collapsed="false">
      <c r="A342" s="51"/>
      <c r="B342" s="51"/>
      <c r="C342" s="6"/>
      <c r="D342" s="49"/>
      <c r="E342" s="51"/>
      <c r="F342" s="6"/>
      <c r="G342" s="6"/>
      <c r="H342" s="6"/>
      <c r="I342" s="6"/>
      <c r="J342" s="6"/>
      <c r="K342" s="51"/>
      <c r="L342" s="51"/>
      <c r="M342" s="51"/>
      <c r="N342" s="51"/>
      <c r="O342" s="51"/>
      <c r="P342" s="51"/>
      <c r="Q342" s="51"/>
      <c r="R342" s="51"/>
      <c r="S342" s="51"/>
      <c r="T342" s="51"/>
      <c r="U342" s="51"/>
      <c r="V342" s="51"/>
      <c r="W342" s="51"/>
      <c r="X342" s="51"/>
      <c r="Y342" s="51"/>
      <c r="Z342" s="51"/>
      <c r="AA342" s="51"/>
      <c r="AB342" s="51"/>
    </row>
    <row r="343" customFormat="false" ht="15.75" hidden="false" customHeight="false" outlineLevel="0" collapsed="false">
      <c r="A343" s="51"/>
      <c r="B343" s="51"/>
      <c r="C343" s="6"/>
      <c r="D343" s="49"/>
      <c r="E343" s="51"/>
      <c r="F343" s="6"/>
      <c r="G343" s="6"/>
      <c r="H343" s="6"/>
      <c r="I343" s="6"/>
      <c r="J343" s="6"/>
      <c r="K343" s="51"/>
      <c r="L343" s="51"/>
      <c r="M343" s="51"/>
      <c r="N343" s="51"/>
      <c r="O343" s="51"/>
      <c r="P343" s="51"/>
      <c r="Q343" s="51"/>
      <c r="R343" s="51"/>
      <c r="S343" s="51"/>
      <c r="T343" s="51"/>
      <c r="U343" s="51"/>
      <c r="V343" s="51"/>
      <c r="W343" s="51"/>
      <c r="X343" s="51"/>
      <c r="Y343" s="51"/>
      <c r="Z343" s="51"/>
      <c r="AA343" s="51"/>
      <c r="AB343" s="51"/>
    </row>
    <row r="344" customFormat="false" ht="15.75" hidden="false" customHeight="false" outlineLevel="0" collapsed="false">
      <c r="A344" s="51"/>
      <c r="B344" s="51"/>
      <c r="C344" s="6"/>
      <c r="D344" s="49"/>
      <c r="E344" s="51"/>
      <c r="F344" s="6"/>
      <c r="G344" s="6"/>
      <c r="H344" s="6"/>
      <c r="I344" s="6"/>
      <c r="J344" s="6"/>
      <c r="K344" s="51"/>
      <c r="L344" s="51"/>
      <c r="M344" s="51"/>
      <c r="N344" s="51"/>
      <c r="O344" s="51"/>
      <c r="P344" s="51"/>
      <c r="Q344" s="51"/>
      <c r="R344" s="51"/>
      <c r="S344" s="51"/>
      <c r="T344" s="51"/>
      <c r="U344" s="51"/>
      <c r="V344" s="51"/>
      <c r="W344" s="51"/>
      <c r="X344" s="51"/>
      <c r="Y344" s="51"/>
      <c r="Z344" s="51"/>
      <c r="AA344" s="51"/>
      <c r="AB344" s="51"/>
    </row>
    <row r="345" customFormat="false" ht="15.75" hidden="false" customHeight="false" outlineLevel="0" collapsed="false">
      <c r="A345" s="51"/>
      <c r="B345" s="51"/>
      <c r="C345" s="6"/>
      <c r="D345" s="49"/>
      <c r="E345" s="51"/>
      <c r="F345" s="6"/>
      <c r="G345" s="6"/>
      <c r="H345" s="6"/>
      <c r="I345" s="6"/>
      <c r="J345" s="6"/>
      <c r="K345" s="51"/>
      <c r="L345" s="51"/>
      <c r="M345" s="51"/>
      <c r="N345" s="51"/>
      <c r="O345" s="51"/>
      <c r="P345" s="51"/>
      <c r="Q345" s="51"/>
      <c r="R345" s="51"/>
      <c r="S345" s="51"/>
      <c r="T345" s="51"/>
      <c r="U345" s="51"/>
      <c r="V345" s="51"/>
      <c r="W345" s="51"/>
      <c r="X345" s="51"/>
      <c r="Y345" s="51"/>
      <c r="Z345" s="51"/>
      <c r="AA345" s="51"/>
      <c r="AB345" s="51"/>
    </row>
    <row r="346" customFormat="false" ht="15.75" hidden="false" customHeight="false" outlineLevel="0" collapsed="false">
      <c r="A346" s="51"/>
      <c r="B346" s="51"/>
      <c r="C346" s="6"/>
      <c r="D346" s="49"/>
      <c r="E346" s="51"/>
      <c r="F346" s="6"/>
      <c r="G346" s="6"/>
      <c r="H346" s="6"/>
      <c r="I346" s="6"/>
      <c r="J346" s="6"/>
      <c r="K346" s="51"/>
      <c r="L346" s="51"/>
      <c r="M346" s="51"/>
      <c r="N346" s="51"/>
      <c r="O346" s="51"/>
      <c r="P346" s="51"/>
      <c r="Q346" s="51"/>
      <c r="R346" s="51"/>
      <c r="S346" s="51"/>
      <c r="T346" s="51"/>
      <c r="U346" s="51"/>
      <c r="V346" s="51"/>
      <c r="W346" s="51"/>
      <c r="X346" s="51"/>
      <c r="Y346" s="51"/>
      <c r="Z346" s="51"/>
      <c r="AA346" s="51"/>
      <c r="AB346" s="51"/>
    </row>
    <row r="347" customFormat="false" ht="15.75" hidden="false" customHeight="false" outlineLevel="0" collapsed="false">
      <c r="A347" s="51"/>
      <c r="B347" s="51"/>
      <c r="C347" s="6"/>
      <c r="D347" s="49"/>
      <c r="E347" s="51"/>
      <c r="F347" s="6"/>
      <c r="G347" s="6"/>
      <c r="H347" s="6"/>
      <c r="I347" s="6"/>
      <c r="J347" s="6"/>
      <c r="K347" s="51"/>
      <c r="L347" s="51"/>
      <c r="M347" s="51"/>
      <c r="N347" s="51"/>
      <c r="O347" s="51"/>
      <c r="P347" s="51"/>
      <c r="Q347" s="51"/>
      <c r="R347" s="51"/>
      <c r="S347" s="51"/>
      <c r="T347" s="51"/>
      <c r="U347" s="51"/>
      <c r="V347" s="51"/>
      <c r="W347" s="51"/>
      <c r="X347" s="51"/>
      <c r="Y347" s="51"/>
      <c r="Z347" s="51"/>
      <c r="AA347" s="51"/>
      <c r="AB347" s="51"/>
    </row>
    <row r="348" customFormat="false" ht="15.75" hidden="false" customHeight="false" outlineLevel="0" collapsed="false">
      <c r="A348" s="51"/>
      <c r="B348" s="51"/>
      <c r="C348" s="6"/>
      <c r="D348" s="49"/>
      <c r="E348" s="51"/>
      <c r="F348" s="6"/>
      <c r="G348" s="6"/>
      <c r="H348" s="6"/>
      <c r="I348" s="6"/>
      <c r="J348" s="6"/>
      <c r="K348" s="51"/>
      <c r="L348" s="51"/>
      <c r="M348" s="51"/>
      <c r="N348" s="51"/>
      <c r="O348" s="51"/>
      <c r="P348" s="51"/>
      <c r="Q348" s="51"/>
      <c r="R348" s="51"/>
      <c r="S348" s="51"/>
      <c r="T348" s="51"/>
      <c r="U348" s="51"/>
      <c r="V348" s="51"/>
      <c r="W348" s="51"/>
      <c r="X348" s="51"/>
      <c r="Y348" s="51"/>
      <c r="Z348" s="51"/>
      <c r="AA348" s="51"/>
      <c r="AB348" s="51"/>
    </row>
    <row r="349" customFormat="false" ht="15.75" hidden="false" customHeight="false" outlineLevel="0" collapsed="false">
      <c r="A349" s="51"/>
      <c r="B349" s="51"/>
      <c r="C349" s="6"/>
      <c r="D349" s="49"/>
      <c r="E349" s="51"/>
      <c r="F349" s="6"/>
      <c r="G349" s="6"/>
      <c r="H349" s="6"/>
      <c r="I349" s="6"/>
      <c r="J349" s="6"/>
      <c r="K349" s="51"/>
      <c r="L349" s="51"/>
      <c r="M349" s="51"/>
      <c r="N349" s="51"/>
      <c r="O349" s="51"/>
      <c r="P349" s="51"/>
      <c r="Q349" s="51"/>
      <c r="R349" s="51"/>
      <c r="S349" s="51"/>
      <c r="T349" s="51"/>
      <c r="U349" s="51"/>
      <c r="V349" s="51"/>
      <c r="W349" s="51"/>
      <c r="X349" s="51"/>
      <c r="Y349" s="51"/>
      <c r="Z349" s="51"/>
      <c r="AA349" s="51"/>
      <c r="AB349" s="51"/>
    </row>
    <row r="350" customFormat="false" ht="15.75" hidden="false" customHeight="false" outlineLevel="0" collapsed="false">
      <c r="A350" s="51"/>
      <c r="B350" s="51"/>
      <c r="C350" s="6"/>
      <c r="D350" s="49"/>
      <c r="E350" s="51"/>
      <c r="F350" s="6"/>
      <c r="G350" s="6"/>
      <c r="H350" s="6"/>
      <c r="I350" s="6"/>
      <c r="J350" s="6"/>
      <c r="K350" s="51"/>
      <c r="L350" s="51"/>
      <c r="M350" s="51"/>
      <c r="N350" s="51"/>
      <c r="O350" s="51"/>
      <c r="P350" s="51"/>
      <c r="Q350" s="51"/>
      <c r="R350" s="51"/>
      <c r="S350" s="51"/>
      <c r="T350" s="51"/>
      <c r="U350" s="51"/>
      <c r="V350" s="51"/>
      <c r="W350" s="51"/>
      <c r="X350" s="51"/>
      <c r="Y350" s="51"/>
      <c r="Z350" s="51"/>
      <c r="AA350" s="51"/>
      <c r="AB350" s="51"/>
    </row>
    <row r="351" customFormat="false" ht="15.75" hidden="false" customHeight="false" outlineLevel="0" collapsed="false">
      <c r="A351" s="51"/>
      <c r="B351" s="51"/>
      <c r="C351" s="6"/>
      <c r="D351" s="49"/>
      <c r="E351" s="51"/>
      <c r="F351" s="6"/>
      <c r="G351" s="6"/>
      <c r="H351" s="6"/>
      <c r="I351" s="6"/>
      <c r="J351" s="6"/>
      <c r="K351" s="51"/>
      <c r="L351" s="51"/>
      <c r="M351" s="51"/>
      <c r="N351" s="51"/>
      <c r="O351" s="51"/>
      <c r="P351" s="51"/>
      <c r="Q351" s="51"/>
      <c r="R351" s="51"/>
      <c r="S351" s="51"/>
      <c r="T351" s="51"/>
      <c r="U351" s="51"/>
      <c r="V351" s="51"/>
      <c r="W351" s="51"/>
      <c r="X351" s="51"/>
      <c r="Y351" s="51"/>
      <c r="Z351" s="51"/>
      <c r="AA351" s="51"/>
      <c r="AB351" s="51"/>
    </row>
    <row r="352" customFormat="false" ht="15.75" hidden="false" customHeight="false" outlineLevel="0" collapsed="false">
      <c r="A352" s="51"/>
      <c r="B352" s="51"/>
      <c r="C352" s="6"/>
      <c r="D352" s="49"/>
      <c r="E352" s="51"/>
      <c r="F352" s="6"/>
      <c r="G352" s="6"/>
      <c r="H352" s="6"/>
      <c r="I352" s="6"/>
      <c r="J352" s="6"/>
      <c r="K352" s="51"/>
      <c r="L352" s="51"/>
      <c r="M352" s="51"/>
      <c r="N352" s="51"/>
      <c r="O352" s="51"/>
      <c r="P352" s="51"/>
      <c r="Q352" s="51"/>
      <c r="R352" s="51"/>
      <c r="S352" s="51"/>
      <c r="T352" s="51"/>
      <c r="U352" s="51"/>
      <c r="V352" s="51"/>
      <c r="W352" s="51"/>
      <c r="X352" s="51"/>
      <c r="Y352" s="51"/>
      <c r="Z352" s="51"/>
      <c r="AA352" s="51"/>
      <c r="AB352" s="51"/>
    </row>
    <row r="353" customFormat="false" ht="15.75" hidden="false" customHeight="false" outlineLevel="0" collapsed="false">
      <c r="A353" s="51"/>
      <c r="B353" s="51"/>
      <c r="C353" s="6"/>
      <c r="D353" s="49"/>
      <c r="E353" s="51"/>
      <c r="F353" s="6"/>
      <c r="G353" s="6"/>
      <c r="H353" s="6"/>
      <c r="I353" s="6"/>
      <c r="J353" s="6"/>
      <c r="K353" s="51"/>
      <c r="L353" s="51"/>
      <c r="M353" s="51"/>
      <c r="N353" s="51"/>
      <c r="O353" s="51"/>
      <c r="P353" s="51"/>
      <c r="Q353" s="51"/>
      <c r="R353" s="51"/>
      <c r="S353" s="51"/>
      <c r="T353" s="51"/>
      <c r="U353" s="51"/>
      <c r="V353" s="51"/>
      <c r="W353" s="51"/>
      <c r="X353" s="51"/>
      <c r="Y353" s="51"/>
      <c r="Z353" s="51"/>
      <c r="AA353" s="51"/>
      <c r="AB353" s="51"/>
    </row>
    <row r="354" customFormat="false" ht="15.75" hidden="false" customHeight="false" outlineLevel="0" collapsed="false">
      <c r="A354" s="51"/>
      <c r="B354" s="51"/>
      <c r="C354" s="6"/>
      <c r="D354" s="49"/>
      <c r="E354" s="51"/>
      <c r="F354" s="6"/>
      <c r="G354" s="6"/>
      <c r="H354" s="6"/>
      <c r="I354" s="6"/>
      <c r="J354" s="6"/>
      <c r="K354" s="51"/>
      <c r="L354" s="51"/>
      <c r="M354" s="51"/>
      <c r="N354" s="51"/>
      <c r="O354" s="51"/>
      <c r="P354" s="51"/>
      <c r="Q354" s="51"/>
      <c r="R354" s="51"/>
      <c r="S354" s="51"/>
      <c r="T354" s="51"/>
      <c r="U354" s="51"/>
      <c r="V354" s="51"/>
      <c r="W354" s="51"/>
      <c r="X354" s="51"/>
      <c r="Y354" s="51"/>
      <c r="Z354" s="51"/>
      <c r="AA354" s="51"/>
      <c r="AB354" s="51"/>
    </row>
    <row r="355" customFormat="false" ht="15.75" hidden="false" customHeight="false" outlineLevel="0" collapsed="false">
      <c r="A355" s="51"/>
      <c r="B355" s="51"/>
      <c r="C355" s="6"/>
      <c r="D355" s="49"/>
      <c r="E355" s="51"/>
      <c r="F355" s="6"/>
      <c r="G355" s="6"/>
      <c r="H355" s="6"/>
      <c r="I355" s="6"/>
      <c r="J355" s="6"/>
      <c r="K355" s="51"/>
      <c r="L355" s="51"/>
      <c r="M355" s="51"/>
      <c r="N355" s="51"/>
      <c r="O355" s="51"/>
      <c r="P355" s="51"/>
      <c r="Q355" s="51"/>
      <c r="R355" s="51"/>
      <c r="S355" s="51"/>
      <c r="T355" s="51"/>
      <c r="U355" s="51"/>
      <c r="V355" s="51"/>
      <c r="W355" s="51"/>
      <c r="X355" s="51"/>
      <c r="Y355" s="51"/>
      <c r="Z355" s="51"/>
      <c r="AA355" s="51"/>
      <c r="AB355" s="51"/>
    </row>
    <row r="356" customFormat="false" ht="15.75" hidden="false" customHeight="false" outlineLevel="0" collapsed="false">
      <c r="A356" s="51"/>
      <c r="B356" s="51"/>
      <c r="C356" s="6"/>
      <c r="D356" s="49"/>
      <c r="E356" s="51"/>
      <c r="F356" s="6"/>
      <c r="G356" s="6"/>
      <c r="H356" s="6"/>
      <c r="I356" s="6"/>
      <c r="J356" s="6"/>
      <c r="K356" s="51"/>
      <c r="L356" s="51"/>
      <c r="M356" s="51"/>
      <c r="N356" s="51"/>
      <c r="O356" s="51"/>
      <c r="P356" s="51"/>
      <c r="Q356" s="51"/>
      <c r="R356" s="51"/>
      <c r="S356" s="51"/>
      <c r="T356" s="51"/>
      <c r="U356" s="51"/>
      <c r="V356" s="51"/>
      <c r="W356" s="51"/>
      <c r="X356" s="51"/>
      <c r="Y356" s="51"/>
      <c r="Z356" s="51"/>
      <c r="AA356" s="51"/>
      <c r="AB356" s="51"/>
    </row>
    <row r="357" customFormat="false" ht="15.75" hidden="false" customHeight="false" outlineLevel="0" collapsed="false">
      <c r="A357" s="51"/>
      <c r="B357" s="51"/>
      <c r="C357" s="6"/>
      <c r="D357" s="49"/>
      <c r="E357" s="51"/>
      <c r="F357" s="6"/>
      <c r="G357" s="6"/>
      <c r="H357" s="6"/>
      <c r="I357" s="6"/>
      <c r="J357" s="6"/>
      <c r="K357" s="51"/>
      <c r="L357" s="51"/>
      <c r="M357" s="51"/>
      <c r="N357" s="51"/>
      <c r="O357" s="51"/>
      <c r="P357" s="51"/>
      <c r="Q357" s="51"/>
      <c r="R357" s="51"/>
      <c r="S357" s="51"/>
      <c r="T357" s="51"/>
      <c r="U357" s="51"/>
      <c r="V357" s="51"/>
      <c r="W357" s="51"/>
      <c r="X357" s="51"/>
      <c r="Y357" s="51"/>
      <c r="Z357" s="51"/>
      <c r="AA357" s="51"/>
      <c r="AB357" s="51"/>
    </row>
    <row r="358" customFormat="false" ht="15.75" hidden="false" customHeight="false" outlineLevel="0" collapsed="false">
      <c r="A358" s="51"/>
      <c r="B358" s="51"/>
      <c r="C358" s="6"/>
      <c r="D358" s="49"/>
      <c r="E358" s="51"/>
      <c r="F358" s="6"/>
      <c r="G358" s="6"/>
      <c r="H358" s="6"/>
      <c r="I358" s="6"/>
      <c r="J358" s="6"/>
      <c r="K358" s="51"/>
      <c r="L358" s="51"/>
      <c r="M358" s="51"/>
      <c r="N358" s="51"/>
      <c r="O358" s="51"/>
      <c r="P358" s="51"/>
      <c r="Q358" s="51"/>
      <c r="R358" s="51"/>
      <c r="S358" s="51"/>
      <c r="T358" s="51"/>
      <c r="U358" s="51"/>
      <c r="V358" s="51"/>
      <c r="W358" s="51"/>
      <c r="X358" s="51"/>
      <c r="Y358" s="51"/>
      <c r="Z358" s="51"/>
      <c r="AA358" s="51"/>
      <c r="AB358" s="51"/>
    </row>
    <row r="359" customFormat="false" ht="15.75" hidden="false" customHeight="false" outlineLevel="0" collapsed="false">
      <c r="A359" s="51"/>
      <c r="B359" s="51"/>
      <c r="C359" s="6"/>
      <c r="D359" s="49"/>
      <c r="E359" s="51"/>
      <c r="F359" s="6"/>
      <c r="G359" s="6"/>
      <c r="H359" s="6"/>
      <c r="I359" s="6"/>
      <c r="J359" s="6"/>
      <c r="K359" s="51"/>
      <c r="L359" s="51"/>
      <c r="M359" s="51"/>
      <c r="N359" s="51"/>
      <c r="O359" s="51"/>
      <c r="P359" s="51"/>
      <c r="Q359" s="51"/>
      <c r="R359" s="51"/>
      <c r="S359" s="51"/>
      <c r="T359" s="51"/>
      <c r="U359" s="51"/>
      <c r="V359" s="51"/>
      <c r="W359" s="51"/>
      <c r="X359" s="51"/>
      <c r="Y359" s="51"/>
      <c r="Z359" s="51"/>
      <c r="AA359" s="51"/>
      <c r="AB359" s="51"/>
    </row>
    <row r="360" customFormat="false" ht="15.75" hidden="false" customHeight="false" outlineLevel="0" collapsed="false">
      <c r="A360" s="51"/>
      <c r="B360" s="51"/>
      <c r="C360" s="6"/>
      <c r="D360" s="49"/>
      <c r="E360" s="51"/>
      <c r="F360" s="6"/>
      <c r="G360" s="6"/>
      <c r="H360" s="6"/>
      <c r="I360" s="6"/>
      <c r="J360" s="6"/>
      <c r="K360" s="51"/>
      <c r="L360" s="51"/>
      <c r="M360" s="51"/>
      <c r="N360" s="51"/>
      <c r="O360" s="51"/>
      <c r="P360" s="51"/>
      <c r="Q360" s="51"/>
      <c r="R360" s="51"/>
      <c r="S360" s="51"/>
      <c r="T360" s="51"/>
      <c r="U360" s="51"/>
      <c r="V360" s="51"/>
      <c r="W360" s="51"/>
      <c r="X360" s="51"/>
      <c r="Y360" s="51"/>
      <c r="Z360" s="51"/>
      <c r="AA360" s="51"/>
      <c r="AB360" s="51"/>
    </row>
    <row r="361" customFormat="false" ht="15.75" hidden="false" customHeight="false" outlineLevel="0" collapsed="false">
      <c r="A361" s="51"/>
      <c r="B361" s="51"/>
      <c r="C361" s="6"/>
      <c r="D361" s="49"/>
      <c r="E361" s="51"/>
      <c r="F361" s="6"/>
      <c r="G361" s="6"/>
      <c r="H361" s="6"/>
      <c r="I361" s="6"/>
      <c r="J361" s="6"/>
      <c r="K361" s="51"/>
      <c r="L361" s="51"/>
      <c r="M361" s="51"/>
      <c r="N361" s="51"/>
      <c r="O361" s="51"/>
      <c r="P361" s="51"/>
      <c r="Q361" s="51"/>
      <c r="R361" s="51"/>
      <c r="S361" s="51"/>
      <c r="T361" s="51"/>
      <c r="U361" s="51"/>
      <c r="V361" s="51"/>
      <c r="W361" s="51"/>
      <c r="X361" s="51"/>
      <c r="Y361" s="51"/>
      <c r="Z361" s="51"/>
      <c r="AA361" s="51"/>
      <c r="AB361" s="51"/>
    </row>
    <row r="362" customFormat="false" ht="15.75" hidden="false" customHeight="false" outlineLevel="0" collapsed="false">
      <c r="A362" s="51"/>
      <c r="B362" s="51"/>
      <c r="C362" s="6"/>
      <c r="D362" s="49"/>
      <c r="E362" s="51"/>
      <c r="F362" s="6"/>
      <c r="G362" s="6"/>
      <c r="H362" s="6"/>
      <c r="I362" s="6"/>
      <c r="J362" s="6"/>
      <c r="K362" s="51"/>
      <c r="L362" s="51"/>
      <c r="M362" s="51"/>
      <c r="N362" s="51"/>
      <c r="O362" s="51"/>
      <c r="P362" s="51"/>
      <c r="Q362" s="51"/>
      <c r="R362" s="51"/>
      <c r="S362" s="51"/>
      <c r="T362" s="51"/>
      <c r="U362" s="51"/>
      <c r="V362" s="51"/>
      <c r="W362" s="51"/>
      <c r="X362" s="51"/>
      <c r="Y362" s="51"/>
      <c r="Z362" s="51"/>
      <c r="AA362" s="51"/>
      <c r="AB362" s="51"/>
    </row>
    <row r="363" customFormat="false" ht="15.75" hidden="false" customHeight="false" outlineLevel="0" collapsed="false">
      <c r="A363" s="51"/>
      <c r="B363" s="51"/>
      <c r="C363" s="6"/>
      <c r="D363" s="49"/>
      <c r="E363" s="51"/>
      <c r="F363" s="6"/>
      <c r="G363" s="6"/>
      <c r="H363" s="6"/>
      <c r="I363" s="6"/>
      <c r="J363" s="6"/>
      <c r="K363" s="51"/>
      <c r="L363" s="51"/>
      <c r="M363" s="51"/>
      <c r="N363" s="51"/>
      <c r="O363" s="51"/>
      <c r="P363" s="51"/>
      <c r="Q363" s="51"/>
      <c r="R363" s="51"/>
      <c r="S363" s="51"/>
      <c r="T363" s="51"/>
      <c r="U363" s="51"/>
      <c r="V363" s="51"/>
      <c r="W363" s="51"/>
      <c r="X363" s="51"/>
      <c r="Y363" s="51"/>
      <c r="Z363" s="51"/>
      <c r="AA363" s="51"/>
      <c r="AB363" s="51"/>
    </row>
    <row r="364" customFormat="false" ht="15.75" hidden="false" customHeight="false" outlineLevel="0" collapsed="false">
      <c r="A364" s="51"/>
      <c r="B364" s="51"/>
      <c r="C364" s="6"/>
      <c r="D364" s="49"/>
      <c r="E364" s="51"/>
      <c r="F364" s="6"/>
      <c r="G364" s="6"/>
      <c r="H364" s="6"/>
      <c r="I364" s="6"/>
      <c r="J364" s="6"/>
      <c r="K364" s="51"/>
      <c r="L364" s="51"/>
      <c r="M364" s="51"/>
      <c r="N364" s="51"/>
      <c r="O364" s="51"/>
      <c r="P364" s="51"/>
      <c r="Q364" s="51"/>
      <c r="R364" s="51"/>
      <c r="S364" s="51"/>
      <c r="T364" s="51"/>
      <c r="U364" s="51"/>
      <c r="V364" s="51"/>
      <c r="W364" s="51"/>
      <c r="X364" s="51"/>
      <c r="Y364" s="51"/>
      <c r="Z364" s="51"/>
      <c r="AA364" s="51"/>
      <c r="AB364" s="51"/>
    </row>
    <row r="365" customFormat="false" ht="15.75" hidden="false" customHeight="false" outlineLevel="0" collapsed="false">
      <c r="A365" s="51"/>
      <c r="B365" s="51"/>
      <c r="C365" s="6"/>
      <c r="D365" s="49"/>
      <c r="E365" s="51"/>
      <c r="F365" s="6"/>
      <c r="G365" s="6"/>
      <c r="H365" s="6"/>
      <c r="I365" s="6"/>
      <c r="J365" s="6"/>
      <c r="K365" s="51"/>
      <c r="L365" s="51"/>
      <c r="M365" s="51"/>
      <c r="N365" s="51"/>
      <c r="O365" s="51"/>
      <c r="P365" s="51"/>
      <c r="Q365" s="51"/>
      <c r="R365" s="51"/>
      <c r="S365" s="51"/>
      <c r="T365" s="51"/>
      <c r="U365" s="51"/>
      <c r="V365" s="51"/>
      <c r="W365" s="51"/>
      <c r="X365" s="51"/>
      <c r="Y365" s="51"/>
      <c r="Z365" s="51"/>
      <c r="AA365" s="51"/>
      <c r="AB365" s="51"/>
    </row>
    <row r="366" customFormat="false" ht="15.75" hidden="false" customHeight="false" outlineLevel="0" collapsed="false">
      <c r="A366" s="51"/>
      <c r="B366" s="51"/>
      <c r="C366" s="6"/>
      <c r="D366" s="49"/>
      <c r="E366" s="51"/>
      <c r="F366" s="6"/>
      <c r="G366" s="6"/>
      <c r="H366" s="6"/>
      <c r="I366" s="6"/>
      <c r="J366" s="6"/>
      <c r="K366" s="51"/>
      <c r="L366" s="51"/>
      <c r="M366" s="51"/>
      <c r="N366" s="51"/>
      <c r="O366" s="51"/>
      <c r="P366" s="51"/>
      <c r="Q366" s="51"/>
      <c r="R366" s="51"/>
      <c r="S366" s="51"/>
      <c r="T366" s="51"/>
      <c r="U366" s="51"/>
      <c r="V366" s="51"/>
      <c r="W366" s="51"/>
      <c r="X366" s="51"/>
      <c r="Y366" s="51"/>
      <c r="Z366" s="51"/>
      <c r="AA366" s="51"/>
      <c r="AB366" s="51"/>
    </row>
    <row r="367" customFormat="false" ht="15.75" hidden="false" customHeight="false" outlineLevel="0" collapsed="false">
      <c r="A367" s="51"/>
      <c r="B367" s="51"/>
      <c r="C367" s="6"/>
      <c r="D367" s="49"/>
      <c r="E367" s="51"/>
      <c r="F367" s="6"/>
      <c r="G367" s="6"/>
      <c r="H367" s="6"/>
      <c r="I367" s="6"/>
      <c r="J367" s="6"/>
      <c r="K367" s="51"/>
      <c r="L367" s="51"/>
      <c r="M367" s="51"/>
      <c r="N367" s="51"/>
      <c r="O367" s="51"/>
      <c r="P367" s="51"/>
      <c r="Q367" s="51"/>
      <c r="R367" s="51"/>
      <c r="S367" s="51"/>
      <c r="T367" s="51"/>
      <c r="U367" s="51"/>
      <c r="V367" s="51"/>
      <c r="W367" s="51"/>
      <c r="X367" s="51"/>
      <c r="Y367" s="51"/>
      <c r="Z367" s="51"/>
      <c r="AA367" s="51"/>
      <c r="AB367" s="51"/>
    </row>
    <row r="368" customFormat="false" ht="15.75" hidden="false" customHeight="false" outlineLevel="0" collapsed="false">
      <c r="A368" s="51"/>
      <c r="B368" s="51"/>
      <c r="C368" s="6"/>
      <c r="D368" s="49"/>
      <c r="E368" s="51"/>
      <c r="F368" s="6"/>
      <c r="G368" s="6"/>
      <c r="H368" s="6"/>
      <c r="I368" s="6"/>
      <c r="J368" s="6"/>
      <c r="K368" s="51"/>
      <c r="L368" s="51"/>
      <c r="M368" s="51"/>
      <c r="N368" s="51"/>
      <c r="O368" s="51"/>
      <c r="P368" s="51"/>
      <c r="Q368" s="51"/>
      <c r="R368" s="51"/>
      <c r="S368" s="51"/>
      <c r="T368" s="51"/>
      <c r="U368" s="51"/>
      <c r="V368" s="51"/>
      <c r="W368" s="51"/>
      <c r="X368" s="51"/>
      <c r="Y368" s="51"/>
      <c r="Z368" s="51"/>
      <c r="AA368" s="51"/>
      <c r="AB368" s="51"/>
    </row>
    <row r="369" customFormat="false" ht="15.75" hidden="false" customHeight="false" outlineLevel="0" collapsed="false">
      <c r="A369" s="51"/>
      <c r="B369" s="51"/>
      <c r="C369" s="6"/>
      <c r="D369" s="49"/>
      <c r="E369" s="51"/>
      <c r="F369" s="6"/>
      <c r="G369" s="6"/>
      <c r="H369" s="6"/>
      <c r="I369" s="6"/>
      <c r="J369" s="6"/>
      <c r="K369" s="51"/>
      <c r="L369" s="51"/>
      <c r="M369" s="51"/>
      <c r="N369" s="51"/>
      <c r="O369" s="51"/>
      <c r="P369" s="51"/>
      <c r="Q369" s="51"/>
      <c r="R369" s="51"/>
      <c r="S369" s="51"/>
      <c r="T369" s="51"/>
      <c r="U369" s="51"/>
      <c r="V369" s="51"/>
      <c r="W369" s="51"/>
      <c r="X369" s="51"/>
      <c r="Y369" s="51"/>
      <c r="Z369" s="51"/>
      <c r="AA369" s="51"/>
      <c r="AB369" s="51"/>
    </row>
    <row r="370" customFormat="false" ht="15.75" hidden="false" customHeight="false" outlineLevel="0" collapsed="false">
      <c r="A370" s="51"/>
      <c r="B370" s="51"/>
      <c r="C370" s="6"/>
      <c r="D370" s="49"/>
      <c r="E370" s="51"/>
      <c r="F370" s="6"/>
      <c r="G370" s="6"/>
      <c r="H370" s="6"/>
      <c r="I370" s="6"/>
      <c r="J370" s="6"/>
      <c r="K370" s="51"/>
      <c r="L370" s="51"/>
      <c r="M370" s="51"/>
      <c r="N370" s="51"/>
      <c r="O370" s="51"/>
      <c r="P370" s="51"/>
      <c r="Q370" s="51"/>
      <c r="R370" s="51"/>
      <c r="S370" s="51"/>
      <c r="T370" s="51"/>
      <c r="U370" s="51"/>
      <c r="V370" s="51"/>
      <c r="W370" s="51"/>
      <c r="X370" s="51"/>
      <c r="Y370" s="51"/>
      <c r="Z370" s="51"/>
      <c r="AA370" s="51"/>
      <c r="AB370" s="51"/>
    </row>
    <row r="371" customFormat="false" ht="15.75" hidden="false" customHeight="false" outlineLevel="0" collapsed="false">
      <c r="A371" s="51"/>
      <c r="B371" s="51"/>
      <c r="C371" s="6"/>
      <c r="D371" s="49"/>
      <c r="E371" s="51"/>
      <c r="F371" s="6"/>
      <c r="G371" s="6"/>
      <c r="H371" s="6"/>
      <c r="I371" s="6"/>
      <c r="J371" s="6"/>
      <c r="K371" s="51"/>
      <c r="L371" s="51"/>
      <c r="M371" s="51"/>
      <c r="N371" s="51"/>
      <c r="O371" s="51"/>
      <c r="P371" s="51"/>
      <c r="Q371" s="51"/>
      <c r="R371" s="51"/>
      <c r="S371" s="51"/>
      <c r="T371" s="51"/>
      <c r="U371" s="51"/>
      <c r="V371" s="51"/>
      <c r="W371" s="51"/>
      <c r="X371" s="51"/>
      <c r="Y371" s="51"/>
      <c r="Z371" s="51"/>
      <c r="AA371" s="51"/>
      <c r="AB371" s="51"/>
    </row>
    <row r="372" customFormat="false" ht="15.75" hidden="false" customHeight="false" outlineLevel="0" collapsed="false">
      <c r="A372" s="51"/>
      <c r="B372" s="51"/>
      <c r="C372" s="6"/>
      <c r="D372" s="49"/>
      <c r="E372" s="51"/>
      <c r="F372" s="6"/>
      <c r="G372" s="6"/>
      <c r="H372" s="6"/>
      <c r="I372" s="6"/>
      <c r="J372" s="6"/>
      <c r="K372" s="51"/>
      <c r="L372" s="51"/>
      <c r="M372" s="51"/>
      <c r="N372" s="51"/>
      <c r="O372" s="51"/>
      <c r="P372" s="51"/>
      <c r="Q372" s="51"/>
      <c r="R372" s="51"/>
      <c r="S372" s="51"/>
      <c r="T372" s="51"/>
      <c r="U372" s="51"/>
      <c r="V372" s="51"/>
      <c r="W372" s="51"/>
      <c r="X372" s="51"/>
      <c r="Y372" s="51"/>
      <c r="Z372" s="51"/>
      <c r="AA372" s="51"/>
      <c r="AB372" s="51"/>
    </row>
    <row r="373" customFormat="false" ht="15.75" hidden="false" customHeight="false" outlineLevel="0" collapsed="false">
      <c r="A373" s="51"/>
      <c r="B373" s="51"/>
      <c r="C373" s="6"/>
      <c r="D373" s="49"/>
      <c r="E373" s="51"/>
      <c r="F373" s="6"/>
      <c r="G373" s="6"/>
      <c r="H373" s="6"/>
      <c r="I373" s="6"/>
      <c r="J373" s="6"/>
      <c r="K373" s="51"/>
      <c r="L373" s="51"/>
      <c r="M373" s="51"/>
      <c r="N373" s="51"/>
      <c r="O373" s="51"/>
      <c r="P373" s="51"/>
      <c r="Q373" s="51"/>
      <c r="R373" s="51"/>
      <c r="S373" s="51"/>
      <c r="T373" s="51"/>
      <c r="U373" s="51"/>
      <c r="V373" s="51"/>
      <c r="W373" s="51"/>
      <c r="X373" s="51"/>
      <c r="Y373" s="51"/>
      <c r="Z373" s="51"/>
      <c r="AA373" s="51"/>
      <c r="AB373" s="51"/>
    </row>
    <row r="374" customFormat="false" ht="15.75" hidden="false" customHeight="false" outlineLevel="0" collapsed="false">
      <c r="A374" s="51"/>
      <c r="B374" s="51"/>
      <c r="C374" s="6"/>
      <c r="D374" s="49"/>
      <c r="E374" s="51"/>
      <c r="F374" s="6"/>
      <c r="G374" s="6"/>
      <c r="H374" s="6"/>
      <c r="I374" s="6"/>
      <c r="J374" s="6"/>
      <c r="K374" s="51"/>
      <c r="L374" s="51"/>
      <c r="M374" s="51"/>
      <c r="N374" s="51"/>
      <c r="O374" s="51"/>
      <c r="P374" s="51"/>
      <c r="Q374" s="51"/>
      <c r="R374" s="51"/>
      <c r="S374" s="51"/>
      <c r="T374" s="51"/>
      <c r="U374" s="51"/>
      <c r="V374" s="51"/>
      <c r="W374" s="51"/>
      <c r="X374" s="51"/>
      <c r="Y374" s="51"/>
      <c r="Z374" s="51"/>
      <c r="AA374" s="51"/>
      <c r="AB374" s="51"/>
    </row>
    <row r="375" customFormat="false" ht="15.75" hidden="false" customHeight="false" outlineLevel="0" collapsed="false">
      <c r="A375" s="51"/>
      <c r="B375" s="51"/>
      <c r="C375" s="6"/>
      <c r="D375" s="49"/>
      <c r="E375" s="51"/>
      <c r="F375" s="6"/>
      <c r="G375" s="6"/>
      <c r="H375" s="6"/>
      <c r="I375" s="6"/>
      <c r="J375" s="6"/>
      <c r="K375" s="51"/>
      <c r="L375" s="51"/>
      <c r="M375" s="51"/>
      <c r="N375" s="51"/>
      <c r="O375" s="51"/>
      <c r="P375" s="51"/>
      <c r="Q375" s="51"/>
      <c r="R375" s="51"/>
      <c r="S375" s="51"/>
      <c r="T375" s="51"/>
      <c r="U375" s="51"/>
      <c r="V375" s="51"/>
      <c r="W375" s="51"/>
      <c r="X375" s="51"/>
      <c r="Y375" s="51"/>
      <c r="Z375" s="51"/>
      <c r="AA375" s="51"/>
      <c r="AB375" s="51"/>
    </row>
    <row r="376" customFormat="false" ht="15.75" hidden="false" customHeight="false" outlineLevel="0" collapsed="false">
      <c r="A376" s="51"/>
      <c r="B376" s="51"/>
      <c r="C376" s="6"/>
      <c r="D376" s="49"/>
      <c r="E376" s="51"/>
      <c r="F376" s="6"/>
      <c r="G376" s="6"/>
      <c r="H376" s="6"/>
      <c r="I376" s="6"/>
      <c r="J376" s="6"/>
      <c r="K376" s="51"/>
      <c r="L376" s="51"/>
      <c r="M376" s="51"/>
      <c r="N376" s="51"/>
      <c r="O376" s="51"/>
      <c r="P376" s="51"/>
      <c r="Q376" s="51"/>
      <c r="R376" s="51"/>
      <c r="S376" s="51"/>
      <c r="T376" s="51"/>
      <c r="U376" s="51"/>
      <c r="V376" s="51"/>
      <c r="W376" s="51"/>
      <c r="X376" s="51"/>
      <c r="Y376" s="51"/>
      <c r="Z376" s="51"/>
      <c r="AA376" s="51"/>
      <c r="AB376" s="51"/>
    </row>
    <row r="377" customFormat="false" ht="15.75" hidden="false" customHeight="false" outlineLevel="0" collapsed="false">
      <c r="A377" s="51"/>
      <c r="B377" s="51"/>
      <c r="C377" s="6"/>
      <c r="D377" s="49"/>
      <c r="E377" s="51"/>
      <c r="F377" s="6"/>
      <c r="G377" s="6"/>
      <c r="H377" s="6"/>
      <c r="I377" s="6"/>
      <c r="J377" s="6"/>
      <c r="K377" s="51"/>
      <c r="L377" s="51"/>
      <c r="M377" s="51"/>
      <c r="N377" s="51"/>
      <c r="O377" s="51"/>
      <c r="P377" s="51"/>
      <c r="Q377" s="51"/>
      <c r="R377" s="51"/>
      <c r="S377" s="51"/>
      <c r="T377" s="51"/>
      <c r="U377" s="51"/>
      <c r="V377" s="51"/>
      <c r="W377" s="51"/>
      <c r="X377" s="51"/>
      <c r="Y377" s="51"/>
      <c r="Z377" s="51"/>
      <c r="AA377" s="51"/>
      <c r="AB377" s="51"/>
    </row>
    <row r="378" customFormat="false" ht="15.75" hidden="false" customHeight="false" outlineLevel="0" collapsed="false">
      <c r="A378" s="51"/>
      <c r="B378" s="51"/>
      <c r="C378" s="6"/>
      <c r="D378" s="49"/>
      <c r="E378" s="51"/>
      <c r="F378" s="6"/>
      <c r="G378" s="6"/>
      <c r="H378" s="6"/>
      <c r="I378" s="6"/>
      <c r="J378" s="6"/>
      <c r="K378" s="51"/>
      <c r="L378" s="51"/>
      <c r="M378" s="51"/>
      <c r="N378" s="51"/>
      <c r="O378" s="51"/>
      <c r="P378" s="51"/>
      <c r="Q378" s="51"/>
      <c r="R378" s="51"/>
      <c r="S378" s="51"/>
      <c r="T378" s="51"/>
      <c r="U378" s="51"/>
      <c r="V378" s="51"/>
      <c r="W378" s="51"/>
      <c r="X378" s="51"/>
      <c r="Y378" s="51"/>
      <c r="Z378" s="51"/>
      <c r="AA378" s="51"/>
      <c r="AB378" s="51"/>
    </row>
    <row r="379" customFormat="false" ht="15.75" hidden="false" customHeight="false" outlineLevel="0" collapsed="false">
      <c r="A379" s="51"/>
      <c r="B379" s="51"/>
      <c r="C379" s="6"/>
      <c r="D379" s="49"/>
      <c r="E379" s="51"/>
      <c r="F379" s="6"/>
      <c r="G379" s="6"/>
      <c r="H379" s="6"/>
      <c r="I379" s="6"/>
      <c r="J379" s="6"/>
      <c r="K379" s="51"/>
      <c r="L379" s="51"/>
      <c r="M379" s="51"/>
      <c r="N379" s="51"/>
      <c r="O379" s="51"/>
      <c r="P379" s="51"/>
      <c r="Q379" s="51"/>
      <c r="R379" s="51"/>
      <c r="S379" s="51"/>
      <c r="T379" s="51"/>
      <c r="U379" s="51"/>
      <c r="V379" s="51"/>
      <c r="W379" s="51"/>
      <c r="X379" s="51"/>
      <c r="Y379" s="51"/>
      <c r="Z379" s="51"/>
      <c r="AA379" s="51"/>
      <c r="AB379" s="51"/>
    </row>
    <row r="380" customFormat="false" ht="15.75" hidden="false" customHeight="false" outlineLevel="0" collapsed="false">
      <c r="A380" s="51"/>
      <c r="B380" s="51"/>
      <c r="C380" s="6"/>
      <c r="D380" s="49"/>
      <c r="E380" s="51"/>
      <c r="F380" s="6"/>
      <c r="G380" s="6"/>
      <c r="H380" s="6"/>
      <c r="I380" s="6"/>
      <c r="J380" s="6"/>
      <c r="K380" s="51"/>
      <c r="L380" s="51"/>
      <c r="M380" s="51"/>
      <c r="N380" s="51"/>
      <c r="O380" s="51"/>
      <c r="P380" s="51"/>
      <c r="Q380" s="51"/>
      <c r="R380" s="51"/>
      <c r="S380" s="51"/>
      <c r="T380" s="51"/>
      <c r="U380" s="51"/>
      <c r="V380" s="51"/>
      <c r="W380" s="51"/>
      <c r="X380" s="51"/>
      <c r="Y380" s="51"/>
      <c r="Z380" s="51"/>
      <c r="AA380" s="51"/>
      <c r="AB380" s="51"/>
    </row>
    <row r="381" customFormat="false" ht="15.75" hidden="false" customHeight="false" outlineLevel="0" collapsed="false">
      <c r="A381" s="51"/>
      <c r="B381" s="51"/>
      <c r="C381" s="6"/>
      <c r="D381" s="49"/>
      <c r="E381" s="51"/>
      <c r="F381" s="6"/>
      <c r="G381" s="6"/>
      <c r="H381" s="6"/>
      <c r="I381" s="6"/>
      <c r="J381" s="6"/>
      <c r="K381" s="51"/>
      <c r="L381" s="51"/>
      <c r="M381" s="51"/>
      <c r="N381" s="51"/>
      <c r="O381" s="51"/>
      <c r="P381" s="51"/>
      <c r="Q381" s="51"/>
      <c r="R381" s="51"/>
      <c r="S381" s="51"/>
      <c r="T381" s="51"/>
      <c r="U381" s="51"/>
      <c r="V381" s="51"/>
      <c r="W381" s="51"/>
      <c r="X381" s="51"/>
      <c r="Y381" s="51"/>
      <c r="Z381" s="51"/>
      <c r="AA381" s="51"/>
      <c r="AB381" s="51"/>
    </row>
    <row r="382" customFormat="false" ht="15.75" hidden="false" customHeight="false" outlineLevel="0" collapsed="false">
      <c r="A382" s="51"/>
      <c r="B382" s="51"/>
      <c r="C382" s="6"/>
      <c r="D382" s="49"/>
      <c r="E382" s="51"/>
      <c r="F382" s="6"/>
      <c r="G382" s="6"/>
      <c r="H382" s="6"/>
      <c r="I382" s="6"/>
      <c r="J382" s="6"/>
      <c r="K382" s="51"/>
      <c r="L382" s="51"/>
      <c r="M382" s="51"/>
      <c r="N382" s="51"/>
      <c r="O382" s="51"/>
      <c r="P382" s="51"/>
      <c r="Q382" s="51"/>
      <c r="R382" s="51"/>
      <c r="S382" s="51"/>
      <c r="T382" s="51"/>
      <c r="U382" s="51"/>
      <c r="V382" s="51"/>
      <c r="W382" s="51"/>
      <c r="X382" s="51"/>
      <c r="Y382" s="51"/>
      <c r="Z382" s="51"/>
      <c r="AA382" s="51"/>
      <c r="AB382" s="51"/>
    </row>
    <row r="383" customFormat="false" ht="15.75" hidden="false" customHeight="false" outlineLevel="0" collapsed="false">
      <c r="A383" s="51"/>
      <c r="B383" s="51"/>
      <c r="C383" s="6"/>
      <c r="D383" s="49"/>
      <c r="E383" s="51"/>
      <c r="F383" s="6"/>
      <c r="G383" s="6"/>
      <c r="H383" s="6"/>
      <c r="I383" s="6"/>
      <c r="J383" s="6"/>
      <c r="K383" s="51"/>
      <c r="L383" s="51"/>
      <c r="M383" s="51"/>
      <c r="N383" s="51"/>
      <c r="O383" s="51"/>
      <c r="P383" s="51"/>
      <c r="Q383" s="51"/>
      <c r="R383" s="51"/>
      <c r="S383" s="51"/>
      <c r="T383" s="51"/>
      <c r="U383" s="51"/>
      <c r="V383" s="51"/>
      <c r="W383" s="51"/>
      <c r="X383" s="51"/>
      <c r="Y383" s="51"/>
      <c r="Z383" s="51"/>
      <c r="AA383" s="51"/>
      <c r="AB383" s="51"/>
    </row>
    <row r="384" customFormat="false" ht="15.75" hidden="false" customHeight="false" outlineLevel="0" collapsed="false">
      <c r="A384" s="51"/>
      <c r="B384" s="51"/>
      <c r="C384" s="6"/>
      <c r="D384" s="49"/>
      <c r="E384" s="51"/>
      <c r="F384" s="6"/>
      <c r="G384" s="6"/>
      <c r="H384" s="6"/>
      <c r="I384" s="6"/>
      <c r="J384" s="6"/>
      <c r="K384" s="51"/>
      <c r="L384" s="51"/>
      <c r="M384" s="51"/>
      <c r="N384" s="51"/>
      <c r="O384" s="51"/>
      <c r="P384" s="51"/>
      <c r="Q384" s="51"/>
      <c r="R384" s="51"/>
      <c r="S384" s="51"/>
      <c r="T384" s="51"/>
      <c r="U384" s="51"/>
      <c r="V384" s="51"/>
      <c r="W384" s="51"/>
      <c r="X384" s="51"/>
      <c r="Y384" s="51"/>
      <c r="Z384" s="51"/>
      <c r="AA384" s="51"/>
      <c r="AB384" s="51"/>
    </row>
    <row r="385" customFormat="false" ht="15.75" hidden="false" customHeight="false" outlineLevel="0" collapsed="false">
      <c r="A385" s="51"/>
      <c r="B385" s="51"/>
      <c r="C385" s="6"/>
      <c r="D385" s="49"/>
      <c r="E385" s="51"/>
      <c r="F385" s="6"/>
      <c r="G385" s="6"/>
      <c r="H385" s="6"/>
      <c r="I385" s="6"/>
      <c r="J385" s="6"/>
      <c r="K385" s="51"/>
      <c r="L385" s="51"/>
      <c r="M385" s="51"/>
      <c r="N385" s="51"/>
      <c r="O385" s="51"/>
      <c r="P385" s="51"/>
      <c r="Q385" s="51"/>
      <c r="R385" s="51"/>
      <c r="S385" s="51"/>
      <c r="T385" s="51"/>
      <c r="U385" s="51"/>
      <c r="V385" s="51"/>
      <c r="W385" s="51"/>
      <c r="X385" s="51"/>
      <c r="Y385" s="51"/>
      <c r="Z385" s="51"/>
      <c r="AA385" s="51"/>
      <c r="AB385" s="51"/>
    </row>
    <row r="386" customFormat="false" ht="15.75" hidden="false" customHeight="false" outlineLevel="0" collapsed="false">
      <c r="A386" s="51"/>
      <c r="B386" s="51"/>
      <c r="C386" s="6"/>
      <c r="D386" s="49"/>
      <c r="E386" s="51"/>
      <c r="F386" s="6"/>
      <c r="G386" s="6"/>
      <c r="H386" s="6"/>
      <c r="I386" s="6"/>
      <c r="J386" s="6"/>
      <c r="K386" s="51"/>
      <c r="L386" s="51"/>
      <c r="M386" s="51"/>
      <c r="N386" s="51"/>
      <c r="O386" s="51"/>
      <c r="P386" s="51"/>
      <c r="Q386" s="51"/>
      <c r="R386" s="51"/>
      <c r="S386" s="51"/>
      <c r="T386" s="51"/>
      <c r="U386" s="51"/>
      <c r="V386" s="51"/>
      <c r="W386" s="51"/>
      <c r="X386" s="51"/>
      <c r="Y386" s="51"/>
      <c r="Z386" s="51"/>
      <c r="AA386" s="51"/>
      <c r="AB386" s="51"/>
    </row>
    <row r="387" customFormat="false" ht="15.75" hidden="false" customHeight="false" outlineLevel="0" collapsed="false">
      <c r="A387" s="51"/>
      <c r="B387" s="51"/>
      <c r="C387" s="6"/>
      <c r="D387" s="49"/>
      <c r="E387" s="51"/>
      <c r="F387" s="6"/>
      <c r="G387" s="6"/>
      <c r="H387" s="6"/>
      <c r="I387" s="6"/>
      <c r="J387" s="6"/>
      <c r="K387" s="51"/>
      <c r="L387" s="51"/>
      <c r="M387" s="51"/>
      <c r="N387" s="51"/>
      <c r="O387" s="51"/>
      <c r="P387" s="51"/>
      <c r="Q387" s="51"/>
      <c r="R387" s="51"/>
      <c r="S387" s="51"/>
      <c r="T387" s="51"/>
      <c r="U387" s="51"/>
      <c r="V387" s="51"/>
      <c r="W387" s="51"/>
      <c r="X387" s="51"/>
      <c r="Y387" s="51"/>
      <c r="Z387" s="51"/>
      <c r="AA387" s="51"/>
      <c r="AB387" s="51"/>
    </row>
    <row r="388" customFormat="false" ht="15.75" hidden="false" customHeight="false" outlineLevel="0" collapsed="false">
      <c r="A388" s="51"/>
      <c r="B388" s="51"/>
      <c r="C388" s="6"/>
      <c r="D388" s="49"/>
      <c r="E388" s="51"/>
      <c r="F388" s="6"/>
      <c r="G388" s="6"/>
      <c r="H388" s="6"/>
      <c r="I388" s="6"/>
      <c r="J388" s="6"/>
      <c r="K388" s="51"/>
      <c r="L388" s="51"/>
      <c r="M388" s="51"/>
      <c r="N388" s="51"/>
      <c r="O388" s="51"/>
      <c r="P388" s="51"/>
      <c r="Q388" s="51"/>
      <c r="R388" s="51"/>
      <c r="S388" s="51"/>
      <c r="T388" s="51"/>
      <c r="U388" s="51"/>
      <c r="V388" s="51"/>
      <c r="W388" s="51"/>
      <c r="X388" s="51"/>
      <c r="Y388" s="51"/>
      <c r="Z388" s="51"/>
      <c r="AA388" s="51"/>
      <c r="AB388" s="51"/>
    </row>
    <row r="389" customFormat="false" ht="15.75" hidden="false" customHeight="false" outlineLevel="0" collapsed="false">
      <c r="A389" s="51"/>
      <c r="B389" s="51"/>
      <c r="C389" s="6"/>
      <c r="D389" s="49"/>
      <c r="E389" s="51"/>
      <c r="F389" s="6"/>
      <c r="G389" s="6"/>
      <c r="H389" s="6"/>
      <c r="I389" s="6"/>
      <c r="J389" s="6"/>
      <c r="K389" s="51"/>
      <c r="L389" s="51"/>
      <c r="M389" s="51"/>
      <c r="N389" s="51"/>
      <c r="O389" s="51"/>
      <c r="P389" s="51"/>
      <c r="Q389" s="51"/>
      <c r="R389" s="51"/>
      <c r="S389" s="51"/>
      <c r="T389" s="51"/>
      <c r="U389" s="51"/>
      <c r="V389" s="51"/>
      <c r="W389" s="51"/>
      <c r="X389" s="51"/>
      <c r="Y389" s="51"/>
      <c r="Z389" s="51"/>
      <c r="AA389" s="51"/>
      <c r="AB389" s="51"/>
    </row>
    <row r="390" customFormat="false" ht="15.75" hidden="false" customHeight="false" outlineLevel="0" collapsed="false">
      <c r="A390" s="51"/>
      <c r="B390" s="51"/>
      <c r="C390" s="6"/>
      <c r="D390" s="49"/>
      <c r="E390" s="51"/>
      <c r="F390" s="6"/>
      <c r="G390" s="6"/>
      <c r="H390" s="6"/>
      <c r="I390" s="6"/>
      <c r="J390" s="6"/>
      <c r="K390" s="51"/>
      <c r="L390" s="51"/>
      <c r="M390" s="51"/>
      <c r="N390" s="51"/>
      <c r="O390" s="51"/>
      <c r="P390" s="51"/>
      <c r="Q390" s="51"/>
      <c r="R390" s="51"/>
      <c r="S390" s="51"/>
      <c r="T390" s="51"/>
      <c r="U390" s="51"/>
      <c r="V390" s="51"/>
      <c r="W390" s="51"/>
      <c r="X390" s="51"/>
      <c r="Y390" s="51"/>
      <c r="Z390" s="51"/>
      <c r="AA390" s="51"/>
      <c r="AB390" s="51"/>
    </row>
    <row r="391" customFormat="false" ht="15.75" hidden="false" customHeight="false" outlineLevel="0" collapsed="false">
      <c r="A391" s="51"/>
      <c r="B391" s="51"/>
      <c r="C391" s="6"/>
      <c r="D391" s="49"/>
      <c r="E391" s="51"/>
      <c r="F391" s="6"/>
      <c r="G391" s="6"/>
      <c r="H391" s="6"/>
      <c r="I391" s="6"/>
      <c r="J391" s="6"/>
      <c r="K391" s="51"/>
      <c r="L391" s="51"/>
      <c r="M391" s="51"/>
      <c r="N391" s="51"/>
      <c r="O391" s="51"/>
      <c r="P391" s="51"/>
      <c r="Q391" s="51"/>
      <c r="R391" s="51"/>
      <c r="S391" s="51"/>
      <c r="T391" s="51"/>
      <c r="U391" s="51"/>
      <c r="V391" s="51"/>
      <c r="W391" s="51"/>
      <c r="X391" s="51"/>
      <c r="Y391" s="51"/>
      <c r="Z391" s="51"/>
      <c r="AA391" s="51"/>
      <c r="AB391" s="51"/>
    </row>
    <row r="392" customFormat="false" ht="15.75" hidden="false" customHeight="false" outlineLevel="0" collapsed="false">
      <c r="A392" s="51"/>
      <c r="B392" s="51"/>
      <c r="C392" s="6"/>
      <c r="D392" s="49"/>
      <c r="E392" s="51"/>
      <c r="F392" s="6"/>
      <c r="G392" s="6"/>
      <c r="H392" s="6"/>
      <c r="I392" s="6"/>
      <c r="J392" s="6"/>
      <c r="K392" s="51"/>
      <c r="L392" s="51"/>
      <c r="M392" s="51"/>
      <c r="N392" s="51"/>
      <c r="O392" s="51"/>
      <c r="P392" s="51"/>
      <c r="Q392" s="51"/>
      <c r="R392" s="51"/>
      <c r="S392" s="51"/>
      <c r="T392" s="51"/>
      <c r="U392" s="51"/>
      <c r="V392" s="51"/>
      <c r="W392" s="51"/>
      <c r="X392" s="51"/>
      <c r="Y392" s="51"/>
      <c r="Z392" s="51"/>
      <c r="AA392" s="51"/>
      <c r="AB392" s="51"/>
    </row>
    <row r="393" customFormat="false" ht="15.75" hidden="false" customHeight="false" outlineLevel="0" collapsed="false">
      <c r="A393" s="51"/>
      <c r="B393" s="51"/>
      <c r="C393" s="6"/>
      <c r="D393" s="49"/>
      <c r="E393" s="51"/>
      <c r="F393" s="6"/>
      <c r="G393" s="6"/>
      <c r="H393" s="6"/>
      <c r="I393" s="6"/>
      <c r="J393" s="6"/>
      <c r="K393" s="51"/>
      <c r="L393" s="51"/>
      <c r="M393" s="51"/>
      <c r="N393" s="51"/>
      <c r="O393" s="51"/>
      <c r="P393" s="51"/>
      <c r="Q393" s="51"/>
      <c r="R393" s="51"/>
      <c r="S393" s="51"/>
      <c r="T393" s="51"/>
      <c r="U393" s="51"/>
      <c r="V393" s="51"/>
      <c r="W393" s="51"/>
      <c r="X393" s="51"/>
      <c r="Y393" s="51"/>
      <c r="Z393" s="51"/>
      <c r="AA393" s="51"/>
      <c r="AB393" s="51"/>
    </row>
    <row r="394" customFormat="false" ht="15.75" hidden="false" customHeight="false" outlineLevel="0" collapsed="false">
      <c r="A394" s="51"/>
      <c r="B394" s="51"/>
      <c r="C394" s="6"/>
      <c r="D394" s="49"/>
      <c r="E394" s="51"/>
      <c r="F394" s="6"/>
      <c r="G394" s="6"/>
      <c r="H394" s="6"/>
      <c r="I394" s="6"/>
      <c r="J394" s="6"/>
      <c r="K394" s="51"/>
      <c r="L394" s="51"/>
      <c r="M394" s="51"/>
      <c r="N394" s="51"/>
      <c r="O394" s="51"/>
      <c r="P394" s="51"/>
      <c r="Q394" s="51"/>
      <c r="R394" s="51"/>
      <c r="S394" s="51"/>
      <c r="T394" s="51"/>
      <c r="U394" s="51"/>
      <c r="V394" s="51"/>
      <c r="W394" s="51"/>
      <c r="X394" s="51"/>
      <c r="Y394" s="51"/>
      <c r="Z394" s="51"/>
      <c r="AA394" s="51"/>
      <c r="AB394" s="51"/>
    </row>
    <row r="395" customFormat="false" ht="15.75" hidden="false" customHeight="false" outlineLevel="0" collapsed="false">
      <c r="A395" s="51"/>
      <c r="B395" s="51"/>
      <c r="C395" s="6"/>
      <c r="D395" s="49"/>
      <c r="E395" s="51"/>
      <c r="F395" s="6"/>
      <c r="G395" s="6"/>
      <c r="H395" s="6"/>
      <c r="I395" s="6"/>
      <c r="J395" s="6"/>
      <c r="K395" s="51"/>
      <c r="L395" s="51"/>
      <c r="M395" s="51"/>
      <c r="N395" s="51"/>
      <c r="O395" s="51"/>
      <c r="P395" s="51"/>
      <c r="Q395" s="51"/>
      <c r="R395" s="51"/>
      <c r="S395" s="51"/>
      <c r="T395" s="51"/>
      <c r="U395" s="51"/>
      <c r="V395" s="51"/>
      <c r="W395" s="51"/>
      <c r="X395" s="51"/>
      <c r="Y395" s="51"/>
      <c r="Z395" s="51"/>
      <c r="AA395" s="51"/>
      <c r="AB395" s="51"/>
    </row>
    <row r="396" customFormat="false" ht="15.75" hidden="false" customHeight="false" outlineLevel="0" collapsed="false">
      <c r="A396" s="51"/>
      <c r="B396" s="51"/>
      <c r="C396" s="6"/>
      <c r="D396" s="49"/>
      <c r="E396" s="51"/>
      <c r="F396" s="6"/>
      <c r="G396" s="6"/>
      <c r="H396" s="6"/>
      <c r="I396" s="6"/>
      <c r="J396" s="6"/>
      <c r="K396" s="51"/>
      <c r="L396" s="51"/>
      <c r="M396" s="51"/>
      <c r="N396" s="51"/>
      <c r="O396" s="51"/>
      <c r="P396" s="51"/>
      <c r="Q396" s="51"/>
      <c r="R396" s="51"/>
      <c r="S396" s="51"/>
      <c r="T396" s="51"/>
      <c r="U396" s="51"/>
      <c r="V396" s="51"/>
      <c r="W396" s="51"/>
      <c r="X396" s="51"/>
      <c r="Y396" s="51"/>
      <c r="Z396" s="51"/>
      <c r="AA396" s="51"/>
      <c r="AB396" s="51"/>
    </row>
    <row r="397" customFormat="false" ht="15.75" hidden="false" customHeight="false" outlineLevel="0" collapsed="false">
      <c r="A397" s="51"/>
      <c r="B397" s="51"/>
      <c r="C397" s="6"/>
      <c r="D397" s="49"/>
      <c r="E397" s="51"/>
      <c r="F397" s="6"/>
      <c r="G397" s="6"/>
      <c r="H397" s="6"/>
      <c r="I397" s="6"/>
      <c r="J397" s="6"/>
      <c r="K397" s="51"/>
      <c r="L397" s="51"/>
      <c r="M397" s="51"/>
      <c r="N397" s="51"/>
      <c r="O397" s="51"/>
      <c r="P397" s="51"/>
      <c r="Q397" s="51"/>
      <c r="R397" s="51"/>
      <c r="S397" s="51"/>
      <c r="T397" s="51"/>
      <c r="U397" s="51"/>
      <c r="V397" s="51"/>
      <c r="W397" s="51"/>
      <c r="X397" s="51"/>
      <c r="Y397" s="51"/>
      <c r="Z397" s="51"/>
      <c r="AA397" s="51"/>
      <c r="AB397" s="51"/>
    </row>
    <row r="398" customFormat="false" ht="15.75" hidden="false" customHeight="false" outlineLevel="0" collapsed="false">
      <c r="A398" s="51"/>
      <c r="B398" s="51"/>
      <c r="C398" s="6"/>
      <c r="D398" s="49"/>
      <c r="E398" s="51"/>
      <c r="F398" s="6"/>
      <c r="G398" s="6"/>
      <c r="H398" s="6"/>
      <c r="I398" s="6"/>
      <c r="J398" s="6"/>
      <c r="K398" s="51"/>
      <c r="L398" s="51"/>
      <c r="M398" s="51"/>
      <c r="N398" s="51"/>
      <c r="O398" s="51"/>
      <c r="P398" s="51"/>
      <c r="Q398" s="51"/>
      <c r="R398" s="51"/>
      <c r="S398" s="51"/>
      <c r="T398" s="51"/>
      <c r="U398" s="51"/>
      <c r="V398" s="51"/>
      <c r="W398" s="51"/>
      <c r="X398" s="51"/>
      <c r="Y398" s="51"/>
      <c r="Z398" s="51"/>
      <c r="AA398" s="51"/>
      <c r="AB398" s="51"/>
    </row>
    <row r="399" customFormat="false" ht="15.75" hidden="false" customHeight="false" outlineLevel="0" collapsed="false">
      <c r="A399" s="51"/>
      <c r="B399" s="51"/>
      <c r="C399" s="6"/>
      <c r="D399" s="49"/>
      <c r="E399" s="51"/>
      <c r="F399" s="6"/>
      <c r="G399" s="6"/>
      <c r="H399" s="6"/>
      <c r="I399" s="6"/>
      <c r="J399" s="6"/>
      <c r="K399" s="51"/>
      <c r="L399" s="51"/>
      <c r="M399" s="51"/>
      <c r="N399" s="51"/>
      <c r="O399" s="51"/>
      <c r="P399" s="51"/>
      <c r="Q399" s="51"/>
      <c r="R399" s="51"/>
      <c r="S399" s="51"/>
      <c r="T399" s="51"/>
      <c r="U399" s="51"/>
      <c r="V399" s="51"/>
      <c r="W399" s="51"/>
      <c r="X399" s="51"/>
      <c r="Y399" s="51"/>
      <c r="Z399" s="51"/>
      <c r="AA399" s="51"/>
      <c r="AB399" s="51"/>
    </row>
    <row r="400" customFormat="false" ht="15.75" hidden="false" customHeight="false" outlineLevel="0" collapsed="false">
      <c r="A400" s="51"/>
      <c r="B400" s="51"/>
      <c r="C400" s="6"/>
      <c r="D400" s="49"/>
      <c r="E400" s="51"/>
      <c r="F400" s="6"/>
      <c r="G400" s="6"/>
      <c r="H400" s="6"/>
      <c r="I400" s="6"/>
      <c r="J400" s="6"/>
      <c r="K400" s="51"/>
      <c r="L400" s="51"/>
      <c r="M400" s="51"/>
      <c r="N400" s="51"/>
      <c r="O400" s="51"/>
      <c r="P400" s="51"/>
      <c r="Q400" s="51"/>
      <c r="R400" s="51"/>
      <c r="S400" s="51"/>
      <c r="T400" s="51"/>
      <c r="U400" s="51"/>
      <c r="V400" s="51"/>
      <c r="W400" s="51"/>
      <c r="X400" s="51"/>
      <c r="Y400" s="51"/>
      <c r="Z400" s="51"/>
      <c r="AA400" s="51"/>
      <c r="AB400" s="51"/>
    </row>
    <row r="401" customFormat="false" ht="15.75" hidden="false" customHeight="false" outlineLevel="0" collapsed="false">
      <c r="A401" s="51"/>
      <c r="B401" s="51"/>
      <c r="C401" s="6"/>
      <c r="D401" s="49"/>
      <c r="E401" s="51"/>
      <c r="F401" s="6"/>
      <c r="G401" s="6"/>
      <c r="H401" s="6"/>
      <c r="I401" s="6"/>
      <c r="J401" s="6"/>
      <c r="K401" s="51"/>
      <c r="L401" s="51"/>
      <c r="M401" s="51"/>
      <c r="N401" s="51"/>
      <c r="O401" s="51"/>
      <c r="P401" s="51"/>
      <c r="Q401" s="51"/>
      <c r="R401" s="51"/>
      <c r="S401" s="51"/>
      <c r="T401" s="51"/>
      <c r="U401" s="51"/>
      <c r="V401" s="51"/>
      <c r="W401" s="51"/>
      <c r="X401" s="51"/>
      <c r="Y401" s="51"/>
      <c r="Z401" s="51"/>
      <c r="AA401" s="51"/>
      <c r="AB401" s="51"/>
    </row>
    <row r="402" customFormat="false" ht="15.75" hidden="false" customHeight="false" outlineLevel="0" collapsed="false">
      <c r="A402" s="51"/>
      <c r="B402" s="51"/>
      <c r="C402" s="6"/>
      <c r="D402" s="49"/>
      <c r="E402" s="51"/>
      <c r="F402" s="6"/>
      <c r="G402" s="6"/>
      <c r="H402" s="6"/>
      <c r="I402" s="6"/>
      <c r="J402" s="6"/>
      <c r="K402" s="51"/>
      <c r="L402" s="51"/>
      <c r="M402" s="51"/>
      <c r="N402" s="51"/>
      <c r="O402" s="51"/>
      <c r="P402" s="51"/>
      <c r="Q402" s="51"/>
      <c r="R402" s="51"/>
      <c r="S402" s="51"/>
      <c r="T402" s="51"/>
      <c r="U402" s="51"/>
      <c r="V402" s="51"/>
      <c r="W402" s="51"/>
      <c r="X402" s="51"/>
      <c r="Y402" s="51"/>
      <c r="Z402" s="51"/>
      <c r="AA402" s="51"/>
      <c r="AB402" s="51"/>
    </row>
    <row r="403" customFormat="false" ht="15.75" hidden="false" customHeight="false" outlineLevel="0" collapsed="false">
      <c r="A403" s="51"/>
      <c r="B403" s="51"/>
      <c r="C403" s="6"/>
      <c r="D403" s="49"/>
      <c r="E403" s="51"/>
      <c r="F403" s="6"/>
      <c r="G403" s="6"/>
      <c r="H403" s="6"/>
      <c r="I403" s="6"/>
      <c r="J403" s="6"/>
      <c r="K403" s="51"/>
      <c r="L403" s="51"/>
      <c r="M403" s="51"/>
      <c r="N403" s="51"/>
      <c r="O403" s="51"/>
      <c r="P403" s="51"/>
      <c r="Q403" s="51"/>
      <c r="R403" s="51"/>
      <c r="S403" s="51"/>
      <c r="T403" s="51"/>
      <c r="U403" s="51"/>
      <c r="V403" s="51"/>
      <c r="W403" s="51"/>
      <c r="X403" s="51"/>
      <c r="Y403" s="51"/>
      <c r="Z403" s="51"/>
      <c r="AA403" s="51"/>
      <c r="AB403" s="51"/>
    </row>
    <row r="404" customFormat="false" ht="15.75" hidden="false" customHeight="false" outlineLevel="0" collapsed="false">
      <c r="A404" s="51"/>
      <c r="B404" s="51"/>
      <c r="C404" s="6"/>
      <c r="D404" s="49"/>
      <c r="E404" s="51"/>
      <c r="F404" s="6"/>
      <c r="G404" s="6"/>
      <c r="H404" s="6"/>
      <c r="I404" s="6"/>
      <c r="J404" s="6"/>
      <c r="K404" s="51"/>
      <c r="L404" s="51"/>
      <c r="M404" s="51"/>
      <c r="N404" s="51"/>
      <c r="O404" s="51"/>
      <c r="P404" s="51"/>
      <c r="Q404" s="51"/>
      <c r="R404" s="51"/>
      <c r="S404" s="51"/>
      <c r="T404" s="51"/>
      <c r="U404" s="51"/>
      <c r="V404" s="51"/>
      <c r="W404" s="51"/>
      <c r="X404" s="51"/>
      <c r="Y404" s="51"/>
      <c r="Z404" s="51"/>
      <c r="AA404" s="51"/>
      <c r="AB404" s="51"/>
    </row>
    <row r="405" customFormat="false" ht="15.75" hidden="false" customHeight="false" outlineLevel="0" collapsed="false">
      <c r="A405" s="51"/>
      <c r="B405" s="51"/>
      <c r="C405" s="6"/>
      <c r="D405" s="49"/>
      <c r="E405" s="51"/>
      <c r="F405" s="6"/>
      <c r="G405" s="6"/>
      <c r="H405" s="6"/>
      <c r="I405" s="6"/>
      <c r="J405" s="6"/>
      <c r="K405" s="51"/>
      <c r="L405" s="51"/>
      <c r="M405" s="51"/>
      <c r="N405" s="51"/>
      <c r="O405" s="51"/>
      <c r="P405" s="51"/>
      <c r="Q405" s="51"/>
      <c r="R405" s="51"/>
      <c r="S405" s="51"/>
      <c r="T405" s="51"/>
      <c r="U405" s="51"/>
      <c r="V405" s="51"/>
      <c r="W405" s="51"/>
      <c r="X405" s="51"/>
      <c r="Y405" s="51"/>
      <c r="Z405" s="51"/>
      <c r="AA405" s="51"/>
      <c r="AB405" s="51"/>
    </row>
    <row r="406" customFormat="false" ht="15.75" hidden="false" customHeight="false" outlineLevel="0" collapsed="false">
      <c r="A406" s="51"/>
      <c r="B406" s="51"/>
      <c r="C406" s="6"/>
      <c r="D406" s="49"/>
      <c r="E406" s="51"/>
      <c r="F406" s="6"/>
      <c r="G406" s="6"/>
      <c r="H406" s="6"/>
      <c r="I406" s="6"/>
      <c r="J406" s="6"/>
      <c r="K406" s="51"/>
      <c r="L406" s="51"/>
      <c r="M406" s="51"/>
      <c r="N406" s="51"/>
      <c r="O406" s="51"/>
      <c r="P406" s="51"/>
      <c r="Q406" s="51"/>
      <c r="R406" s="51"/>
      <c r="S406" s="51"/>
      <c r="T406" s="51"/>
      <c r="U406" s="51"/>
      <c r="V406" s="51"/>
      <c r="W406" s="51"/>
      <c r="X406" s="51"/>
      <c r="Y406" s="51"/>
      <c r="Z406" s="51"/>
      <c r="AA406" s="51"/>
      <c r="AB406" s="51"/>
    </row>
    <row r="407" customFormat="false" ht="15.75" hidden="false" customHeight="false" outlineLevel="0" collapsed="false">
      <c r="A407" s="51"/>
      <c r="B407" s="51"/>
      <c r="C407" s="6"/>
      <c r="D407" s="49"/>
      <c r="E407" s="51"/>
      <c r="F407" s="6"/>
      <c r="G407" s="6"/>
      <c r="H407" s="6"/>
      <c r="I407" s="6"/>
      <c r="J407" s="6"/>
      <c r="K407" s="51"/>
      <c r="L407" s="51"/>
      <c r="M407" s="51"/>
      <c r="N407" s="51"/>
      <c r="O407" s="51"/>
      <c r="P407" s="51"/>
      <c r="Q407" s="51"/>
      <c r="R407" s="51"/>
      <c r="S407" s="51"/>
      <c r="T407" s="51"/>
      <c r="U407" s="51"/>
      <c r="V407" s="51"/>
      <c r="W407" s="51"/>
      <c r="X407" s="51"/>
      <c r="Y407" s="51"/>
      <c r="Z407" s="51"/>
      <c r="AA407" s="51"/>
      <c r="AB407" s="51"/>
    </row>
    <row r="408" customFormat="false" ht="15.75" hidden="false" customHeight="false" outlineLevel="0" collapsed="false">
      <c r="A408" s="51"/>
      <c r="B408" s="51"/>
      <c r="C408" s="6"/>
      <c r="D408" s="49"/>
      <c r="E408" s="51"/>
      <c r="F408" s="6"/>
      <c r="G408" s="6"/>
      <c r="H408" s="6"/>
      <c r="I408" s="6"/>
      <c r="J408" s="6"/>
      <c r="K408" s="51"/>
      <c r="L408" s="51"/>
      <c r="M408" s="51"/>
      <c r="N408" s="51"/>
      <c r="O408" s="51"/>
      <c r="P408" s="51"/>
      <c r="Q408" s="51"/>
      <c r="R408" s="51"/>
      <c r="S408" s="51"/>
      <c r="T408" s="51"/>
      <c r="U408" s="51"/>
      <c r="V408" s="51"/>
      <c r="W408" s="51"/>
      <c r="X408" s="51"/>
      <c r="Y408" s="51"/>
      <c r="Z408" s="51"/>
      <c r="AA408" s="51"/>
      <c r="AB408" s="51"/>
    </row>
    <row r="409" customFormat="false" ht="15.75" hidden="false" customHeight="false" outlineLevel="0" collapsed="false">
      <c r="A409" s="51"/>
      <c r="B409" s="51"/>
      <c r="C409" s="6"/>
      <c r="D409" s="49"/>
      <c r="E409" s="51"/>
      <c r="F409" s="6"/>
      <c r="G409" s="6"/>
      <c r="H409" s="6"/>
      <c r="I409" s="6"/>
      <c r="J409" s="6"/>
      <c r="K409" s="51"/>
      <c r="L409" s="51"/>
      <c r="M409" s="51"/>
      <c r="N409" s="51"/>
      <c r="O409" s="51"/>
      <c r="P409" s="51"/>
      <c r="Q409" s="51"/>
      <c r="R409" s="51"/>
      <c r="S409" s="51"/>
      <c r="T409" s="51"/>
      <c r="U409" s="51"/>
      <c r="V409" s="51"/>
      <c r="W409" s="51"/>
      <c r="X409" s="51"/>
      <c r="Y409" s="51"/>
      <c r="Z409" s="51"/>
      <c r="AA409" s="51"/>
      <c r="AB409" s="51"/>
    </row>
    <row r="410" customFormat="false" ht="15.75" hidden="false" customHeight="false" outlineLevel="0" collapsed="false">
      <c r="A410" s="51"/>
      <c r="B410" s="51"/>
      <c r="C410" s="6"/>
      <c r="D410" s="49"/>
      <c r="E410" s="51"/>
      <c r="F410" s="6"/>
      <c r="G410" s="6"/>
      <c r="H410" s="6"/>
      <c r="I410" s="6"/>
      <c r="J410" s="6"/>
      <c r="K410" s="51"/>
      <c r="L410" s="51"/>
      <c r="M410" s="51"/>
      <c r="N410" s="51"/>
      <c r="O410" s="51"/>
      <c r="P410" s="51"/>
      <c r="Q410" s="51"/>
      <c r="R410" s="51"/>
      <c r="S410" s="51"/>
      <c r="T410" s="51"/>
      <c r="U410" s="51"/>
      <c r="V410" s="51"/>
      <c r="W410" s="51"/>
      <c r="X410" s="51"/>
      <c r="Y410" s="51"/>
      <c r="Z410" s="51"/>
      <c r="AA410" s="51"/>
      <c r="AB410" s="51"/>
    </row>
    <row r="411" customFormat="false" ht="15.75" hidden="false" customHeight="false" outlineLevel="0" collapsed="false">
      <c r="A411" s="51"/>
      <c r="B411" s="51"/>
      <c r="C411" s="6"/>
      <c r="D411" s="49"/>
      <c r="E411" s="51"/>
      <c r="F411" s="6"/>
      <c r="G411" s="6"/>
      <c r="H411" s="6"/>
      <c r="I411" s="6"/>
      <c r="J411" s="6"/>
      <c r="K411" s="51"/>
      <c r="L411" s="51"/>
      <c r="M411" s="51"/>
      <c r="N411" s="51"/>
      <c r="O411" s="51"/>
      <c r="P411" s="51"/>
      <c r="Q411" s="51"/>
      <c r="R411" s="51"/>
      <c r="S411" s="51"/>
      <c r="T411" s="51"/>
      <c r="U411" s="51"/>
      <c r="V411" s="51"/>
      <c r="W411" s="51"/>
      <c r="X411" s="51"/>
      <c r="Y411" s="51"/>
      <c r="Z411" s="51"/>
      <c r="AA411" s="51"/>
      <c r="AB411" s="51"/>
    </row>
    <row r="412" customFormat="false" ht="15.75" hidden="false" customHeight="false" outlineLevel="0" collapsed="false">
      <c r="A412" s="51"/>
      <c r="B412" s="51"/>
      <c r="C412" s="6"/>
      <c r="D412" s="49"/>
      <c r="E412" s="51"/>
      <c r="F412" s="6"/>
      <c r="G412" s="6"/>
      <c r="H412" s="6"/>
      <c r="I412" s="6"/>
      <c r="J412" s="6"/>
      <c r="K412" s="51"/>
      <c r="L412" s="51"/>
      <c r="M412" s="51"/>
      <c r="N412" s="51"/>
      <c r="O412" s="51"/>
      <c r="P412" s="51"/>
      <c r="Q412" s="51"/>
      <c r="R412" s="51"/>
      <c r="S412" s="51"/>
      <c r="T412" s="51"/>
      <c r="U412" s="51"/>
      <c r="V412" s="51"/>
      <c r="W412" s="51"/>
      <c r="X412" s="51"/>
      <c r="Y412" s="51"/>
      <c r="Z412" s="51"/>
      <c r="AA412" s="51"/>
      <c r="AB412" s="51"/>
    </row>
    <row r="413" customFormat="false" ht="15.75" hidden="false" customHeight="false" outlineLevel="0" collapsed="false">
      <c r="A413" s="51"/>
      <c r="B413" s="51"/>
      <c r="C413" s="6"/>
      <c r="D413" s="49"/>
      <c r="E413" s="51"/>
      <c r="F413" s="6"/>
      <c r="G413" s="6"/>
      <c r="H413" s="6"/>
      <c r="I413" s="6"/>
      <c r="J413" s="6"/>
      <c r="K413" s="51"/>
      <c r="L413" s="51"/>
      <c r="M413" s="51"/>
      <c r="N413" s="51"/>
      <c r="O413" s="51"/>
      <c r="P413" s="51"/>
      <c r="Q413" s="51"/>
      <c r="R413" s="51"/>
      <c r="S413" s="51"/>
      <c r="T413" s="51"/>
      <c r="U413" s="51"/>
      <c r="V413" s="51"/>
      <c r="W413" s="51"/>
      <c r="X413" s="51"/>
      <c r="Y413" s="51"/>
      <c r="Z413" s="51"/>
      <c r="AA413" s="51"/>
      <c r="AB413" s="51"/>
    </row>
    <row r="414" customFormat="false" ht="15.75" hidden="false" customHeight="false" outlineLevel="0" collapsed="false">
      <c r="A414" s="51"/>
      <c r="B414" s="51"/>
      <c r="C414" s="6"/>
      <c r="D414" s="49"/>
      <c r="E414" s="51"/>
      <c r="F414" s="6"/>
      <c r="G414" s="6"/>
      <c r="H414" s="6"/>
      <c r="I414" s="6"/>
      <c r="J414" s="6"/>
      <c r="K414" s="51"/>
      <c r="L414" s="51"/>
      <c r="M414" s="51"/>
      <c r="N414" s="51"/>
      <c r="O414" s="51"/>
      <c r="P414" s="51"/>
      <c r="Q414" s="51"/>
      <c r="R414" s="51"/>
      <c r="S414" s="51"/>
      <c r="T414" s="51"/>
      <c r="U414" s="51"/>
      <c r="V414" s="51"/>
      <c r="W414" s="51"/>
      <c r="X414" s="51"/>
      <c r="Y414" s="51"/>
      <c r="Z414" s="51"/>
      <c r="AA414" s="51"/>
      <c r="AB414" s="51"/>
    </row>
    <row r="415" customFormat="false" ht="15.75" hidden="false" customHeight="false" outlineLevel="0" collapsed="false">
      <c r="A415" s="51"/>
      <c r="B415" s="51"/>
      <c r="C415" s="6"/>
      <c r="D415" s="49"/>
      <c r="E415" s="51"/>
      <c r="F415" s="6"/>
      <c r="G415" s="6"/>
      <c r="H415" s="6"/>
      <c r="I415" s="6"/>
      <c r="J415" s="6"/>
      <c r="K415" s="51"/>
      <c r="L415" s="51"/>
      <c r="M415" s="51"/>
      <c r="N415" s="51"/>
      <c r="O415" s="51"/>
      <c r="P415" s="51"/>
      <c r="Q415" s="51"/>
      <c r="R415" s="51"/>
      <c r="S415" s="51"/>
      <c r="T415" s="51"/>
      <c r="U415" s="51"/>
      <c r="V415" s="51"/>
      <c r="W415" s="51"/>
      <c r="X415" s="51"/>
      <c r="Y415" s="51"/>
      <c r="Z415" s="51"/>
      <c r="AA415" s="51"/>
      <c r="AB415" s="51"/>
    </row>
    <row r="416" customFormat="false" ht="15.75" hidden="false" customHeight="false" outlineLevel="0" collapsed="false">
      <c r="A416" s="51"/>
      <c r="B416" s="51"/>
      <c r="C416" s="6"/>
      <c r="D416" s="49"/>
      <c r="E416" s="51"/>
      <c r="F416" s="6"/>
      <c r="G416" s="6"/>
      <c r="H416" s="6"/>
      <c r="I416" s="6"/>
      <c r="J416" s="6"/>
      <c r="K416" s="51"/>
      <c r="L416" s="51"/>
      <c r="M416" s="51"/>
      <c r="N416" s="51"/>
      <c r="O416" s="51"/>
      <c r="P416" s="51"/>
      <c r="Q416" s="51"/>
      <c r="R416" s="51"/>
      <c r="S416" s="51"/>
      <c r="T416" s="51"/>
      <c r="U416" s="51"/>
      <c r="V416" s="51"/>
      <c r="W416" s="51"/>
      <c r="X416" s="51"/>
      <c r="Y416" s="51"/>
      <c r="Z416" s="51"/>
      <c r="AA416" s="51"/>
      <c r="AB416" s="51"/>
    </row>
    <row r="417" customFormat="false" ht="15.75" hidden="false" customHeight="false" outlineLevel="0" collapsed="false">
      <c r="A417" s="51"/>
      <c r="B417" s="51"/>
      <c r="C417" s="6"/>
      <c r="D417" s="49"/>
      <c r="E417" s="51"/>
      <c r="F417" s="6"/>
      <c r="G417" s="6"/>
      <c r="H417" s="6"/>
      <c r="I417" s="6"/>
      <c r="J417" s="6"/>
      <c r="K417" s="51"/>
      <c r="L417" s="51"/>
      <c r="M417" s="51"/>
      <c r="N417" s="51"/>
      <c r="O417" s="51"/>
      <c r="P417" s="51"/>
      <c r="Q417" s="51"/>
      <c r="R417" s="51"/>
      <c r="S417" s="51"/>
      <c r="T417" s="51"/>
      <c r="U417" s="51"/>
      <c r="V417" s="51"/>
      <c r="W417" s="51"/>
      <c r="X417" s="51"/>
      <c r="Y417" s="51"/>
      <c r="Z417" s="51"/>
      <c r="AA417" s="51"/>
      <c r="AB417" s="51"/>
    </row>
    <row r="418" customFormat="false" ht="15.75" hidden="false" customHeight="false" outlineLevel="0" collapsed="false">
      <c r="A418" s="51"/>
      <c r="B418" s="51"/>
      <c r="C418" s="6"/>
      <c r="D418" s="49"/>
      <c r="E418" s="51"/>
      <c r="F418" s="6"/>
      <c r="G418" s="6"/>
      <c r="H418" s="6"/>
      <c r="I418" s="6"/>
      <c r="J418" s="6"/>
      <c r="K418" s="51"/>
      <c r="L418" s="51"/>
      <c r="M418" s="51"/>
      <c r="N418" s="51"/>
      <c r="O418" s="51"/>
      <c r="P418" s="51"/>
      <c r="Q418" s="51"/>
      <c r="R418" s="51"/>
      <c r="S418" s="51"/>
      <c r="T418" s="51"/>
      <c r="U418" s="51"/>
      <c r="V418" s="51"/>
      <c r="W418" s="51"/>
      <c r="X418" s="51"/>
      <c r="Y418" s="51"/>
      <c r="Z418" s="51"/>
      <c r="AA418" s="51"/>
      <c r="AB418" s="51"/>
    </row>
    <row r="419" customFormat="false" ht="15.75" hidden="false" customHeight="false" outlineLevel="0" collapsed="false">
      <c r="A419" s="51"/>
      <c r="B419" s="51"/>
      <c r="C419" s="6"/>
      <c r="D419" s="49"/>
      <c r="E419" s="51"/>
      <c r="F419" s="6"/>
      <c r="G419" s="6"/>
      <c r="H419" s="6"/>
      <c r="I419" s="6"/>
      <c r="J419" s="6"/>
      <c r="K419" s="51"/>
      <c r="L419" s="51"/>
      <c r="M419" s="51"/>
      <c r="N419" s="51"/>
      <c r="O419" s="51"/>
      <c r="P419" s="51"/>
      <c r="Q419" s="51"/>
      <c r="R419" s="51"/>
      <c r="S419" s="51"/>
      <c r="T419" s="51"/>
      <c r="U419" s="51"/>
      <c r="V419" s="51"/>
      <c r="W419" s="51"/>
      <c r="X419" s="51"/>
      <c r="Y419" s="51"/>
      <c r="Z419" s="51"/>
      <c r="AA419" s="51"/>
      <c r="AB419" s="51"/>
    </row>
    <row r="420" customFormat="false" ht="15.75" hidden="false" customHeight="false" outlineLevel="0" collapsed="false">
      <c r="A420" s="51"/>
      <c r="B420" s="51"/>
      <c r="C420" s="6"/>
      <c r="D420" s="49"/>
      <c r="E420" s="51"/>
      <c r="F420" s="6"/>
      <c r="G420" s="6"/>
      <c r="H420" s="6"/>
      <c r="I420" s="6"/>
      <c r="J420" s="6"/>
      <c r="K420" s="51"/>
      <c r="L420" s="51"/>
      <c r="M420" s="51"/>
      <c r="N420" s="51"/>
      <c r="O420" s="51"/>
      <c r="P420" s="51"/>
      <c r="Q420" s="51"/>
      <c r="R420" s="51"/>
      <c r="S420" s="51"/>
      <c r="T420" s="51"/>
      <c r="U420" s="51"/>
      <c r="V420" s="51"/>
      <c r="W420" s="51"/>
      <c r="X420" s="51"/>
      <c r="Y420" s="51"/>
      <c r="Z420" s="51"/>
      <c r="AA420" s="51"/>
      <c r="AB420" s="51"/>
    </row>
    <row r="421" customFormat="false" ht="15.75" hidden="false" customHeight="false" outlineLevel="0" collapsed="false">
      <c r="A421" s="51"/>
      <c r="B421" s="51"/>
      <c r="C421" s="6"/>
      <c r="D421" s="49"/>
      <c r="E421" s="51"/>
      <c r="F421" s="6"/>
      <c r="G421" s="6"/>
      <c r="H421" s="6"/>
      <c r="I421" s="6"/>
      <c r="J421" s="6"/>
      <c r="K421" s="51"/>
      <c r="L421" s="51"/>
      <c r="M421" s="51"/>
      <c r="N421" s="51"/>
      <c r="O421" s="51"/>
      <c r="P421" s="51"/>
      <c r="Q421" s="51"/>
      <c r="R421" s="51"/>
      <c r="S421" s="51"/>
      <c r="T421" s="51"/>
      <c r="U421" s="51"/>
      <c r="V421" s="51"/>
      <c r="W421" s="51"/>
      <c r="X421" s="51"/>
      <c r="Y421" s="51"/>
      <c r="Z421" s="51"/>
      <c r="AA421" s="51"/>
      <c r="AB421" s="51"/>
    </row>
    <row r="422" customFormat="false" ht="15.75" hidden="false" customHeight="false" outlineLevel="0" collapsed="false">
      <c r="A422" s="51"/>
      <c r="B422" s="51"/>
      <c r="C422" s="6"/>
      <c r="D422" s="49"/>
      <c r="E422" s="51"/>
      <c r="F422" s="6"/>
      <c r="G422" s="6"/>
      <c r="H422" s="6"/>
      <c r="I422" s="6"/>
      <c r="J422" s="6"/>
      <c r="K422" s="51"/>
      <c r="L422" s="51"/>
      <c r="M422" s="51"/>
      <c r="N422" s="51"/>
      <c r="O422" s="51"/>
      <c r="P422" s="51"/>
      <c r="Q422" s="51"/>
      <c r="R422" s="51"/>
      <c r="S422" s="51"/>
      <c r="T422" s="51"/>
      <c r="U422" s="51"/>
      <c r="V422" s="51"/>
      <c r="W422" s="51"/>
      <c r="X422" s="51"/>
      <c r="Y422" s="51"/>
      <c r="Z422" s="51"/>
      <c r="AA422" s="51"/>
      <c r="AB422" s="51"/>
    </row>
    <row r="423" customFormat="false" ht="15.75" hidden="false" customHeight="false" outlineLevel="0" collapsed="false">
      <c r="A423" s="51"/>
      <c r="B423" s="51"/>
      <c r="C423" s="6"/>
      <c r="D423" s="49"/>
      <c r="E423" s="51"/>
      <c r="F423" s="6"/>
      <c r="G423" s="6"/>
      <c r="H423" s="6"/>
      <c r="I423" s="6"/>
      <c r="J423" s="6"/>
      <c r="K423" s="51"/>
      <c r="L423" s="51"/>
      <c r="M423" s="51"/>
      <c r="N423" s="51"/>
      <c r="O423" s="51"/>
      <c r="P423" s="51"/>
      <c r="Q423" s="51"/>
      <c r="R423" s="51"/>
      <c r="S423" s="51"/>
      <c r="T423" s="51"/>
      <c r="U423" s="51"/>
      <c r="V423" s="51"/>
      <c r="W423" s="51"/>
      <c r="X423" s="51"/>
      <c r="Y423" s="51"/>
      <c r="Z423" s="51"/>
      <c r="AA423" s="51"/>
      <c r="AB423" s="51"/>
    </row>
    <row r="424" customFormat="false" ht="15.75" hidden="false" customHeight="false" outlineLevel="0" collapsed="false">
      <c r="A424" s="51"/>
      <c r="B424" s="51"/>
      <c r="C424" s="6"/>
      <c r="D424" s="49"/>
      <c r="E424" s="51"/>
      <c r="F424" s="6"/>
      <c r="G424" s="6"/>
      <c r="H424" s="6"/>
      <c r="I424" s="6"/>
      <c r="J424" s="6"/>
      <c r="K424" s="51"/>
      <c r="L424" s="51"/>
      <c r="M424" s="51"/>
      <c r="N424" s="51"/>
      <c r="O424" s="51"/>
      <c r="P424" s="51"/>
      <c r="Q424" s="51"/>
      <c r="R424" s="51"/>
      <c r="S424" s="51"/>
      <c r="T424" s="51"/>
      <c r="U424" s="51"/>
      <c r="V424" s="51"/>
      <c r="W424" s="51"/>
      <c r="X424" s="51"/>
      <c r="Y424" s="51"/>
      <c r="Z424" s="51"/>
      <c r="AA424" s="51"/>
      <c r="AB424" s="51"/>
    </row>
    <row r="425" customFormat="false" ht="15.75" hidden="false" customHeight="false" outlineLevel="0" collapsed="false">
      <c r="A425" s="51"/>
      <c r="B425" s="51"/>
      <c r="C425" s="6"/>
      <c r="D425" s="49"/>
      <c r="E425" s="51"/>
      <c r="F425" s="6"/>
      <c r="G425" s="6"/>
      <c r="H425" s="6"/>
      <c r="I425" s="6"/>
      <c r="J425" s="6"/>
      <c r="K425" s="51"/>
      <c r="L425" s="51"/>
      <c r="M425" s="51"/>
      <c r="N425" s="51"/>
      <c r="O425" s="51"/>
      <c r="P425" s="51"/>
      <c r="Q425" s="51"/>
      <c r="R425" s="51"/>
      <c r="S425" s="51"/>
      <c r="T425" s="51"/>
      <c r="U425" s="51"/>
      <c r="V425" s="51"/>
      <c r="W425" s="51"/>
      <c r="X425" s="51"/>
      <c r="Y425" s="51"/>
      <c r="Z425" s="51"/>
      <c r="AA425" s="51"/>
      <c r="AB425" s="51"/>
    </row>
    <row r="426" customFormat="false" ht="15.75" hidden="false" customHeight="false" outlineLevel="0" collapsed="false">
      <c r="A426" s="51"/>
      <c r="B426" s="51"/>
      <c r="C426" s="6"/>
      <c r="D426" s="49"/>
      <c r="E426" s="51"/>
      <c r="F426" s="6"/>
      <c r="G426" s="6"/>
      <c r="H426" s="6"/>
      <c r="I426" s="6"/>
      <c r="J426" s="6"/>
      <c r="K426" s="51"/>
      <c r="L426" s="51"/>
      <c r="M426" s="51"/>
      <c r="N426" s="51"/>
      <c r="O426" s="51"/>
      <c r="P426" s="51"/>
      <c r="Q426" s="51"/>
      <c r="R426" s="51"/>
      <c r="S426" s="51"/>
      <c r="T426" s="51"/>
      <c r="U426" s="51"/>
      <c r="V426" s="51"/>
      <c r="W426" s="51"/>
      <c r="X426" s="51"/>
      <c r="Y426" s="51"/>
      <c r="Z426" s="51"/>
      <c r="AA426" s="51"/>
      <c r="AB426" s="51"/>
    </row>
    <row r="427" customFormat="false" ht="15.75" hidden="false" customHeight="false" outlineLevel="0" collapsed="false">
      <c r="A427" s="51"/>
      <c r="B427" s="51"/>
      <c r="C427" s="6"/>
      <c r="D427" s="49"/>
      <c r="E427" s="51"/>
      <c r="F427" s="6"/>
      <c r="G427" s="6"/>
      <c r="H427" s="6"/>
      <c r="I427" s="6"/>
      <c r="J427" s="6"/>
      <c r="K427" s="51"/>
      <c r="L427" s="51"/>
      <c r="M427" s="51"/>
      <c r="N427" s="51"/>
      <c r="O427" s="51"/>
      <c r="P427" s="51"/>
      <c r="Q427" s="51"/>
      <c r="R427" s="51"/>
      <c r="S427" s="51"/>
      <c r="T427" s="51"/>
      <c r="U427" s="51"/>
      <c r="V427" s="51"/>
      <c r="W427" s="51"/>
      <c r="X427" s="51"/>
      <c r="Y427" s="51"/>
      <c r="Z427" s="51"/>
      <c r="AA427" s="51"/>
      <c r="AB427" s="51"/>
    </row>
    <row r="428" customFormat="false" ht="15.75" hidden="false" customHeight="false" outlineLevel="0" collapsed="false">
      <c r="A428" s="51"/>
      <c r="B428" s="51"/>
      <c r="C428" s="6"/>
      <c r="D428" s="49"/>
      <c r="E428" s="51"/>
      <c r="F428" s="6"/>
      <c r="G428" s="6"/>
      <c r="H428" s="6"/>
      <c r="I428" s="6"/>
      <c r="J428" s="6"/>
      <c r="K428" s="51"/>
      <c r="L428" s="51"/>
      <c r="M428" s="51"/>
      <c r="N428" s="51"/>
      <c r="O428" s="51"/>
      <c r="P428" s="51"/>
      <c r="Q428" s="51"/>
      <c r="R428" s="51"/>
      <c r="S428" s="51"/>
      <c r="T428" s="51"/>
      <c r="U428" s="51"/>
      <c r="V428" s="51"/>
      <c r="W428" s="51"/>
      <c r="X428" s="51"/>
      <c r="Y428" s="51"/>
      <c r="Z428" s="51"/>
      <c r="AA428" s="51"/>
      <c r="AB428" s="51"/>
    </row>
    <row r="429" customFormat="false" ht="15.75" hidden="false" customHeight="false" outlineLevel="0" collapsed="false">
      <c r="A429" s="51"/>
      <c r="B429" s="51"/>
      <c r="C429" s="6"/>
      <c r="D429" s="49"/>
      <c r="E429" s="51"/>
      <c r="F429" s="6"/>
      <c r="G429" s="6"/>
      <c r="H429" s="6"/>
      <c r="I429" s="6"/>
      <c r="J429" s="6"/>
      <c r="K429" s="51"/>
      <c r="L429" s="51"/>
      <c r="M429" s="51"/>
      <c r="N429" s="51"/>
      <c r="O429" s="51"/>
      <c r="P429" s="51"/>
      <c r="Q429" s="51"/>
      <c r="R429" s="51"/>
      <c r="S429" s="51"/>
      <c r="T429" s="51"/>
      <c r="U429" s="51"/>
      <c r="V429" s="51"/>
      <c r="W429" s="51"/>
      <c r="X429" s="51"/>
      <c r="Y429" s="51"/>
      <c r="Z429" s="51"/>
      <c r="AA429" s="51"/>
      <c r="AB429" s="51"/>
    </row>
    <row r="430" customFormat="false" ht="15.75" hidden="false" customHeight="false" outlineLevel="0" collapsed="false">
      <c r="A430" s="51"/>
      <c r="B430" s="51"/>
      <c r="C430" s="6"/>
      <c r="D430" s="49"/>
      <c r="E430" s="51"/>
      <c r="F430" s="6"/>
      <c r="G430" s="6"/>
      <c r="H430" s="6"/>
      <c r="I430" s="6"/>
      <c r="J430" s="6"/>
      <c r="K430" s="51"/>
      <c r="L430" s="51"/>
      <c r="M430" s="51"/>
      <c r="N430" s="51"/>
      <c r="O430" s="51"/>
      <c r="P430" s="51"/>
      <c r="Q430" s="51"/>
      <c r="R430" s="51"/>
      <c r="S430" s="51"/>
      <c r="T430" s="51"/>
      <c r="U430" s="51"/>
      <c r="V430" s="51"/>
      <c r="W430" s="51"/>
      <c r="X430" s="51"/>
      <c r="Y430" s="51"/>
      <c r="Z430" s="51"/>
      <c r="AA430" s="51"/>
      <c r="AB430" s="51"/>
    </row>
    <row r="431" customFormat="false" ht="15.75" hidden="false" customHeight="false" outlineLevel="0" collapsed="false">
      <c r="A431" s="51"/>
      <c r="B431" s="51"/>
      <c r="C431" s="6"/>
      <c r="D431" s="49"/>
      <c r="E431" s="51"/>
      <c r="F431" s="6"/>
      <c r="G431" s="6"/>
      <c r="H431" s="6"/>
      <c r="I431" s="6"/>
      <c r="J431" s="6"/>
      <c r="K431" s="51"/>
      <c r="L431" s="51"/>
      <c r="M431" s="51"/>
      <c r="N431" s="51"/>
      <c r="O431" s="51"/>
      <c r="P431" s="51"/>
      <c r="Q431" s="51"/>
      <c r="R431" s="51"/>
      <c r="S431" s="51"/>
      <c r="T431" s="51"/>
      <c r="U431" s="51"/>
      <c r="V431" s="51"/>
      <c r="W431" s="51"/>
      <c r="X431" s="51"/>
      <c r="Y431" s="51"/>
      <c r="Z431" s="51"/>
      <c r="AA431" s="51"/>
      <c r="AB431" s="51"/>
    </row>
    <row r="432" customFormat="false" ht="15.75" hidden="false" customHeight="false" outlineLevel="0" collapsed="false">
      <c r="A432" s="51"/>
      <c r="B432" s="51"/>
      <c r="C432" s="6"/>
      <c r="D432" s="49"/>
      <c r="E432" s="51"/>
      <c r="F432" s="6"/>
      <c r="G432" s="6"/>
      <c r="H432" s="6"/>
      <c r="I432" s="6"/>
      <c r="J432" s="6"/>
      <c r="K432" s="51"/>
      <c r="L432" s="51"/>
      <c r="M432" s="51"/>
      <c r="N432" s="51"/>
      <c r="O432" s="51"/>
      <c r="P432" s="51"/>
      <c r="Q432" s="51"/>
      <c r="R432" s="51"/>
      <c r="S432" s="51"/>
      <c r="T432" s="51"/>
      <c r="U432" s="51"/>
      <c r="V432" s="51"/>
      <c r="W432" s="51"/>
      <c r="X432" s="51"/>
      <c r="Y432" s="51"/>
      <c r="Z432" s="51"/>
      <c r="AA432" s="51"/>
      <c r="AB432" s="51"/>
    </row>
    <row r="433" customFormat="false" ht="15.75" hidden="false" customHeight="false" outlineLevel="0" collapsed="false">
      <c r="A433" s="51"/>
      <c r="B433" s="51"/>
      <c r="C433" s="6"/>
      <c r="D433" s="49"/>
      <c r="E433" s="51"/>
      <c r="F433" s="6"/>
      <c r="G433" s="6"/>
      <c r="H433" s="6"/>
      <c r="I433" s="6"/>
      <c r="J433" s="6"/>
      <c r="K433" s="51"/>
      <c r="L433" s="51"/>
      <c r="M433" s="51"/>
      <c r="N433" s="51"/>
      <c r="O433" s="51"/>
      <c r="P433" s="51"/>
      <c r="Q433" s="51"/>
      <c r="R433" s="51"/>
      <c r="S433" s="51"/>
      <c r="T433" s="51"/>
      <c r="U433" s="51"/>
      <c r="V433" s="51"/>
      <c r="W433" s="51"/>
      <c r="X433" s="51"/>
      <c r="Y433" s="51"/>
      <c r="Z433" s="51"/>
      <c r="AA433" s="51"/>
      <c r="AB433" s="51"/>
    </row>
    <row r="434" customFormat="false" ht="15.75" hidden="false" customHeight="false" outlineLevel="0" collapsed="false">
      <c r="A434" s="51"/>
      <c r="B434" s="51"/>
      <c r="C434" s="6"/>
      <c r="D434" s="49"/>
      <c r="E434" s="51"/>
      <c r="F434" s="6"/>
      <c r="G434" s="6"/>
      <c r="H434" s="6"/>
      <c r="I434" s="6"/>
      <c r="J434" s="6"/>
      <c r="K434" s="51"/>
      <c r="L434" s="51"/>
      <c r="M434" s="51"/>
      <c r="N434" s="51"/>
      <c r="O434" s="51"/>
      <c r="P434" s="51"/>
      <c r="Q434" s="51"/>
      <c r="R434" s="51"/>
      <c r="S434" s="51"/>
      <c r="T434" s="51"/>
      <c r="U434" s="51"/>
      <c r="V434" s="51"/>
      <c r="W434" s="51"/>
      <c r="X434" s="51"/>
      <c r="Y434" s="51"/>
      <c r="Z434" s="51"/>
      <c r="AA434" s="51"/>
      <c r="AB434" s="51"/>
    </row>
    <row r="435" customFormat="false" ht="15.75" hidden="false" customHeight="false" outlineLevel="0" collapsed="false">
      <c r="A435" s="51"/>
      <c r="B435" s="51"/>
      <c r="C435" s="6"/>
      <c r="D435" s="49"/>
      <c r="E435" s="51"/>
      <c r="F435" s="6"/>
      <c r="G435" s="6"/>
      <c r="H435" s="6"/>
      <c r="I435" s="6"/>
      <c r="J435" s="6"/>
      <c r="K435" s="51"/>
      <c r="L435" s="51"/>
      <c r="M435" s="51"/>
      <c r="N435" s="51"/>
      <c r="O435" s="51"/>
      <c r="P435" s="51"/>
      <c r="Q435" s="51"/>
      <c r="R435" s="51"/>
      <c r="S435" s="51"/>
      <c r="T435" s="51"/>
      <c r="U435" s="51"/>
      <c r="V435" s="51"/>
      <c r="W435" s="51"/>
      <c r="X435" s="51"/>
      <c r="Y435" s="51"/>
      <c r="Z435" s="51"/>
      <c r="AA435" s="51"/>
      <c r="AB435" s="51"/>
    </row>
    <row r="436" customFormat="false" ht="15.75" hidden="false" customHeight="false" outlineLevel="0" collapsed="false">
      <c r="A436" s="51"/>
      <c r="B436" s="51"/>
      <c r="C436" s="6"/>
      <c r="D436" s="49"/>
      <c r="E436" s="51"/>
      <c r="F436" s="6"/>
      <c r="G436" s="6"/>
      <c r="H436" s="6"/>
      <c r="I436" s="6"/>
      <c r="J436" s="6"/>
      <c r="K436" s="51"/>
      <c r="L436" s="51"/>
      <c r="M436" s="51"/>
      <c r="N436" s="51"/>
      <c r="O436" s="51"/>
      <c r="P436" s="51"/>
      <c r="Q436" s="51"/>
      <c r="R436" s="51"/>
      <c r="S436" s="51"/>
      <c r="T436" s="51"/>
      <c r="U436" s="51"/>
      <c r="V436" s="51"/>
      <c r="W436" s="51"/>
      <c r="X436" s="51"/>
      <c r="Y436" s="51"/>
      <c r="Z436" s="51"/>
      <c r="AA436" s="51"/>
      <c r="AB436" s="51"/>
    </row>
    <row r="437" customFormat="false" ht="15.75" hidden="false" customHeight="false" outlineLevel="0" collapsed="false">
      <c r="A437" s="51"/>
      <c r="B437" s="51"/>
      <c r="C437" s="6"/>
      <c r="D437" s="49"/>
      <c r="E437" s="51"/>
      <c r="F437" s="6"/>
      <c r="G437" s="6"/>
      <c r="H437" s="6"/>
      <c r="I437" s="6"/>
      <c r="J437" s="6"/>
      <c r="K437" s="51"/>
      <c r="L437" s="51"/>
      <c r="M437" s="51"/>
      <c r="N437" s="51"/>
      <c r="O437" s="51"/>
      <c r="P437" s="51"/>
      <c r="Q437" s="51"/>
      <c r="R437" s="51"/>
      <c r="S437" s="51"/>
      <c r="T437" s="51"/>
      <c r="U437" s="51"/>
      <c r="V437" s="51"/>
      <c r="W437" s="51"/>
      <c r="X437" s="51"/>
      <c r="Y437" s="51"/>
      <c r="Z437" s="51"/>
      <c r="AA437" s="51"/>
      <c r="AB437" s="51"/>
    </row>
    <row r="438" customFormat="false" ht="15.75" hidden="false" customHeight="false" outlineLevel="0" collapsed="false">
      <c r="A438" s="51"/>
      <c r="B438" s="51"/>
      <c r="C438" s="6"/>
      <c r="D438" s="49"/>
      <c r="E438" s="51"/>
      <c r="F438" s="6"/>
      <c r="G438" s="6"/>
      <c r="H438" s="6"/>
      <c r="I438" s="6"/>
      <c r="J438" s="6"/>
      <c r="K438" s="51"/>
      <c r="L438" s="51"/>
      <c r="M438" s="51"/>
      <c r="N438" s="51"/>
      <c r="O438" s="51"/>
      <c r="P438" s="51"/>
      <c r="Q438" s="51"/>
      <c r="R438" s="51"/>
      <c r="S438" s="51"/>
      <c r="T438" s="51"/>
      <c r="U438" s="51"/>
      <c r="V438" s="51"/>
      <c r="W438" s="51"/>
      <c r="X438" s="51"/>
      <c r="Y438" s="51"/>
      <c r="Z438" s="51"/>
      <c r="AA438" s="51"/>
      <c r="AB438" s="51"/>
    </row>
    <row r="439" customFormat="false" ht="15.75" hidden="false" customHeight="false" outlineLevel="0" collapsed="false">
      <c r="A439" s="51"/>
      <c r="B439" s="51"/>
      <c r="C439" s="6"/>
      <c r="D439" s="49"/>
      <c r="E439" s="51"/>
      <c r="F439" s="6"/>
      <c r="G439" s="6"/>
      <c r="H439" s="6"/>
      <c r="I439" s="6"/>
      <c r="J439" s="6"/>
      <c r="K439" s="51"/>
      <c r="L439" s="51"/>
      <c r="M439" s="51"/>
      <c r="N439" s="51"/>
      <c r="O439" s="51"/>
      <c r="P439" s="51"/>
      <c r="Q439" s="51"/>
      <c r="R439" s="51"/>
      <c r="S439" s="51"/>
      <c r="T439" s="51"/>
      <c r="U439" s="51"/>
      <c r="V439" s="51"/>
      <c r="W439" s="51"/>
      <c r="X439" s="51"/>
      <c r="Y439" s="51"/>
      <c r="Z439" s="51"/>
      <c r="AA439" s="51"/>
      <c r="AB439" s="51"/>
    </row>
    <row r="440" customFormat="false" ht="15.75" hidden="false" customHeight="false" outlineLevel="0" collapsed="false">
      <c r="A440" s="51"/>
      <c r="B440" s="51"/>
      <c r="C440" s="6"/>
      <c r="D440" s="49"/>
      <c r="E440" s="51"/>
      <c r="F440" s="6"/>
      <c r="G440" s="6"/>
      <c r="H440" s="6"/>
      <c r="I440" s="6"/>
      <c r="J440" s="6"/>
      <c r="K440" s="51"/>
      <c r="L440" s="51"/>
      <c r="M440" s="51"/>
      <c r="N440" s="51"/>
      <c r="O440" s="51"/>
      <c r="P440" s="51"/>
      <c r="Q440" s="51"/>
      <c r="R440" s="51"/>
      <c r="S440" s="51"/>
      <c r="T440" s="51"/>
      <c r="U440" s="51"/>
      <c r="V440" s="51"/>
      <c r="W440" s="51"/>
      <c r="X440" s="51"/>
      <c r="Y440" s="51"/>
      <c r="Z440" s="51"/>
      <c r="AA440" s="51"/>
      <c r="AB440" s="51"/>
    </row>
    <row r="441" customFormat="false" ht="15.75" hidden="false" customHeight="false" outlineLevel="0" collapsed="false">
      <c r="A441" s="51"/>
      <c r="B441" s="51"/>
      <c r="C441" s="6"/>
      <c r="D441" s="49"/>
      <c r="E441" s="51"/>
      <c r="F441" s="6"/>
      <c r="G441" s="6"/>
      <c r="H441" s="6"/>
      <c r="I441" s="6"/>
      <c r="J441" s="6"/>
      <c r="K441" s="51"/>
      <c r="L441" s="51"/>
      <c r="M441" s="51"/>
      <c r="N441" s="51"/>
      <c r="O441" s="51"/>
      <c r="P441" s="51"/>
      <c r="Q441" s="51"/>
      <c r="R441" s="51"/>
      <c r="S441" s="51"/>
      <c r="T441" s="51"/>
      <c r="U441" s="51"/>
      <c r="V441" s="51"/>
      <c r="W441" s="51"/>
      <c r="X441" s="51"/>
      <c r="Y441" s="51"/>
      <c r="Z441" s="51"/>
      <c r="AA441" s="51"/>
      <c r="AB441" s="51"/>
    </row>
    <row r="442" customFormat="false" ht="15.75" hidden="false" customHeight="false" outlineLevel="0" collapsed="false">
      <c r="A442" s="51"/>
      <c r="B442" s="51"/>
      <c r="C442" s="6"/>
      <c r="D442" s="49"/>
      <c r="E442" s="51"/>
      <c r="F442" s="6"/>
      <c r="G442" s="6"/>
      <c r="H442" s="6"/>
      <c r="I442" s="6"/>
      <c r="J442" s="6"/>
      <c r="K442" s="51"/>
      <c r="L442" s="51"/>
      <c r="M442" s="51"/>
      <c r="N442" s="51"/>
      <c r="O442" s="51"/>
      <c r="P442" s="51"/>
      <c r="Q442" s="51"/>
      <c r="R442" s="51"/>
      <c r="S442" s="51"/>
      <c r="T442" s="51"/>
      <c r="U442" s="51"/>
      <c r="V442" s="51"/>
      <c r="W442" s="51"/>
      <c r="X442" s="51"/>
      <c r="Y442" s="51"/>
      <c r="Z442" s="51"/>
      <c r="AA442" s="51"/>
      <c r="AB442" s="51"/>
    </row>
    <row r="443" customFormat="false" ht="15.75" hidden="false" customHeight="false" outlineLevel="0" collapsed="false">
      <c r="A443" s="51"/>
      <c r="B443" s="51"/>
      <c r="C443" s="6"/>
      <c r="D443" s="49"/>
      <c r="E443" s="51"/>
      <c r="F443" s="6"/>
      <c r="G443" s="6"/>
      <c r="H443" s="6"/>
      <c r="I443" s="6"/>
      <c r="J443" s="6"/>
      <c r="K443" s="51"/>
      <c r="L443" s="51"/>
      <c r="M443" s="51"/>
      <c r="N443" s="51"/>
      <c r="O443" s="51"/>
      <c r="P443" s="51"/>
      <c r="Q443" s="51"/>
      <c r="R443" s="51"/>
      <c r="S443" s="51"/>
      <c r="T443" s="51"/>
      <c r="U443" s="51"/>
      <c r="V443" s="51"/>
      <c r="W443" s="51"/>
      <c r="X443" s="51"/>
      <c r="Y443" s="51"/>
      <c r="Z443" s="51"/>
      <c r="AA443" s="51"/>
      <c r="AB443" s="51"/>
    </row>
    <row r="444" customFormat="false" ht="15.75" hidden="false" customHeight="false" outlineLevel="0" collapsed="false">
      <c r="A444" s="51"/>
      <c r="B444" s="51"/>
      <c r="C444" s="6"/>
      <c r="D444" s="49"/>
      <c r="E444" s="51"/>
      <c r="F444" s="6"/>
      <c r="G444" s="6"/>
      <c r="H444" s="6"/>
      <c r="I444" s="6"/>
      <c r="J444" s="6"/>
      <c r="K444" s="51"/>
      <c r="L444" s="51"/>
      <c r="M444" s="51"/>
      <c r="N444" s="51"/>
      <c r="O444" s="51"/>
      <c r="P444" s="51"/>
      <c r="Q444" s="51"/>
      <c r="R444" s="51"/>
      <c r="S444" s="51"/>
      <c r="T444" s="51"/>
      <c r="U444" s="51"/>
      <c r="V444" s="51"/>
      <c r="W444" s="51"/>
      <c r="X444" s="51"/>
      <c r="Y444" s="51"/>
      <c r="Z444" s="51"/>
      <c r="AA444" s="51"/>
      <c r="AB444" s="51"/>
    </row>
    <row r="445" customFormat="false" ht="15.75" hidden="false" customHeight="false" outlineLevel="0" collapsed="false">
      <c r="A445" s="51"/>
      <c r="B445" s="51"/>
      <c r="C445" s="6"/>
      <c r="D445" s="49"/>
      <c r="E445" s="51"/>
      <c r="F445" s="6"/>
      <c r="G445" s="6"/>
      <c r="H445" s="6"/>
      <c r="I445" s="6"/>
      <c r="J445" s="6"/>
      <c r="K445" s="51"/>
      <c r="L445" s="51"/>
      <c r="M445" s="51"/>
      <c r="N445" s="51"/>
      <c r="O445" s="51"/>
      <c r="P445" s="51"/>
      <c r="Q445" s="51"/>
      <c r="R445" s="51"/>
      <c r="S445" s="51"/>
      <c r="T445" s="51"/>
      <c r="U445" s="51"/>
      <c r="V445" s="51"/>
      <c r="W445" s="51"/>
      <c r="X445" s="51"/>
      <c r="Y445" s="51"/>
      <c r="Z445" s="51"/>
      <c r="AA445" s="51"/>
      <c r="AB445" s="51"/>
    </row>
    <row r="446" customFormat="false" ht="15.75" hidden="false" customHeight="false" outlineLevel="0" collapsed="false">
      <c r="A446" s="51"/>
      <c r="B446" s="51"/>
      <c r="C446" s="6"/>
      <c r="D446" s="49"/>
      <c r="E446" s="51"/>
      <c r="F446" s="6"/>
      <c r="G446" s="6"/>
      <c r="H446" s="6"/>
      <c r="I446" s="6"/>
      <c r="J446" s="6"/>
      <c r="K446" s="51"/>
      <c r="L446" s="51"/>
      <c r="M446" s="51"/>
      <c r="N446" s="51"/>
      <c r="O446" s="51"/>
      <c r="P446" s="51"/>
      <c r="Q446" s="51"/>
      <c r="R446" s="51"/>
      <c r="S446" s="51"/>
      <c r="T446" s="51"/>
      <c r="U446" s="51"/>
      <c r="V446" s="51"/>
      <c r="W446" s="51"/>
      <c r="X446" s="51"/>
      <c r="Y446" s="51"/>
      <c r="Z446" s="51"/>
      <c r="AA446" s="51"/>
      <c r="AB446" s="51"/>
    </row>
    <row r="447" customFormat="false" ht="15.75" hidden="false" customHeight="false" outlineLevel="0" collapsed="false">
      <c r="A447" s="51"/>
      <c r="B447" s="51"/>
      <c r="C447" s="6"/>
      <c r="D447" s="49"/>
      <c r="E447" s="51"/>
      <c r="F447" s="6"/>
      <c r="G447" s="6"/>
      <c r="H447" s="6"/>
      <c r="I447" s="6"/>
      <c r="J447" s="6"/>
      <c r="K447" s="51"/>
      <c r="L447" s="51"/>
      <c r="M447" s="51"/>
      <c r="N447" s="51"/>
      <c r="O447" s="51"/>
      <c r="P447" s="51"/>
      <c r="Q447" s="51"/>
      <c r="R447" s="51"/>
      <c r="S447" s="51"/>
      <c r="T447" s="51"/>
      <c r="U447" s="51"/>
      <c r="V447" s="51"/>
      <c r="W447" s="51"/>
      <c r="X447" s="51"/>
      <c r="Y447" s="51"/>
      <c r="Z447" s="51"/>
      <c r="AA447" s="51"/>
      <c r="AB447" s="51"/>
    </row>
    <row r="448" customFormat="false" ht="15.75" hidden="false" customHeight="false" outlineLevel="0" collapsed="false">
      <c r="A448" s="51"/>
      <c r="B448" s="51"/>
      <c r="C448" s="6"/>
      <c r="D448" s="49"/>
      <c r="E448" s="51"/>
      <c r="F448" s="6"/>
      <c r="G448" s="6"/>
      <c r="H448" s="6"/>
      <c r="I448" s="6"/>
      <c r="J448" s="6"/>
      <c r="K448" s="51"/>
      <c r="L448" s="51"/>
      <c r="M448" s="51"/>
      <c r="N448" s="51"/>
      <c r="O448" s="51"/>
      <c r="P448" s="51"/>
      <c r="Q448" s="51"/>
      <c r="R448" s="51"/>
      <c r="S448" s="51"/>
      <c r="T448" s="51"/>
      <c r="U448" s="51"/>
      <c r="V448" s="51"/>
      <c r="W448" s="51"/>
      <c r="X448" s="51"/>
      <c r="Y448" s="51"/>
      <c r="Z448" s="51"/>
      <c r="AA448" s="51"/>
      <c r="AB448" s="51"/>
    </row>
    <row r="449" customFormat="false" ht="15.75" hidden="false" customHeight="false" outlineLevel="0" collapsed="false">
      <c r="A449" s="51"/>
      <c r="B449" s="51"/>
      <c r="C449" s="6"/>
      <c r="D449" s="49"/>
      <c r="E449" s="51"/>
      <c r="F449" s="6"/>
      <c r="G449" s="6"/>
      <c r="H449" s="6"/>
      <c r="I449" s="6"/>
      <c r="J449" s="6"/>
      <c r="K449" s="51"/>
      <c r="L449" s="51"/>
      <c r="M449" s="51"/>
      <c r="N449" s="51"/>
      <c r="O449" s="51"/>
      <c r="P449" s="51"/>
      <c r="Q449" s="51"/>
      <c r="R449" s="51"/>
      <c r="S449" s="51"/>
      <c r="T449" s="51"/>
      <c r="U449" s="51"/>
      <c r="V449" s="51"/>
      <c r="W449" s="51"/>
      <c r="X449" s="51"/>
      <c r="Y449" s="51"/>
      <c r="Z449" s="51"/>
      <c r="AA449" s="51"/>
      <c r="AB449" s="51"/>
    </row>
    <row r="450" customFormat="false" ht="15.75" hidden="false" customHeight="false" outlineLevel="0" collapsed="false">
      <c r="A450" s="51"/>
      <c r="B450" s="51"/>
      <c r="C450" s="6"/>
      <c r="D450" s="49"/>
      <c r="E450" s="51"/>
      <c r="F450" s="6"/>
      <c r="G450" s="6"/>
      <c r="H450" s="6"/>
      <c r="I450" s="6"/>
      <c r="J450" s="6"/>
      <c r="K450" s="51"/>
      <c r="L450" s="51"/>
      <c r="M450" s="51"/>
      <c r="N450" s="51"/>
      <c r="O450" s="51"/>
      <c r="P450" s="51"/>
      <c r="Q450" s="51"/>
      <c r="R450" s="51"/>
      <c r="S450" s="51"/>
      <c r="T450" s="51"/>
      <c r="U450" s="51"/>
      <c r="V450" s="51"/>
      <c r="W450" s="51"/>
      <c r="X450" s="51"/>
      <c r="Y450" s="51"/>
      <c r="Z450" s="51"/>
      <c r="AA450" s="51"/>
      <c r="AB450" s="51"/>
    </row>
    <row r="451" customFormat="false" ht="15.75" hidden="false" customHeight="false" outlineLevel="0" collapsed="false">
      <c r="A451" s="51"/>
      <c r="B451" s="51"/>
      <c r="C451" s="6"/>
      <c r="D451" s="49"/>
      <c r="E451" s="51"/>
      <c r="F451" s="6"/>
      <c r="G451" s="6"/>
      <c r="H451" s="6"/>
      <c r="I451" s="6"/>
      <c r="J451" s="6"/>
      <c r="K451" s="51"/>
      <c r="L451" s="51"/>
      <c r="M451" s="51"/>
      <c r="N451" s="51"/>
      <c r="O451" s="51"/>
      <c r="P451" s="51"/>
      <c r="Q451" s="51"/>
      <c r="R451" s="51"/>
      <c r="S451" s="51"/>
      <c r="T451" s="51"/>
      <c r="U451" s="51"/>
      <c r="V451" s="51"/>
      <c r="W451" s="51"/>
      <c r="X451" s="51"/>
      <c r="Y451" s="51"/>
      <c r="Z451" s="51"/>
      <c r="AA451" s="51"/>
      <c r="AB451" s="51"/>
    </row>
    <row r="452" customFormat="false" ht="15.75" hidden="false" customHeight="false" outlineLevel="0" collapsed="false">
      <c r="A452" s="51"/>
      <c r="B452" s="51"/>
      <c r="C452" s="6"/>
      <c r="D452" s="49"/>
      <c r="E452" s="51"/>
      <c r="F452" s="6"/>
      <c r="G452" s="6"/>
      <c r="H452" s="6"/>
      <c r="I452" s="6"/>
      <c r="J452" s="6"/>
      <c r="K452" s="51"/>
      <c r="L452" s="51"/>
      <c r="M452" s="51"/>
      <c r="N452" s="51"/>
      <c r="O452" s="51"/>
      <c r="P452" s="51"/>
      <c r="Q452" s="51"/>
      <c r="R452" s="51"/>
      <c r="S452" s="51"/>
      <c r="T452" s="51"/>
      <c r="U452" s="51"/>
      <c r="V452" s="51"/>
      <c r="W452" s="51"/>
      <c r="X452" s="51"/>
      <c r="Y452" s="51"/>
      <c r="Z452" s="51"/>
      <c r="AA452" s="51"/>
      <c r="AB452" s="51"/>
    </row>
    <row r="453" customFormat="false" ht="15.75" hidden="false" customHeight="false" outlineLevel="0" collapsed="false">
      <c r="A453" s="51"/>
      <c r="B453" s="51"/>
      <c r="C453" s="6"/>
      <c r="D453" s="49"/>
      <c r="E453" s="51"/>
      <c r="F453" s="6"/>
      <c r="G453" s="6"/>
      <c r="H453" s="6"/>
      <c r="I453" s="6"/>
      <c r="J453" s="6"/>
      <c r="K453" s="51"/>
      <c r="L453" s="51"/>
      <c r="M453" s="51"/>
      <c r="N453" s="51"/>
      <c r="O453" s="51"/>
      <c r="P453" s="51"/>
      <c r="Q453" s="51"/>
      <c r="R453" s="51"/>
      <c r="S453" s="51"/>
      <c r="T453" s="51"/>
      <c r="U453" s="51"/>
      <c r="V453" s="51"/>
      <c r="W453" s="51"/>
      <c r="X453" s="51"/>
      <c r="Y453" s="51"/>
      <c r="Z453" s="51"/>
      <c r="AA453" s="51"/>
      <c r="AB453" s="51"/>
    </row>
    <row r="454" customFormat="false" ht="15.75" hidden="false" customHeight="false" outlineLevel="0" collapsed="false">
      <c r="A454" s="51"/>
      <c r="B454" s="51"/>
      <c r="C454" s="6"/>
      <c r="D454" s="49"/>
      <c r="E454" s="51"/>
      <c r="F454" s="6"/>
      <c r="G454" s="6"/>
      <c r="H454" s="6"/>
      <c r="I454" s="6"/>
      <c r="J454" s="6"/>
      <c r="K454" s="51"/>
      <c r="L454" s="51"/>
      <c r="M454" s="51"/>
      <c r="N454" s="51"/>
      <c r="O454" s="51"/>
      <c r="P454" s="51"/>
      <c r="Q454" s="51"/>
      <c r="R454" s="51"/>
      <c r="S454" s="51"/>
      <c r="T454" s="51"/>
      <c r="U454" s="51"/>
      <c r="V454" s="51"/>
      <c r="W454" s="51"/>
      <c r="X454" s="51"/>
      <c r="Y454" s="51"/>
      <c r="Z454" s="51"/>
      <c r="AA454" s="51"/>
      <c r="AB454" s="51"/>
    </row>
    <row r="455" customFormat="false" ht="15.75" hidden="false" customHeight="false" outlineLevel="0" collapsed="false">
      <c r="A455" s="51"/>
      <c r="B455" s="51"/>
      <c r="C455" s="6"/>
      <c r="D455" s="49"/>
      <c r="E455" s="51"/>
      <c r="F455" s="6"/>
      <c r="G455" s="6"/>
      <c r="H455" s="6"/>
      <c r="I455" s="6"/>
      <c r="J455" s="6"/>
      <c r="K455" s="51"/>
      <c r="L455" s="51"/>
      <c r="M455" s="51"/>
      <c r="N455" s="51"/>
      <c r="O455" s="51"/>
      <c r="P455" s="51"/>
      <c r="Q455" s="51"/>
      <c r="R455" s="51"/>
      <c r="S455" s="51"/>
      <c r="T455" s="51"/>
      <c r="U455" s="51"/>
      <c r="V455" s="51"/>
      <c r="W455" s="51"/>
      <c r="X455" s="51"/>
      <c r="Y455" s="51"/>
      <c r="Z455" s="51"/>
      <c r="AA455" s="51"/>
      <c r="AB455" s="51"/>
    </row>
    <row r="456" customFormat="false" ht="15.75" hidden="false" customHeight="false" outlineLevel="0" collapsed="false">
      <c r="A456" s="51"/>
      <c r="B456" s="51"/>
      <c r="C456" s="6"/>
      <c r="D456" s="49"/>
      <c r="E456" s="51"/>
      <c r="F456" s="6"/>
      <c r="G456" s="6"/>
      <c r="H456" s="6"/>
      <c r="I456" s="6"/>
      <c r="J456" s="6"/>
      <c r="K456" s="51"/>
      <c r="L456" s="51"/>
      <c r="M456" s="51"/>
      <c r="N456" s="51"/>
      <c r="O456" s="51"/>
      <c r="P456" s="51"/>
      <c r="Q456" s="51"/>
      <c r="R456" s="51"/>
      <c r="S456" s="51"/>
      <c r="T456" s="51"/>
      <c r="U456" s="51"/>
      <c r="V456" s="51"/>
      <c r="W456" s="51"/>
      <c r="X456" s="51"/>
      <c r="Y456" s="51"/>
      <c r="Z456" s="51"/>
      <c r="AA456" s="51"/>
      <c r="AB456" s="51"/>
    </row>
    <row r="457" customFormat="false" ht="15.75" hidden="false" customHeight="false" outlineLevel="0" collapsed="false">
      <c r="A457" s="51"/>
      <c r="B457" s="51"/>
      <c r="C457" s="6"/>
      <c r="D457" s="49"/>
      <c r="E457" s="51"/>
      <c r="F457" s="6"/>
      <c r="G457" s="6"/>
      <c r="H457" s="6"/>
      <c r="I457" s="6"/>
      <c r="J457" s="6"/>
      <c r="K457" s="51"/>
      <c r="L457" s="51"/>
      <c r="M457" s="51"/>
      <c r="N457" s="51"/>
      <c r="O457" s="51"/>
      <c r="P457" s="51"/>
      <c r="Q457" s="51"/>
      <c r="R457" s="51"/>
      <c r="S457" s="51"/>
      <c r="T457" s="51"/>
      <c r="U457" s="51"/>
      <c r="V457" s="51"/>
      <c r="W457" s="51"/>
      <c r="X457" s="51"/>
      <c r="Y457" s="51"/>
      <c r="Z457" s="51"/>
      <c r="AA457" s="51"/>
      <c r="AB457" s="51"/>
    </row>
    <row r="458" customFormat="false" ht="15.75" hidden="false" customHeight="false" outlineLevel="0" collapsed="false">
      <c r="A458" s="51"/>
      <c r="B458" s="51"/>
      <c r="C458" s="6"/>
      <c r="D458" s="49"/>
      <c r="E458" s="51"/>
      <c r="F458" s="6"/>
      <c r="G458" s="6"/>
      <c r="H458" s="6"/>
      <c r="I458" s="6"/>
      <c r="J458" s="6"/>
      <c r="K458" s="51"/>
      <c r="L458" s="51"/>
      <c r="M458" s="51"/>
      <c r="N458" s="51"/>
      <c r="O458" s="51"/>
      <c r="P458" s="51"/>
      <c r="Q458" s="51"/>
      <c r="R458" s="51"/>
      <c r="S458" s="51"/>
      <c r="T458" s="51"/>
      <c r="U458" s="51"/>
      <c r="V458" s="51"/>
      <c r="W458" s="51"/>
      <c r="X458" s="51"/>
      <c r="Y458" s="51"/>
      <c r="Z458" s="51"/>
      <c r="AA458" s="51"/>
      <c r="AB458" s="51"/>
    </row>
    <row r="459" customFormat="false" ht="15.75" hidden="false" customHeight="false" outlineLevel="0" collapsed="false">
      <c r="A459" s="51"/>
      <c r="B459" s="51"/>
      <c r="C459" s="6"/>
      <c r="D459" s="49"/>
      <c r="E459" s="51"/>
      <c r="F459" s="6"/>
      <c r="G459" s="6"/>
      <c r="H459" s="6"/>
      <c r="I459" s="6"/>
      <c r="J459" s="6"/>
      <c r="K459" s="51"/>
      <c r="L459" s="51"/>
      <c r="M459" s="51"/>
      <c r="N459" s="51"/>
      <c r="O459" s="51"/>
      <c r="P459" s="51"/>
      <c r="Q459" s="51"/>
      <c r="R459" s="51"/>
      <c r="S459" s="51"/>
      <c r="T459" s="51"/>
      <c r="U459" s="51"/>
      <c r="V459" s="51"/>
      <c r="W459" s="51"/>
      <c r="X459" s="51"/>
      <c r="Y459" s="51"/>
      <c r="Z459" s="51"/>
      <c r="AA459" s="51"/>
      <c r="AB459" s="51"/>
    </row>
    <row r="460" customFormat="false" ht="15.75" hidden="false" customHeight="false" outlineLevel="0" collapsed="false">
      <c r="A460" s="51"/>
      <c r="B460" s="51"/>
      <c r="C460" s="6"/>
      <c r="D460" s="49"/>
      <c r="E460" s="51"/>
      <c r="F460" s="6"/>
      <c r="G460" s="6"/>
      <c r="H460" s="6"/>
      <c r="I460" s="6"/>
      <c r="J460" s="6"/>
      <c r="K460" s="51"/>
      <c r="L460" s="51"/>
      <c r="M460" s="51"/>
      <c r="N460" s="51"/>
      <c r="O460" s="51"/>
      <c r="P460" s="51"/>
      <c r="Q460" s="51"/>
      <c r="R460" s="51"/>
      <c r="S460" s="51"/>
      <c r="T460" s="51"/>
      <c r="U460" s="51"/>
      <c r="V460" s="51"/>
      <c r="W460" s="51"/>
      <c r="X460" s="51"/>
      <c r="Y460" s="51"/>
      <c r="Z460" s="51"/>
      <c r="AA460" s="51"/>
      <c r="AB460" s="51"/>
    </row>
    <row r="461" customFormat="false" ht="15.75" hidden="false" customHeight="false" outlineLevel="0" collapsed="false">
      <c r="A461" s="51"/>
      <c r="B461" s="51"/>
      <c r="C461" s="6"/>
      <c r="D461" s="49"/>
      <c r="E461" s="51"/>
      <c r="F461" s="6"/>
      <c r="G461" s="6"/>
      <c r="H461" s="6"/>
      <c r="I461" s="6"/>
      <c r="J461" s="6"/>
      <c r="K461" s="51"/>
      <c r="L461" s="51"/>
      <c r="M461" s="51"/>
      <c r="N461" s="51"/>
      <c r="O461" s="51"/>
      <c r="P461" s="51"/>
      <c r="Q461" s="51"/>
      <c r="R461" s="51"/>
      <c r="S461" s="51"/>
      <c r="T461" s="51"/>
      <c r="U461" s="51"/>
      <c r="V461" s="51"/>
      <c r="W461" s="51"/>
      <c r="X461" s="51"/>
      <c r="Y461" s="51"/>
      <c r="Z461" s="51"/>
      <c r="AA461" s="51"/>
      <c r="AB461" s="51"/>
    </row>
    <row r="462" customFormat="false" ht="15.75" hidden="false" customHeight="false" outlineLevel="0" collapsed="false">
      <c r="A462" s="51"/>
      <c r="B462" s="51"/>
      <c r="C462" s="6"/>
      <c r="D462" s="49"/>
      <c r="E462" s="51"/>
      <c r="F462" s="6"/>
      <c r="G462" s="6"/>
      <c r="H462" s="6"/>
      <c r="I462" s="6"/>
      <c r="J462" s="6"/>
      <c r="K462" s="51"/>
      <c r="L462" s="51"/>
      <c r="M462" s="51"/>
      <c r="N462" s="51"/>
      <c r="O462" s="51"/>
      <c r="P462" s="51"/>
      <c r="Q462" s="51"/>
      <c r="R462" s="51"/>
      <c r="S462" s="51"/>
      <c r="T462" s="51"/>
      <c r="U462" s="51"/>
      <c r="V462" s="51"/>
      <c r="W462" s="51"/>
      <c r="X462" s="51"/>
      <c r="Y462" s="51"/>
      <c r="Z462" s="51"/>
      <c r="AA462" s="51"/>
      <c r="AB462" s="51"/>
    </row>
    <row r="463" customFormat="false" ht="15.75" hidden="false" customHeight="false" outlineLevel="0" collapsed="false">
      <c r="A463" s="51"/>
      <c r="B463" s="51"/>
      <c r="C463" s="6"/>
      <c r="D463" s="49"/>
      <c r="E463" s="51"/>
      <c r="F463" s="6"/>
      <c r="G463" s="6"/>
      <c r="H463" s="6"/>
      <c r="I463" s="6"/>
      <c r="J463" s="6"/>
      <c r="K463" s="51"/>
      <c r="L463" s="51"/>
      <c r="M463" s="51"/>
      <c r="N463" s="51"/>
      <c r="O463" s="51"/>
      <c r="P463" s="51"/>
      <c r="Q463" s="51"/>
      <c r="R463" s="51"/>
      <c r="S463" s="51"/>
      <c r="T463" s="51"/>
      <c r="U463" s="51"/>
      <c r="V463" s="51"/>
      <c r="W463" s="51"/>
      <c r="X463" s="51"/>
      <c r="Y463" s="51"/>
      <c r="Z463" s="51"/>
      <c r="AA463" s="51"/>
      <c r="AB463" s="51"/>
    </row>
    <row r="464" customFormat="false" ht="15.75" hidden="false" customHeight="false" outlineLevel="0" collapsed="false">
      <c r="A464" s="51"/>
      <c r="B464" s="51"/>
      <c r="C464" s="6"/>
      <c r="D464" s="49"/>
      <c r="E464" s="51"/>
      <c r="F464" s="6"/>
      <c r="G464" s="6"/>
      <c r="H464" s="6"/>
      <c r="I464" s="6"/>
      <c r="J464" s="6"/>
      <c r="K464" s="51"/>
      <c r="L464" s="51"/>
      <c r="M464" s="51"/>
      <c r="N464" s="51"/>
      <c r="O464" s="51"/>
      <c r="P464" s="51"/>
      <c r="Q464" s="51"/>
      <c r="R464" s="51"/>
      <c r="S464" s="51"/>
      <c r="T464" s="51"/>
      <c r="U464" s="51"/>
      <c r="V464" s="51"/>
      <c r="W464" s="51"/>
      <c r="X464" s="51"/>
      <c r="Y464" s="51"/>
      <c r="Z464" s="51"/>
      <c r="AA464" s="51"/>
      <c r="AB464" s="51"/>
    </row>
    <row r="465" customFormat="false" ht="15.75" hidden="false" customHeight="false" outlineLevel="0" collapsed="false">
      <c r="A465" s="51"/>
      <c r="B465" s="51"/>
      <c r="C465" s="6"/>
      <c r="D465" s="49"/>
      <c r="E465" s="51"/>
      <c r="F465" s="6"/>
      <c r="G465" s="6"/>
      <c r="H465" s="6"/>
      <c r="I465" s="6"/>
      <c r="J465" s="6"/>
      <c r="K465" s="51"/>
      <c r="L465" s="51"/>
      <c r="M465" s="51"/>
      <c r="N465" s="51"/>
      <c r="O465" s="51"/>
      <c r="P465" s="51"/>
      <c r="Q465" s="51"/>
      <c r="R465" s="51"/>
      <c r="S465" s="51"/>
      <c r="T465" s="51"/>
      <c r="U465" s="51"/>
      <c r="V465" s="51"/>
      <c r="W465" s="51"/>
      <c r="X465" s="51"/>
      <c r="Y465" s="51"/>
      <c r="Z465" s="51"/>
      <c r="AA465" s="51"/>
      <c r="AB465" s="51"/>
    </row>
    <row r="466" customFormat="false" ht="15.75" hidden="false" customHeight="false" outlineLevel="0" collapsed="false">
      <c r="A466" s="51"/>
      <c r="B466" s="51"/>
      <c r="C466" s="6"/>
      <c r="D466" s="49"/>
      <c r="E466" s="51"/>
      <c r="F466" s="6"/>
      <c r="G466" s="6"/>
      <c r="H466" s="6"/>
      <c r="I466" s="6"/>
      <c r="J466" s="6"/>
      <c r="K466" s="51"/>
      <c r="L466" s="51"/>
      <c r="M466" s="51"/>
      <c r="N466" s="51"/>
      <c r="O466" s="51"/>
      <c r="P466" s="51"/>
      <c r="Q466" s="51"/>
      <c r="R466" s="51"/>
      <c r="S466" s="51"/>
      <c r="T466" s="51"/>
      <c r="U466" s="51"/>
      <c r="V466" s="51"/>
      <c r="W466" s="51"/>
      <c r="X466" s="51"/>
      <c r="Y466" s="51"/>
      <c r="Z466" s="51"/>
      <c r="AA466" s="51"/>
      <c r="AB466" s="51"/>
    </row>
    <row r="467" customFormat="false" ht="15.75" hidden="false" customHeight="false" outlineLevel="0" collapsed="false">
      <c r="A467" s="51"/>
      <c r="B467" s="51"/>
      <c r="C467" s="6"/>
      <c r="D467" s="49"/>
      <c r="E467" s="51"/>
      <c r="F467" s="6"/>
      <c r="G467" s="6"/>
      <c r="H467" s="6"/>
      <c r="I467" s="6"/>
      <c r="J467" s="6"/>
      <c r="K467" s="51"/>
      <c r="L467" s="51"/>
      <c r="M467" s="51"/>
      <c r="N467" s="51"/>
      <c r="O467" s="51"/>
      <c r="P467" s="51"/>
      <c r="Q467" s="51"/>
      <c r="R467" s="51"/>
      <c r="S467" s="51"/>
      <c r="T467" s="51"/>
      <c r="U467" s="51"/>
      <c r="V467" s="51"/>
      <c r="W467" s="51"/>
      <c r="X467" s="51"/>
      <c r="Y467" s="51"/>
      <c r="Z467" s="51"/>
      <c r="AA467" s="51"/>
      <c r="AB467" s="51"/>
    </row>
    <row r="468" customFormat="false" ht="15.75" hidden="false" customHeight="false" outlineLevel="0" collapsed="false">
      <c r="A468" s="51"/>
      <c r="B468" s="51"/>
      <c r="C468" s="6"/>
      <c r="D468" s="49"/>
      <c r="E468" s="51"/>
      <c r="F468" s="6"/>
      <c r="G468" s="6"/>
      <c r="H468" s="6"/>
      <c r="I468" s="6"/>
      <c r="J468" s="6"/>
      <c r="K468" s="51"/>
      <c r="L468" s="51"/>
      <c r="M468" s="51"/>
      <c r="N468" s="51"/>
      <c r="O468" s="51"/>
      <c r="P468" s="51"/>
      <c r="Q468" s="51"/>
      <c r="R468" s="51"/>
      <c r="S468" s="51"/>
      <c r="T468" s="51"/>
      <c r="U468" s="51"/>
      <c r="V468" s="51"/>
      <c r="W468" s="51"/>
      <c r="X468" s="51"/>
      <c r="Y468" s="51"/>
      <c r="Z468" s="51"/>
      <c r="AA468" s="51"/>
      <c r="AB468" s="51"/>
    </row>
    <row r="469" customFormat="false" ht="15.75" hidden="false" customHeight="false" outlineLevel="0" collapsed="false">
      <c r="A469" s="51"/>
      <c r="B469" s="51"/>
      <c r="C469" s="6"/>
      <c r="D469" s="49"/>
      <c r="E469" s="51"/>
      <c r="F469" s="6"/>
      <c r="G469" s="6"/>
      <c r="H469" s="6"/>
      <c r="I469" s="6"/>
      <c r="J469" s="6"/>
      <c r="K469" s="51"/>
      <c r="L469" s="51"/>
      <c r="M469" s="51"/>
      <c r="N469" s="51"/>
      <c r="O469" s="51"/>
      <c r="P469" s="51"/>
      <c r="Q469" s="51"/>
      <c r="R469" s="51"/>
      <c r="S469" s="51"/>
      <c r="T469" s="51"/>
      <c r="U469" s="51"/>
      <c r="V469" s="51"/>
      <c r="W469" s="51"/>
      <c r="X469" s="51"/>
      <c r="Y469" s="51"/>
      <c r="Z469" s="51"/>
      <c r="AA469" s="51"/>
      <c r="AB469" s="51"/>
    </row>
    <row r="470" customFormat="false" ht="15.75" hidden="false" customHeight="false" outlineLevel="0" collapsed="false">
      <c r="A470" s="51"/>
      <c r="B470" s="51"/>
      <c r="C470" s="6"/>
      <c r="D470" s="49"/>
      <c r="E470" s="51"/>
      <c r="F470" s="6"/>
      <c r="G470" s="6"/>
      <c r="H470" s="6"/>
      <c r="I470" s="6"/>
      <c r="J470" s="6"/>
      <c r="K470" s="51"/>
      <c r="L470" s="51"/>
      <c r="M470" s="51"/>
      <c r="N470" s="51"/>
      <c r="O470" s="51"/>
      <c r="P470" s="51"/>
      <c r="Q470" s="51"/>
      <c r="R470" s="51"/>
      <c r="S470" s="51"/>
      <c r="T470" s="51"/>
      <c r="U470" s="51"/>
      <c r="V470" s="51"/>
      <c r="W470" s="51"/>
      <c r="X470" s="51"/>
      <c r="Y470" s="51"/>
      <c r="Z470" s="51"/>
      <c r="AA470" s="51"/>
      <c r="AB470" s="51"/>
    </row>
    <row r="471" customFormat="false" ht="15.75" hidden="false" customHeight="false" outlineLevel="0" collapsed="false">
      <c r="A471" s="51"/>
      <c r="B471" s="51"/>
      <c r="C471" s="6"/>
      <c r="D471" s="49"/>
      <c r="E471" s="51"/>
      <c r="F471" s="6"/>
      <c r="G471" s="6"/>
      <c r="H471" s="6"/>
      <c r="I471" s="6"/>
      <c r="J471" s="6"/>
      <c r="K471" s="51"/>
      <c r="L471" s="51"/>
      <c r="M471" s="51"/>
      <c r="N471" s="51"/>
      <c r="O471" s="51"/>
      <c r="P471" s="51"/>
      <c r="Q471" s="51"/>
      <c r="R471" s="51"/>
      <c r="S471" s="51"/>
      <c r="T471" s="51"/>
      <c r="U471" s="51"/>
      <c r="V471" s="51"/>
      <c r="W471" s="51"/>
      <c r="X471" s="51"/>
      <c r="Y471" s="51"/>
      <c r="Z471" s="51"/>
      <c r="AA471" s="51"/>
      <c r="AB471" s="51"/>
    </row>
    <row r="472" customFormat="false" ht="15.75" hidden="false" customHeight="false" outlineLevel="0" collapsed="false">
      <c r="A472" s="51"/>
      <c r="B472" s="51"/>
      <c r="C472" s="6"/>
      <c r="D472" s="49"/>
      <c r="E472" s="51"/>
      <c r="F472" s="6"/>
      <c r="G472" s="6"/>
      <c r="H472" s="6"/>
      <c r="I472" s="6"/>
      <c r="J472" s="6"/>
      <c r="K472" s="51"/>
      <c r="L472" s="51"/>
      <c r="M472" s="51"/>
      <c r="N472" s="51"/>
      <c r="O472" s="51"/>
      <c r="P472" s="51"/>
      <c r="Q472" s="51"/>
      <c r="R472" s="51"/>
      <c r="S472" s="51"/>
      <c r="T472" s="51"/>
      <c r="U472" s="51"/>
      <c r="V472" s="51"/>
      <c r="W472" s="51"/>
      <c r="X472" s="51"/>
      <c r="Y472" s="51"/>
      <c r="Z472" s="51"/>
      <c r="AA472" s="51"/>
      <c r="AB472" s="51"/>
    </row>
    <row r="473" customFormat="false" ht="15.75" hidden="false" customHeight="false" outlineLevel="0" collapsed="false">
      <c r="A473" s="51"/>
      <c r="B473" s="51"/>
      <c r="C473" s="6"/>
      <c r="D473" s="49"/>
      <c r="E473" s="51"/>
      <c r="F473" s="6"/>
      <c r="G473" s="6"/>
      <c r="H473" s="6"/>
      <c r="I473" s="6"/>
      <c r="J473" s="6"/>
      <c r="K473" s="51"/>
      <c r="L473" s="51"/>
      <c r="M473" s="51"/>
      <c r="N473" s="51"/>
      <c r="O473" s="51"/>
      <c r="P473" s="51"/>
      <c r="Q473" s="51"/>
      <c r="R473" s="51"/>
      <c r="S473" s="51"/>
      <c r="T473" s="51"/>
      <c r="U473" s="51"/>
      <c r="V473" s="51"/>
      <c r="W473" s="51"/>
      <c r="X473" s="51"/>
      <c r="Y473" s="51"/>
      <c r="Z473" s="51"/>
      <c r="AA473" s="51"/>
      <c r="AB473" s="51"/>
    </row>
    <row r="474" customFormat="false" ht="15.75" hidden="false" customHeight="false" outlineLevel="0" collapsed="false">
      <c r="A474" s="51"/>
      <c r="B474" s="51"/>
      <c r="C474" s="6"/>
      <c r="D474" s="49"/>
      <c r="E474" s="51"/>
      <c r="F474" s="6"/>
      <c r="G474" s="6"/>
      <c r="H474" s="6"/>
      <c r="I474" s="6"/>
      <c r="J474" s="6"/>
      <c r="K474" s="51"/>
      <c r="L474" s="51"/>
      <c r="M474" s="51"/>
      <c r="N474" s="51"/>
      <c r="O474" s="51"/>
      <c r="P474" s="51"/>
      <c r="Q474" s="51"/>
      <c r="R474" s="51"/>
      <c r="S474" s="51"/>
      <c r="T474" s="51"/>
      <c r="U474" s="51"/>
      <c r="V474" s="51"/>
      <c r="W474" s="51"/>
      <c r="X474" s="51"/>
      <c r="Y474" s="51"/>
      <c r="Z474" s="51"/>
      <c r="AA474" s="51"/>
      <c r="AB474" s="51"/>
    </row>
    <row r="475" customFormat="false" ht="15.75" hidden="false" customHeight="false" outlineLevel="0" collapsed="false">
      <c r="A475" s="51"/>
      <c r="B475" s="51"/>
      <c r="C475" s="6"/>
      <c r="D475" s="49"/>
      <c r="E475" s="51"/>
      <c r="F475" s="6"/>
      <c r="G475" s="6"/>
      <c r="H475" s="6"/>
      <c r="I475" s="6"/>
      <c r="J475" s="6"/>
      <c r="K475" s="51"/>
      <c r="L475" s="51"/>
      <c r="M475" s="51"/>
      <c r="N475" s="51"/>
      <c r="O475" s="51"/>
      <c r="P475" s="51"/>
      <c r="Q475" s="51"/>
      <c r="R475" s="51"/>
      <c r="S475" s="51"/>
      <c r="T475" s="51"/>
      <c r="U475" s="51"/>
      <c r="V475" s="51"/>
      <c r="W475" s="51"/>
      <c r="X475" s="51"/>
      <c r="Y475" s="51"/>
      <c r="Z475" s="51"/>
      <c r="AA475" s="51"/>
      <c r="AB475" s="51"/>
    </row>
    <row r="476" customFormat="false" ht="15.75" hidden="false" customHeight="false" outlineLevel="0" collapsed="false">
      <c r="A476" s="51"/>
      <c r="B476" s="51"/>
      <c r="C476" s="6"/>
      <c r="D476" s="49"/>
      <c r="E476" s="51"/>
      <c r="F476" s="6"/>
      <c r="G476" s="6"/>
      <c r="H476" s="6"/>
      <c r="I476" s="6"/>
      <c r="J476" s="6"/>
      <c r="K476" s="51"/>
      <c r="L476" s="51"/>
      <c r="M476" s="51"/>
      <c r="N476" s="51"/>
      <c r="O476" s="51"/>
      <c r="P476" s="51"/>
      <c r="Q476" s="51"/>
      <c r="R476" s="51"/>
      <c r="S476" s="51"/>
      <c r="T476" s="51"/>
      <c r="U476" s="51"/>
      <c r="V476" s="51"/>
      <c r="W476" s="51"/>
      <c r="X476" s="51"/>
      <c r="Y476" s="51"/>
      <c r="Z476" s="51"/>
      <c r="AA476" s="51"/>
      <c r="AB476" s="51"/>
    </row>
    <row r="477" customFormat="false" ht="15.75" hidden="false" customHeight="false" outlineLevel="0" collapsed="false">
      <c r="A477" s="51"/>
      <c r="B477" s="51"/>
      <c r="C477" s="6"/>
      <c r="D477" s="49"/>
      <c r="E477" s="51"/>
      <c r="F477" s="6"/>
      <c r="G477" s="6"/>
      <c r="H477" s="6"/>
      <c r="I477" s="6"/>
      <c r="J477" s="6"/>
      <c r="K477" s="51"/>
      <c r="L477" s="51"/>
      <c r="M477" s="51"/>
      <c r="N477" s="51"/>
      <c r="O477" s="51"/>
      <c r="P477" s="51"/>
      <c r="Q477" s="51"/>
      <c r="R477" s="51"/>
      <c r="S477" s="51"/>
      <c r="T477" s="51"/>
      <c r="U477" s="51"/>
      <c r="V477" s="51"/>
      <c r="W477" s="51"/>
      <c r="X477" s="51"/>
      <c r="Y477" s="51"/>
      <c r="Z477" s="51"/>
      <c r="AA477" s="51"/>
      <c r="AB477" s="51"/>
    </row>
    <row r="478" customFormat="false" ht="15.75" hidden="false" customHeight="false" outlineLevel="0" collapsed="false">
      <c r="A478" s="51"/>
      <c r="B478" s="51"/>
      <c r="C478" s="6"/>
      <c r="D478" s="49"/>
      <c r="E478" s="51"/>
      <c r="F478" s="6"/>
      <c r="G478" s="6"/>
      <c r="H478" s="6"/>
      <c r="I478" s="6"/>
      <c r="J478" s="6"/>
      <c r="K478" s="51"/>
      <c r="L478" s="51"/>
      <c r="M478" s="51"/>
      <c r="N478" s="51"/>
      <c r="O478" s="51"/>
      <c r="P478" s="51"/>
      <c r="Q478" s="51"/>
      <c r="R478" s="51"/>
      <c r="S478" s="51"/>
      <c r="T478" s="51"/>
      <c r="U478" s="51"/>
      <c r="V478" s="51"/>
      <c r="W478" s="51"/>
      <c r="X478" s="51"/>
      <c r="Y478" s="51"/>
      <c r="Z478" s="51"/>
      <c r="AA478" s="51"/>
      <c r="AB478" s="51"/>
    </row>
    <row r="479" customFormat="false" ht="15.75" hidden="false" customHeight="false" outlineLevel="0" collapsed="false">
      <c r="A479" s="51"/>
      <c r="B479" s="51"/>
      <c r="C479" s="6"/>
      <c r="D479" s="49"/>
      <c r="E479" s="51"/>
      <c r="F479" s="6"/>
      <c r="G479" s="6"/>
      <c r="H479" s="6"/>
      <c r="I479" s="6"/>
      <c r="J479" s="6"/>
      <c r="K479" s="51"/>
      <c r="L479" s="51"/>
      <c r="M479" s="51"/>
      <c r="N479" s="51"/>
      <c r="O479" s="51"/>
      <c r="P479" s="51"/>
      <c r="Q479" s="51"/>
      <c r="R479" s="51"/>
      <c r="S479" s="51"/>
      <c r="T479" s="51"/>
      <c r="U479" s="51"/>
      <c r="V479" s="51"/>
      <c r="W479" s="51"/>
      <c r="X479" s="51"/>
      <c r="Y479" s="51"/>
      <c r="Z479" s="51"/>
      <c r="AA479" s="51"/>
      <c r="AB479" s="51"/>
    </row>
    <row r="480" customFormat="false" ht="15.75" hidden="false" customHeight="false" outlineLevel="0" collapsed="false">
      <c r="A480" s="51"/>
      <c r="B480" s="51"/>
      <c r="C480" s="6"/>
      <c r="D480" s="49"/>
      <c r="E480" s="51"/>
      <c r="F480" s="6"/>
      <c r="G480" s="6"/>
      <c r="H480" s="6"/>
      <c r="I480" s="6"/>
      <c r="J480" s="6"/>
      <c r="K480" s="51"/>
      <c r="L480" s="51"/>
      <c r="M480" s="51"/>
      <c r="N480" s="51"/>
      <c r="O480" s="51"/>
      <c r="P480" s="51"/>
      <c r="Q480" s="51"/>
      <c r="R480" s="51"/>
      <c r="S480" s="51"/>
      <c r="T480" s="51"/>
      <c r="U480" s="51"/>
      <c r="V480" s="51"/>
      <c r="W480" s="51"/>
      <c r="X480" s="51"/>
      <c r="Y480" s="51"/>
      <c r="Z480" s="51"/>
      <c r="AA480" s="51"/>
      <c r="AB480" s="51"/>
    </row>
    <row r="481" customFormat="false" ht="15.75" hidden="false" customHeight="false" outlineLevel="0" collapsed="false">
      <c r="A481" s="51"/>
      <c r="B481" s="51"/>
      <c r="C481" s="6"/>
      <c r="D481" s="49"/>
      <c r="E481" s="51"/>
      <c r="F481" s="6"/>
      <c r="G481" s="6"/>
      <c r="H481" s="6"/>
      <c r="I481" s="6"/>
      <c r="J481" s="6"/>
      <c r="K481" s="51"/>
      <c r="L481" s="51"/>
      <c r="M481" s="51"/>
      <c r="N481" s="51"/>
      <c r="O481" s="51"/>
      <c r="P481" s="51"/>
      <c r="Q481" s="51"/>
      <c r="R481" s="51"/>
      <c r="S481" s="51"/>
      <c r="T481" s="51"/>
      <c r="U481" s="51"/>
      <c r="V481" s="51"/>
      <c r="W481" s="51"/>
      <c r="X481" s="51"/>
      <c r="Y481" s="51"/>
      <c r="Z481" s="51"/>
      <c r="AA481" s="51"/>
      <c r="AB481" s="51"/>
    </row>
    <row r="482" customFormat="false" ht="15.75" hidden="false" customHeight="false" outlineLevel="0" collapsed="false">
      <c r="A482" s="51"/>
      <c r="B482" s="51"/>
      <c r="C482" s="6"/>
      <c r="D482" s="49"/>
      <c r="E482" s="51"/>
      <c r="F482" s="6"/>
      <c r="G482" s="6"/>
      <c r="H482" s="6"/>
      <c r="I482" s="6"/>
      <c r="J482" s="6"/>
      <c r="K482" s="51"/>
      <c r="L482" s="51"/>
      <c r="M482" s="51"/>
      <c r="N482" s="51"/>
      <c r="O482" s="51"/>
      <c r="P482" s="51"/>
      <c r="Q482" s="51"/>
      <c r="R482" s="51"/>
      <c r="S482" s="51"/>
      <c r="T482" s="51"/>
      <c r="U482" s="51"/>
      <c r="V482" s="51"/>
      <c r="W482" s="51"/>
      <c r="X482" s="51"/>
      <c r="Y482" s="51"/>
      <c r="Z482" s="51"/>
      <c r="AA482" s="51"/>
      <c r="AB482" s="51"/>
    </row>
    <row r="483" customFormat="false" ht="15.75" hidden="false" customHeight="false" outlineLevel="0" collapsed="false">
      <c r="A483" s="51"/>
      <c r="B483" s="51"/>
      <c r="C483" s="6"/>
      <c r="D483" s="49"/>
      <c r="E483" s="51"/>
      <c r="F483" s="6"/>
      <c r="G483" s="6"/>
      <c r="H483" s="6"/>
      <c r="I483" s="6"/>
      <c r="J483" s="6"/>
      <c r="K483" s="51"/>
      <c r="L483" s="51"/>
      <c r="M483" s="51"/>
      <c r="N483" s="51"/>
      <c r="O483" s="51"/>
      <c r="P483" s="51"/>
      <c r="Q483" s="51"/>
      <c r="R483" s="51"/>
      <c r="S483" s="51"/>
      <c r="T483" s="51"/>
      <c r="U483" s="51"/>
      <c r="V483" s="51"/>
      <c r="W483" s="51"/>
      <c r="X483" s="51"/>
      <c r="Y483" s="51"/>
      <c r="Z483" s="51"/>
      <c r="AA483" s="51"/>
      <c r="AB483" s="51"/>
    </row>
    <row r="484" customFormat="false" ht="15.75" hidden="false" customHeight="false" outlineLevel="0" collapsed="false">
      <c r="A484" s="51"/>
      <c r="B484" s="51"/>
      <c r="C484" s="6"/>
      <c r="D484" s="49"/>
      <c r="E484" s="51"/>
      <c r="F484" s="6"/>
      <c r="G484" s="6"/>
      <c r="H484" s="6"/>
      <c r="I484" s="6"/>
      <c r="J484" s="6"/>
      <c r="K484" s="51"/>
      <c r="L484" s="51"/>
      <c r="M484" s="51"/>
      <c r="N484" s="51"/>
      <c r="O484" s="51"/>
      <c r="P484" s="51"/>
      <c r="Q484" s="51"/>
      <c r="R484" s="51"/>
      <c r="S484" s="51"/>
      <c r="T484" s="51"/>
      <c r="U484" s="51"/>
      <c r="V484" s="51"/>
      <c r="W484" s="51"/>
      <c r="X484" s="51"/>
      <c r="Y484" s="51"/>
      <c r="Z484" s="51"/>
      <c r="AA484" s="51"/>
      <c r="AB484" s="51"/>
    </row>
    <row r="485" customFormat="false" ht="15.75" hidden="false" customHeight="false" outlineLevel="0" collapsed="false">
      <c r="A485" s="51"/>
      <c r="B485" s="51"/>
      <c r="C485" s="6"/>
      <c r="D485" s="49"/>
      <c r="E485" s="51"/>
      <c r="F485" s="6"/>
      <c r="G485" s="6"/>
      <c r="H485" s="6"/>
      <c r="I485" s="6"/>
      <c r="J485" s="6"/>
      <c r="K485" s="51"/>
      <c r="L485" s="51"/>
      <c r="M485" s="51"/>
      <c r="N485" s="51"/>
      <c r="O485" s="51"/>
      <c r="P485" s="51"/>
      <c r="Q485" s="51"/>
      <c r="R485" s="51"/>
      <c r="S485" s="51"/>
      <c r="T485" s="51"/>
      <c r="U485" s="51"/>
      <c r="V485" s="51"/>
      <c r="W485" s="51"/>
      <c r="X485" s="51"/>
      <c r="Y485" s="51"/>
      <c r="Z485" s="51"/>
      <c r="AA485" s="51"/>
      <c r="AB485" s="51"/>
    </row>
    <row r="486" customFormat="false" ht="15.75" hidden="false" customHeight="false" outlineLevel="0" collapsed="false">
      <c r="A486" s="51"/>
      <c r="B486" s="51"/>
      <c r="C486" s="6"/>
      <c r="D486" s="49"/>
      <c r="E486" s="51"/>
      <c r="F486" s="6"/>
      <c r="G486" s="6"/>
      <c r="H486" s="6"/>
      <c r="I486" s="6"/>
      <c r="J486" s="6"/>
      <c r="K486" s="51"/>
      <c r="L486" s="51"/>
      <c r="M486" s="51"/>
      <c r="N486" s="51"/>
      <c r="O486" s="51"/>
      <c r="P486" s="51"/>
      <c r="Q486" s="51"/>
      <c r="R486" s="51"/>
      <c r="S486" s="51"/>
      <c r="T486" s="51"/>
      <c r="U486" s="51"/>
      <c r="V486" s="51"/>
      <c r="W486" s="51"/>
      <c r="X486" s="51"/>
      <c r="Y486" s="51"/>
      <c r="Z486" s="51"/>
      <c r="AA486" s="51"/>
      <c r="AB486" s="51"/>
    </row>
    <row r="487" customFormat="false" ht="15.75" hidden="false" customHeight="false" outlineLevel="0" collapsed="false">
      <c r="A487" s="51"/>
      <c r="B487" s="51"/>
      <c r="C487" s="6"/>
      <c r="D487" s="49"/>
      <c r="E487" s="51"/>
      <c r="F487" s="6"/>
      <c r="G487" s="6"/>
      <c r="H487" s="6"/>
      <c r="I487" s="6"/>
      <c r="J487" s="6"/>
      <c r="K487" s="51"/>
      <c r="L487" s="51"/>
      <c r="M487" s="51"/>
      <c r="N487" s="51"/>
      <c r="O487" s="51"/>
      <c r="P487" s="51"/>
      <c r="Q487" s="51"/>
      <c r="R487" s="51"/>
      <c r="S487" s="51"/>
      <c r="T487" s="51"/>
      <c r="U487" s="51"/>
      <c r="V487" s="51"/>
      <c r="W487" s="51"/>
      <c r="X487" s="51"/>
      <c r="Y487" s="51"/>
      <c r="Z487" s="51"/>
      <c r="AA487" s="51"/>
      <c r="AB487" s="51"/>
    </row>
    <row r="488" customFormat="false" ht="15.75" hidden="false" customHeight="false" outlineLevel="0" collapsed="false">
      <c r="A488" s="51"/>
      <c r="B488" s="51"/>
      <c r="C488" s="6"/>
      <c r="D488" s="49"/>
      <c r="E488" s="51"/>
      <c r="F488" s="6"/>
      <c r="G488" s="6"/>
      <c r="H488" s="6"/>
      <c r="I488" s="6"/>
      <c r="J488" s="6"/>
      <c r="K488" s="51"/>
      <c r="L488" s="51"/>
      <c r="M488" s="51"/>
      <c r="N488" s="51"/>
      <c r="O488" s="51"/>
      <c r="P488" s="51"/>
      <c r="Q488" s="51"/>
      <c r="R488" s="51"/>
      <c r="S488" s="51"/>
      <c r="T488" s="51"/>
      <c r="U488" s="51"/>
      <c r="V488" s="51"/>
      <c r="W488" s="51"/>
      <c r="X488" s="51"/>
      <c r="Y488" s="51"/>
      <c r="Z488" s="51"/>
      <c r="AA488" s="51"/>
      <c r="AB488" s="51"/>
    </row>
    <row r="489" customFormat="false" ht="15.75" hidden="false" customHeight="false" outlineLevel="0" collapsed="false">
      <c r="A489" s="51"/>
      <c r="B489" s="51"/>
      <c r="C489" s="6"/>
      <c r="D489" s="49"/>
      <c r="E489" s="51"/>
      <c r="F489" s="6"/>
      <c r="G489" s="6"/>
      <c r="H489" s="6"/>
      <c r="I489" s="6"/>
      <c r="J489" s="6"/>
      <c r="K489" s="51"/>
      <c r="L489" s="51"/>
      <c r="M489" s="51"/>
      <c r="N489" s="51"/>
      <c r="O489" s="51"/>
      <c r="P489" s="51"/>
      <c r="Q489" s="51"/>
      <c r="R489" s="51"/>
      <c r="S489" s="51"/>
      <c r="T489" s="51"/>
      <c r="U489" s="51"/>
      <c r="V489" s="51"/>
      <c r="W489" s="51"/>
      <c r="X489" s="51"/>
      <c r="Y489" s="51"/>
      <c r="Z489" s="51"/>
      <c r="AA489" s="51"/>
      <c r="AB489" s="51"/>
    </row>
    <row r="490" customFormat="false" ht="15.75" hidden="false" customHeight="false" outlineLevel="0" collapsed="false">
      <c r="A490" s="51"/>
      <c r="B490" s="51"/>
      <c r="C490" s="6"/>
      <c r="D490" s="49"/>
      <c r="E490" s="51"/>
      <c r="F490" s="6"/>
      <c r="G490" s="6"/>
      <c r="H490" s="6"/>
      <c r="I490" s="6"/>
      <c r="J490" s="6"/>
      <c r="K490" s="51"/>
      <c r="L490" s="51"/>
      <c r="M490" s="51"/>
      <c r="N490" s="51"/>
      <c r="O490" s="51"/>
      <c r="P490" s="51"/>
      <c r="Q490" s="51"/>
      <c r="R490" s="51"/>
      <c r="S490" s="51"/>
      <c r="T490" s="51"/>
      <c r="U490" s="51"/>
      <c r="V490" s="51"/>
      <c r="W490" s="51"/>
      <c r="X490" s="51"/>
      <c r="Y490" s="51"/>
      <c r="Z490" s="51"/>
      <c r="AA490" s="51"/>
      <c r="AB490" s="51"/>
    </row>
    <row r="491" customFormat="false" ht="15.75" hidden="false" customHeight="false" outlineLevel="0" collapsed="false">
      <c r="A491" s="51"/>
      <c r="B491" s="51"/>
      <c r="C491" s="6"/>
      <c r="D491" s="49"/>
      <c r="E491" s="51"/>
      <c r="F491" s="6"/>
      <c r="G491" s="6"/>
      <c r="H491" s="6"/>
      <c r="I491" s="6"/>
      <c r="J491" s="6"/>
      <c r="K491" s="51"/>
      <c r="L491" s="51"/>
      <c r="M491" s="51"/>
      <c r="N491" s="51"/>
      <c r="O491" s="51"/>
      <c r="P491" s="51"/>
      <c r="Q491" s="51"/>
      <c r="R491" s="51"/>
      <c r="S491" s="51"/>
      <c r="T491" s="51"/>
      <c r="U491" s="51"/>
      <c r="V491" s="51"/>
      <c r="W491" s="51"/>
      <c r="X491" s="51"/>
      <c r="Y491" s="51"/>
      <c r="Z491" s="51"/>
      <c r="AA491" s="51"/>
      <c r="AB491" s="51"/>
    </row>
    <row r="492" customFormat="false" ht="15.75" hidden="false" customHeight="false" outlineLevel="0" collapsed="false">
      <c r="A492" s="51"/>
      <c r="B492" s="51"/>
      <c r="C492" s="6"/>
      <c r="D492" s="49"/>
      <c r="E492" s="51"/>
      <c r="F492" s="6"/>
      <c r="G492" s="6"/>
      <c r="H492" s="6"/>
      <c r="I492" s="6"/>
      <c r="J492" s="6"/>
      <c r="K492" s="51"/>
      <c r="L492" s="51"/>
      <c r="M492" s="51"/>
      <c r="N492" s="51"/>
      <c r="O492" s="51"/>
      <c r="P492" s="51"/>
      <c r="Q492" s="51"/>
      <c r="R492" s="51"/>
      <c r="S492" s="51"/>
      <c r="T492" s="51"/>
      <c r="U492" s="51"/>
      <c r="V492" s="51"/>
      <c r="W492" s="51"/>
      <c r="X492" s="51"/>
      <c r="Y492" s="51"/>
      <c r="Z492" s="51"/>
      <c r="AA492" s="51"/>
      <c r="AB492" s="51"/>
    </row>
    <row r="493" customFormat="false" ht="15.75" hidden="false" customHeight="false" outlineLevel="0" collapsed="false">
      <c r="A493" s="51"/>
      <c r="B493" s="51"/>
      <c r="C493" s="6"/>
      <c r="D493" s="49"/>
      <c r="E493" s="51"/>
      <c r="F493" s="6"/>
      <c r="G493" s="6"/>
      <c r="H493" s="6"/>
      <c r="I493" s="6"/>
      <c r="J493" s="6"/>
      <c r="K493" s="51"/>
      <c r="L493" s="51"/>
      <c r="M493" s="51"/>
      <c r="N493" s="51"/>
      <c r="O493" s="51"/>
      <c r="P493" s="51"/>
      <c r="Q493" s="51"/>
      <c r="R493" s="51"/>
      <c r="S493" s="51"/>
      <c r="T493" s="51"/>
      <c r="U493" s="51"/>
      <c r="V493" s="51"/>
      <c r="W493" s="51"/>
      <c r="X493" s="51"/>
      <c r="Y493" s="51"/>
      <c r="Z493" s="51"/>
      <c r="AA493" s="51"/>
      <c r="AB493" s="51"/>
    </row>
    <row r="494" customFormat="false" ht="15.75" hidden="false" customHeight="false" outlineLevel="0" collapsed="false">
      <c r="A494" s="51"/>
      <c r="B494" s="51"/>
      <c r="C494" s="6"/>
      <c r="D494" s="49"/>
      <c r="E494" s="51"/>
      <c r="F494" s="6"/>
      <c r="G494" s="6"/>
      <c r="H494" s="6"/>
      <c r="I494" s="6"/>
      <c r="J494" s="6"/>
      <c r="K494" s="51"/>
      <c r="L494" s="51"/>
      <c r="M494" s="51"/>
      <c r="N494" s="51"/>
      <c r="O494" s="51"/>
      <c r="P494" s="51"/>
      <c r="Q494" s="51"/>
      <c r="R494" s="51"/>
      <c r="S494" s="51"/>
      <c r="T494" s="51"/>
      <c r="U494" s="51"/>
      <c r="V494" s="51"/>
      <c r="W494" s="51"/>
      <c r="X494" s="51"/>
      <c r="Y494" s="51"/>
      <c r="Z494" s="51"/>
      <c r="AA494" s="51"/>
      <c r="AB494" s="51"/>
    </row>
    <row r="495" customFormat="false" ht="15.75" hidden="false" customHeight="false" outlineLevel="0" collapsed="false">
      <c r="A495" s="51"/>
      <c r="B495" s="51"/>
      <c r="C495" s="6"/>
      <c r="D495" s="49"/>
      <c r="E495" s="51"/>
      <c r="F495" s="6"/>
      <c r="G495" s="6"/>
      <c r="H495" s="6"/>
      <c r="I495" s="6"/>
      <c r="J495" s="6"/>
      <c r="K495" s="51"/>
      <c r="L495" s="51"/>
      <c r="M495" s="51"/>
      <c r="N495" s="51"/>
      <c r="O495" s="51"/>
      <c r="P495" s="51"/>
      <c r="Q495" s="51"/>
      <c r="R495" s="51"/>
      <c r="S495" s="51"/>
      <c r="T495" s="51"/>
      <c r="U495" s="51"/>
      <c r="V495" s="51"/>
      <c r="W495" s="51"/>
      <c r="X495" s="51"/>
      <c r="Y495" s="51"/>
      <c r="Z495" s="51"/>
      <c r="AA495" s="51"/>
      <c r="AB495" s="51"/>
    </row>
    <row r="496" customFormat="false" ht="15.75" hidden="false" customHeight="false" outlineLevel="0" collapsed="false">
      <c r="A496" s="51"/>
      <c r="B496" s="51"/>
      <c r="C496" s="6"/>
      <c r="D496" s="49"/>
      <c r="E496" s="51"/>
      <c r="F496" s="6"/>
      <c r="G496" s="6"/>
      <c r="H496" s="6"/>
      <c r="I496" s="6"/>
      <c r="J496" s="6"/>
      <c r="K496" s="51"/>
      <c r="L496" s="51"/>
      <c r="M496" s="51"/>
      <c r="N496" s="51"/>
      <c r="O496" s="51"/>
      <c r="P496" s="51"/>
      <c r="Q496" s="51"/>
      <c r="R496" s="51"/>
      <c r="S496" s="51"/>
      <c r="T496" s="51"/>
      <c r="U496" s="51"/>
      <c r="V496" s="51"/>
      <c r="W496" s="51"/>
      <c r="X496" s="51"/>
      <c r="Y496" s="51"/>
      <c r="Z496" s="51"/>
      <c r="AA496" s="51"/>
      <c r="AB496" s="51"/>
    </row>
    <row r="497" customFormat="false" ht="15.75" hidden="false" customHeight="false" outlineLevel="0" collapsed="false">
      <c r="A497" s="51"/>
      <c r="B497" s="51"/>
      <c r="C497" s="6"/>
      <c r="D497" s="49"/>
      <c r="E497" s="51"/>
      <c r="F497" s="6"/>
      <c r="G497" s="6"/>
      <c r="H497" s="6"/>
      <c r="I497" s="6"/>
      <c r="J497" s="6"/>
      <c r="K497" s="51"/>
      <c r="L497" s="51"/>
      <c r="M497" s="51"/>
      <c r="N497" s="51"/>
      <c r="O497" s="51"/>
      <c r="P497" s="51"/>
      <c r="Q497" s="51"/>
      <c r="R497" s="51"/>
      <c r="S497" s="51"/>
      <c r="T497" s="51"/>
      <c r="U497" s="51"/>
      <c r="V497" s="51"/>
      <c r="W497" s="51"/>
      <c r="X497" s="51"/>
      <c r="Y497" s="51"/>
      <c r="Z497" s="51"/>
      <c r="AA497" s="51"/>
      <c r="AB497" s="51"/>
    </row>
    <row r="498" customFormat="false" ht="15.75" hidden="false" customHeight="false" outlineLevel="0" collapsed="false">
      <c r="A498" s="51"/>
      <c r="B498" s="51"/>
      <c r="C498" s="6"/>
      <c r="D498" s="49"/>
      <c r="E498" s="51"/>
      <c r="F498" s="6"/>
      <c r="G498" s="6"/>
      <c r="H498" s="6"/>
      <c r="I498" s="6"/>
      <c r="J498" s="6"/>
      <c r="K498" s="51"/>
      <c r="L498" s="51"/>
      <c r="M498" s="51"/>
      <c r="N498" s="51"/>
      <c r="O498" s="51"/>
      <c r="P498" s="51"/>
      <c r="Q498" s="51"/>
      <c r="R498" s="51"/>
      <c r="S498" s="51"/>
      <c r="T498" s="51"/>
      <c r="U498" s="51"/>
      <c r="V498" s="51"/>
      <c r="W498" s="51"/>
      <c r="X498" s="51"/>
      <c r="Y498" s="51"/>
      <c r="Z498" s="51"/>
      <c r="AA498" s="51"/>
      <c r="AB498" s="51"/>
    </row>
    <row r="499" customFormat="false" ht="15.75" hidden="false" customHeight="false" outlineLevel="0" collapsed="false">
      <c r="A499" s="51"/>
      <c r="B499" s="51"/>
      <c r="C499" s="6"/>
      <c r="D499" s="49"/>
      <c r="E499" s="51"/>
      <c r="F499" s="6"/>
      <c r="G499" s="6"/>
      <c r="H499" s="6"/>
      <c r="I499" s="6"/>
      <c r="J499" s="6"/>
      <c r="K499" s="51"/>
      <c r="L499" s="51"/>
      <c r="M499" s="51"/>
      <c r="N499" s="51"/>
      <c r="O499" s="51"/>
      <c r="P499" s="51"/>
      <c r="Q499" s="51"/>
      <c r="R499" s="51"/>
      <c r="S499" s="51"/>
      <c r="T499" s="51"/>
      <c r="U499" s="51"/>
      <c r="V499" s="51"/>
      <c r="W499" s="51"/>
      <c r="X499" s="51"/>
      <c r="Y499" s="51"/>
      <c r="Z499" s="51"/>
      <c r="AA499" s="51"/>
      <c r="AB499" s="51"/>
    </row>
    <row r="500" customFormat="false" ht="15.75" hidden="false" customHeight="false" outlineLevel="0" collapsed="false">
      <c r="A500" s="51"/>
      <c r="B500" s="51"/>
      <c r="C500" s="6"/>
      <c r="D500" s="49"/>
      <c r="E500" s="51"/>
      <c r="F500" s="6"/>
      <c r="G500" s="6"/>
      <c r="H500" s="6"/>
      <c r="I500" s="6"/>
      <c r="J500" s="6"/>
      <c r="K500" s="51"/>
      <c r="L500" s="51"/>
      <c r="M500" s="51"/>
      <c r="N500" s="51"/>
      <c r="O500" s="51"/>
      <c r="P500" s="51"/>
      <c r="Q500" s="51"/>
      <c r="R500" s="51"/>
      <c r="S500" s="51"/>
      <c r="T500" s="51"/>
      <c r="U500" s="51"/>
      <c r="V500" s="51"/>
      <c r="W500" s="51"/>
      <c r="X500" s="51"/>
      <c r="Y500" s="51"/>
      <c r="Z500" s="51"/>
      <c r="AA500" s="51"/>
      <c r="AB500" s="51"/>
    </row>
    <row r="501" customFormat="false" ht="15.75" hidden="false" customHeight="false" outlineLevel="0" collapsed="false">
      <c r="A501" s="51"/>
      <c r="B501" s="51"/>
      <c r="C501" s="6"/>
      <c r="D501" s="49"/>
      <c r="E501" s="51"/>
      <c r="F501" s="6"/>
      <c r="G501" s="6"/>
      <c r="H501" s="6"/>
      <c r="I501" s="6"/>
      <c r="J501" s="6"/>
      <c r="K501" s="51"/>
      <c r="L501" s="51"/>
      <c r="M501" s="51"/>
      <c r="N501" s="51"/>
      <c r="O501" s="51"/>
      <c r="P501" s="51"/>
      <c r="Q501" s="51"/>
      <c r="R501" s="51"/>
      <c r="S501" s="51"/>
      <c r="T501" s="51"/>
      <c r="U501" s="51"/>
      <c r="V501" s="51"/>
      <c r="W501" s="51"/>
      <c r="X501" s="51"/>
      <c r="Y501" s="51"/>
      <c r="Z501" s="51"/>
      <c r="AA501" s="51"/>
      <c r="AB501" s="51"/>
    </row>
    <row r="502" customFormat="false" ht="15.75" hidden="false" customHeight="false" outlineLevel="0" collapsed="false">
      <c r="A502" s="51"/>
      <c r="B502" s="51"/>
      <c r="C502" s="6"/>
      <c r="D502" s="49"/>
      <c r="E502" s="51"/>
      <c r="F502" s="6"/>
      <c r="G502" s="6"/>
      <c r="H502" s="6"/>
      <c r="I502" s="6"/>
      <c r="J502" s="6"/>
      <c r="K502" s="51"/>
      <c r="L502" s="51"/>
      <c r="M502" s="51"/>
      <c r="N502" s="51"/>
      <c r="O502" s="51"/>
      <c r="P502" s="51"/>
      <c r="Q502" s="51"/>
      <c r="R502" s="51"/>
      <c r="S502" s="51"/>
      <c r="T502" s="51"/>
      <c r="U502" s="51"/>
      <c r="V502" s="51"/>
      <c r="W502" s="51"/>
      <c r="X502" s="51"/>
      <c r="Y502" s="51"/>
      <c r="Z502" s="51"/>
      <c r="AA502" s="51"/>
      <c r="AB502" s="51"/>
    </row>
    <row r="503" customFormat="false" ht="15.75" hidden="false" customHeight="false" outlineLevel="0" collapsed="false">
      <c r="A503" s="51"/>
      <c r="B503" s="51"/>
      <c r="C503" s="6"/>
      <c r="D503" s="49"/>
      <c r="E503" s="51"/>
      <c r="F503" s="6"/>
      <c r="G503" s="6"/>
      <c r="H503" s="6"/>
      <c r="I503" s="6"/>
      <c r="J503" s="6"/>
      <c r="K503" s="51"/>
      <c r="L503" s="51"/>
      <c r="M503" s="51"/>
      <c r="N503" s="51"/>
      <c r="O503" s="51"/>
      <c r="P503" s="51"/>
      <c r="Q503" s="51"/>
      <c r="R503" s="51"/>
      <c r="S503" s="51"/>
      <c r="T503" s="51"/>
      <c r="U503" s="51"/>
      <c r="V503" s="51"/>
      <c r="W503" s="51"/>
      <c r="X503" s="51"/>
      <c r="Y503" s="51"/>
      <c r="Z503" s="51"/>
      <c r="AA503" s="51"/>
      <c r="AB503" s="51"/>
    </row>
    <row r="504" customFormat="false" ht="15.75" hidden="false" customHeight="false" outlineLevel="0" collapsed="false">
      <c r="A504" s="51"/>
      <c r="B504" s="51"/>
      <c r="C504" s="6"/>
      <c r="D504" s="49"/>
      <c r="E504" s="51"/>
      <c r="F504" s="6"/>
      <c r="G504" s="6"/>
      <c r="H504" s="6"/>
      <c r="I504" s="6"/>
      <c r="J504" s="6"/>
      <c r="K504" s="51"/>
      <c r="L504" s="51"/>
      <c r="M504" s="51"/>
      <c r="N504" s="51"/>
      <c r="O504" s="51"/>
      <c r="P504" s="51"/>
      <c r="Q504" s="51"/>
      <c r="R504" s="51"/>
      <c r="S504" s="51"/>
      <c r="T504" s="51"/>
      <c r="U504" s="51"/>
      <c r="V504" s="51"/>
      <c r="W504" s="51"/>
      <c r="X504" s="51"/>
      <c r="Y504" s="51"/>
      <c r="Z504" s="51"/>
      <c r="AA504" s="51"/>
      <c r="AB504" s="51"/>
    </row>
    <row r="505" customFormat="false" ht="15.75" hidden="false" customHeight="false" outlineLevel="0" collapsed="false">
      <c r="A505" s="51"/>
      <c r="B505" s="51"/>
      <c r="C505" s="6"/>
      <c r="D505" s="49"/>
      <c r="E505" s="51"/>
      <c r="F505" s="6"/>
      <c r="G505" s="6"/>
      <c r="H505" s="6"/>
      <c r="I505" s="6"/>
      <c r="J505" s="6"/>
      <c r="K505" s="51"/>
      <c r="L505" s="51"/>
      <c r="M505" s="51"/>
      <c r="N505" s="51"/>
      <c r="O505" s="51"/>
      <c r="P505" s="51"/>
      <c r="Q505" s="51"/>
      <c r="R505" s="51"/>
      <c r="S505" s="51"/>
      <c r="T505" s="51"/>
      <c r="U505" s="51"/>
      <c r="V505" s="51"/>
      <c r="W505" s="51"/>
      <c r="X505" s="51"/>
      <c r="Y505" s="51"/>
      <c r="Z505" s="51"/>
      <c r="AA505" s="51"/>
      <c r="AB505" s="51"/>
    </row>
    <row r="506" customFormat="false" ht="15.75" hidden="false" customHeight="false" outlineLevel="0" collapsed="false">
      <c r="A506" s="51"/>
      <c r="B506" s="51"/>
      <c r="C506" s="6"/>
      <c r="D506" s="49"/>
      <c r="E506" s="51"/>
      <c r="F506" s="6"/>
      <c r="G506" s="6"/>
      <c r="H506" s="6"/>
      <c r="I506" s="6"/>
      <c r="J506" s="6"/>
      <c r="K506" s="51"/>
      <c r="L506" s="51"/>
      <c r="M506" s="51"/>
      <c r="N506" s="51"/>
      <c r="O506" s="51"/>
      <c r="P506" s="51"/>
      <c r="Q506" s="51"/>
      <c r="R506" s="51"/>
      <c r="S506" s="51"/>
      <c r="T506" s="51"/>
      <c r="U506" s="51"/>
      <c r="V506" s="51"/>
      <c r="W506" s="51"/>
      <c r="X506" s="51"/>
      <c r="Y506" s="51"/>
      <c r="Z506" s="51"/>
      <c r="AA506" s="51"/>
      <c r="AB506" s="51"/>
    </row>
    <row r="507" customFormat="false" ht="15.75" hidden="false" customHeight="false" outlineLevel="0" collapsed="false">
      <c r="A507" s="51"/>
      <c r="B507" s="51"/>
      <c r="C507" s="6"/>
      <c r="D507" s="49"/>
      <c r="E507" s="51"/>
      <c r="F507" s="6"/>
      <c r="G507" s="6"/>
      <c r="H507" s="6"/>
      <c r="I507" s="6"/>
      <c r="J507" s="6"/>
      <c r="K507" s="51"/>
      <c r="L507" s="51"/>
      <c r="M507" s="51"/>
      <c r="N507" s="51"/>
      <c r="O507" s="51"/>
      <c r="P507" s="51"/>
      <c r="Q507" s="51"/>
      <c r="R507" s="51"/>
      <c r="S507" s="51"/>
      <c r="T507" s="51"/>
      <c r="U507" s="51"/>
      <c r="V507" s="51"/>
      <c r="W507" s="51"/>
      <c r="X507" s="51"/>
      <c r="Y507" s="51"/>
      <c r="Z507" s="51"/>
      <c r="AA507" s="51"/>
      <c r="AB507" s="51"/>
    </row>
    <row r="508" customFormat="false" ht="15.75" hidden="false" customHeight="false" outlineLevel="0" collapsed="false">
      <c r="A508" s="51"/>
      <c r="B508" s="51"/>
      <c r="C508" s="6"/>
      <c r="D508" s="49"/>
      <c r="E508" s="51"/>
      <c r="F508" s="6"/>
      <c r="G508" s="6"/>
      <c r="H508" s="6"/>
      <c r="I508" s="6"/>
      <c r="J508" s="6"/>
      <c r="K508" s="51"/>
      <c r="L508" s="51"/>
      <c r="M508" s="51"/>
      <c r="N508" s="51"/>
      <c r="O508" s="51"/>
      <c r="P508" s="51"/>
      <c r="Q508" s="51"/>
      <c r="R508" s="51"/>
      <c r="S508" s="51"/>
      <c r="T508" s="51"/>
      <c r="U508" s="51"/>
      <c r="V508" s="51"/>
      <c r="W508" s="51"/>
      <c r="X508" s="51"/>
      <c r="Y508" s="51"/>
      <c r="Z508" s="51"/>
      <c r="AA508" s="51"/>
      <c r="AB508" s="51"/>
    </row>
    <row r="509" customFormat="false" ht="15.75" hidden="false" customHeight="false" outlineLevel="0" collapsed="false">
      <c r="A509" s="51"/>
      <c r="B509" s="51"/>
      <c r="C509" s="6"/>
      <c r="D509" s="49"/>
      <c r="E509" s="51"/>
      <c r="F509" s="6"/>
      <c r="G509" s="6"/>
      <c r="H509" s="6"/>
      <c r="I509" s="6"/>
      <c r="J509" s="6"/>
      <c r="K509" s="51"/>
      <c r="L509" s="51"/>
      <c r="M509" s="51"/>
      <c r="N509" s="51"/>
      <c r="O509" s="51"/>
      <c r="P509" s="51"/>
      <c r="Q509" s="51"/>
      <c r="R509" s="51"/>
      <c r="S509" s="51"/>
      <c r="T509" s="51"/>
      <c r="U509" s="51"/>
      <c r="V509" s="51"/>
      <c r="W509" s="51"/>
      <c r="X509" s="51"/>
      <c r="Y509" s="51"/>
      <c r="Z509" s="51"/>
      <c r="AA509" s="51"/>
      <c r="AB509" s="51"/>
    </row>
    <row r="510" customFormat="false" ht="15.75" hidden="false" customHeight="false" outlineLevel="0" collapsed="false">
      <c r="A510" s="51"/>
      <c r="B510" s="51"/>
      <c r="C510" s="6"/>
      <c r="D510" s="49"/>
      <c r="E510" s="51"/>
      <c r="F510" s="6"/>
      <c r="G510" s="6"/>
      <c r="H510" s="6"/>
      <c r="I510" s="6"/>
      <c r="J510" s="6"/>
      <c r="K510" s="51"/>
      <c r="L510" s="51"/>
      <c r="M510" s="51"/>
      <c r="N510" s="51"/>
      <c r="O510" s="51"/>
      <c r="P510" s="51"/>
      <c r="Q510" s="51"/>
      <c r="R510" s="51"/>
      <c r="S510" s="51"/>
      <c r="T510" s="51"/>
      <c r="U510" s="51"/>
      <c r="V510" s="51"/>
      <c r="W510" s="51"/>
      <c r="X510" s="51"/>
      <c r="Y510" s="51"/>
      <c r="Z510" s="51"/>
      <c r="AA510" s="51"/>
      <c r="AB510" s="51"/>
    </row>
    <row r="511" customFormat="false" ht="15.75" hidden="false" customHeight="false" outlineLevel="0" collapsed="false">
      <c r="A511" s="51"/>
      <c r="B511" s="51"/>
      <c r="C511" s="6"/>
      <c r="D511" s="49"/>
      <c r="E511" s="51"/>
      <c r="F511" s="6"/>
      <c r="G511" s="6"/>
      <c r="H511" s="6"/>
      <c r="I511" s="6"/>
      <c r="J511" s="6"/>
      <c r="K511" s="51"/>
      <c r="L511" s="51"/>
      <c r="M511" s="51"/>
      <c r="N511" s="51"/>
      <c r="O511" s="51"/>
      <c r="P511" s="51"/>
      <c r="Q511" s="51"/>
      <c r="R511" s="51"/>
      <c r="S511" s="51"/>
      <c r="T511" s="51"/>
      <c r="U511" s="51"/>
      <c r="V511" s="51"/>
      <c r="W511" s="51"/>
      <c r="X511" s="51"/>
      <c r="Y511" s="51"/>
      <c r="Z511" s="51"/>
      <c r="AA511" s="51"/>
      <c r="AB511" s="51"/>
    </row>
    <row r="512" customFormat="false" ht="15.75" hidden="false" customHeight="false" outlineLevel="0" collapsed="false">
      <c r="A512" s="51"/>
      <c r="B512" s="51"/>
      <c r="C512" s="6"/>
      <c r="D512" s="49"/>
      <c r="E512" s="51"/>
      <c r="F512" s="6"/>
      <c r="G512" s="6"/>
      <c r="H512" s="6"/>
      <c r="I512" s="6"/>
      <c r="J512" s="6"/>
      <c r="K512" s="51"/>
      <c r="L512" s="51"/>
      <c r="M512" s="51"/>
      <c r="N512" s="51"/>
      <c r="O512" s="51"/>
      <c r="P512" s="51"/>
      <c r="Q512" s="51"/>
      <c r="R512" s="51"/>
      <c r="S512" s="51"/>
      <c r="T512" s="51"/>
      <c r="U512" s="51"/>
      <c r="V512" s="51"/>
      <c r="W512" s="51"/>
      <c r="X512" s="51"/>
      <c r="Y512" s="51"/>
      <c r="Z512" s="51"/>
      <c r="AA512" s="51"/>
      <c r="AB512" s="51"/>
    </row>
    <row r="513" customFormat="false" ht="15.75" hidden="false" customHeight="false" outlineLevel="0" collapsed="false">
      <c r="A513" s="51"/>
      <c r="B513" s="51"/>
      <c r="C513" s="6"/>
      <c r="D513" s="49"/>
      <c r="E513" s="51"/>
      <c r="F513" s="6"/>
      <c r="G513" s="6"/>
      <c r="H513" s="6"/>
      <c r="I513" s="6"/>
      <c r="J513" s="6"/>
      <c r="K513" s="51"/>
      <c r="L513" s="51"/>
      <c r="M513" s="51"/>
      <c r="N513" s="51"/>
      <c r="O513" s="51"/>
      <c r="P513" s="51"/>
      <c r="Q513" s="51"/>
      <c r="R513" s="51"/>
      <c r="S513" s="51"/>
      <c r="T513" s="51"/>
      <c r="U513" s="51"/>
      <c r="V513" s="51"/>
      <c r="W513" s="51"/>
      <c r="X513" s="51"/>
      <c r="Y513" s="51"/>
      <c r="Z513" s="51"/>
      <c r="AA513" s="51"/>
      <c r="AB513" s="51"/>
    </row>
    <row r="514" customFormat="false" ht="15.75" hidden="false" customHeight="false" outlineLevel="0" collapsed="false">
      <c r="A514" s="51"/>
      <c r="B514" s="51"/>
      <c r="C514" s="6"/>
      <c r="D514" s="49"/>
      <c r="E514" s="51"/>
      <c r="F514" s="6"/>
      <c r="G514" s="6"/>
      <c r="H514" s="6"/>
      <c r="I514" s="6"/>
      <c r="J514" s="6"/>
      <c r="K514" s="51"/>
      <c r="L514" s="51"/>
      <c r="M514" s="51"/>
      <c r="N514" s="51"/>
      <c r="O514" s="51"/>
      <c r="P514" s="51"/>
      <c r="Q514" s="51"/>
      <c r="R514" s="51"/>
      <c r="S514" s="51"/>
      <c r="T514" s="51"/>
      <c r="U514" s="51"/>
      <c r="V514" s="51"/>
      <c r="W514" s="51"/>
      <c r="X514" s="51"/>
      <c r="Y514" s="51"/>
      <c r="Z514" s="51"/>
      <c r="AA514" s="51"/>
      <c r="AB514" s="51"/>
    </row>
    <row r="515" customFormat="false" ht="15.75" hidden="false" customHeight="false" outlineLevel="0" collapsed="false">
      <c r="A515" s="51"/>
      <c r="B515" s="51"/>
      <c r="C515" s="6"/>
      <c r="D515" s="49"/>
      <c r="E515" s="51"/>
      <c r="F515" s="6"/>
      <c r="G515" s="6"/>
      <c r="H515" s="6"/>
      <c r="I515" s="6"/>
      <c r="J515" s="6"/>
      <c r="K515" s="51"/>
      <c r="L515" s="51"/>
      <c r="M515" s="51"/>
      <c r="N515" s="51"/>
      <c r="O515" s="51"/>
      <c r="P515" s="51"/>
      <c r="Q515" s="51"/>
      <c r="R515" s="51"/>
      <c r="S515" s="51"/>
      <c r="T515" s="51"/>
      <c r="U515" s="51"/>
      <c r="V515" s="51"/>
      <c r="W515" s="51"/>
      <c r="X515" s="51"/>
      <c r="Y515" s="51"/>
      <c r="Z515" s="51"/>
      <c r="AA515" s="51"/>
      <c r="AB515" s="51"/>
    </row>
    <row r="516" customFormat="false" ht="15.75" hidden="false" customHeight="false" outlineLevel="0" collapsed="false">
      <c r="A516" s="51"/>
      <c r="B516" s="51"/>
      <c r="C516" s="6"/>
      <c r="D516" s="49"/>
      <c r="E516" s="51"/>
      <c r="F516" s="6"/>
      <c r="G516" s="6"/>
      <c r="H516" s="6"/>
      <c r="I516" s="6"/>
      <c r="J516" s="6"/>
      <c r="K516" s="51"/>
      <c r="L516" s="51"/>
      <c r="M516" s="51"/>
      <c r="N516" s="51"/>
      <c r="O516" s="51"/>
      <c r="P516" s="51"/>
      <c r="Q516" s="51"/>
      <c r="R516" s="51"/>
      <c r="S516" s="51"/>
      <c r="T516" s="51"/>
      <c r="U516" s="51"/>
      <c r="V516" s="51"/>
      <c r="W516" s="51"/>
      <c r="X516" s="51"/>
      <c r="Y516" s="51"/>
      <c r="Z516" s="51"/>
      <c r="AA516" s="51"/>
      <c r="AB516" s="51"/>
    </row>
    <row r="517" customFormat="false" ht="15.75" hidden="false" customHeight="false" outlineLevel="0" collapsed="false">
      <c r="A517" s="51"/>
      <c r="B517" s="51"/>
      <c r="C517" s="6"/>
      <c r="D517" s="49"/>
      <c r="E517" s="51"/>
      <c r="F517" s="6"/>
      <c r="G517" s="6"/>
      <c r="H517" s="6"/>
      <c r="I517" s="6"/>
      <c r="J517" s="6"/>
      <c r="K517" s="51"/>
      <c r="L517" s="51"/>
      <c r="M517" s="51"/>
      <c r="N517" s="51"/>
      <c r="O517" s="51"/>
      <c r="P517" s="51"/>
      <c r="Q517" s="51"/>
      <c r="R517" s="51"/>
      <c r="S517" s="51"/>
      <c r="T517" s="51"/>
      <c r="U517" s="51"/>
      <c r="V517" s="51"/>
      <c r="W517" s="51"/>
      <c r="X517" s="51"/>
      <c r="Y517" s="51"/>
      <c r="Z517" s="51"/>
      <c r="AA517" s="51"/>
      <c r="AB517" s="51"/>
    </row>
    <row r="518" customFormat="false" ht="15.75" hidden="false" customHeight="false" outlineLevel="0" collapsed="false">
      <c r="A518" s="51"/>
      <c r="B518" s="51"/>
      <c r="C518" s="6"/>
      <c r="D518" s="49"/>
      <c r="E518" s="51"/>
      <c r="F518" s="6"/>
      <c r="G518" s="6"/>
      <c r="H518" s="6"/>
      <c r="I518" s="6"/>
      <c r="J518" s="6"/>
      <c r="K518" s="51"/>
      <c r="L518" s="51"/>
      <c r="M518" s="51"/>
      <c r="N518" s="51"/>
      <c r="O518" s="51"/>
      <c r="P518" s="51"/>
      <c r="Q518" s="51"/>
      <c r="R518" s="51"/>
      <c r="S518" s="51"/>
      <c r="T518" s="51"/>
      <c r="U518" s="51"/>
      <c r="V518" s="51"/>
      <c r="W518" s="51"/>
      <c r="X518" s="51"/>
      <c r="Y518" s="51"/>
      <c r="Z518" s="51"/>
      <c r="AA518" s="51"/>
      <c r="AB518" s="51"/>
    </row>
    <row r="519" customFormat="false" ht="15.75" hidden="false" customHeight="false" outlineLevel="0" collapsed="false">
      <c r="A519" s="51"/>
      <c r="B519" s="51"/>
      <c r="C519" s="6"/>
      <c r="D519" s="49"/>
      <c r="E519" s="51"/>
      <c r="F519" s="6"/>
      <c r="G519" s="6"/>
      <c r="H519" s="6"/>
      <c r="I519" s="6"/>
      <c r="J519" s="6"/>
      <c r="K519" s="51"/>
      <c r="L519" s="51"/>
      <c r="M519" s="51"/>
      <c r="N519" s="51"/>
      <c r="O519" s="51"/>
      <c r="P519" s="51"/>
      <c r="Q519" s="51"/>
      <c r="R519" s="51"/>
      <c r="S519" s="51"/>
      <c r="T519" s="51"/>
      <c r="U519" s="51"/>
      <c r="V519" s="51"/>
      <c r="W519" s="51"/>
      <c r="X519" s="51"/>
      <c r="Y519" s="51"/>
      <c r="Z519" s="51"/>
      <c r="AA519" s="51"/>
      <c r="AB519" s="51"/>
    </row>
    <row r="520" customFormat="false" ht="15.75" hidden="false" customHeight="false" outlineLevel="0" collapsed="false">
      <c r="A520" s="51"/>
      <c r="B520" s="51"/>
      <c r="C520" s="6"/>
      <c r="D520" s="49"/>
      <c r="E520" s="51"/>
      <c r="F520" s="6"/>
      <c r="G520" s="6"/>
      <c r="H520" s="6"/>
      <c r="I520" s="6"/>
      <c r="J520" s="6"/>
      <c r="K520" s="51"/>
      <c r="L520" s="51"/>
      <c r="M520" s="51"/>
      <c r="N520" s="51"/>
      <c r="O520" s="51"/>
      <c r="P520" s="51"/>
      <c r="Q520" s="51"/>
      <c r="R520" s="51"/>
      <c r="S520" s="51"/>
      <c r="T520" s="51"/>
      <c r="U520" s="51"/>
      <c r="V520" s="51"/>
      <c r="W520" s="51"/>
      <c r="X520" s="51"/>
      <c r="Y520" s="51"/>
      <c r="Z520" s="51"/>
      <c r="AA520" s="51"/>
      <c r="AB520" s="51"/>
    </row>
    <row r="521" customFormat="false" ht="15.75" hidden="false" customHeight="false" outlineLevel="0" collapsed="false">
      <c r="A521" s="51"/>
      <c r="B521" s="51"/>
      <c r="C521" s="6"/>
      <c r="D521" s="49"/>
      <c r="E521" s="51"/>
      <c r="F521" s="6"/>
      <c r="G521" s="6"/>
      <c r="H521" s="6"/>
      <c r="I521" s="6"/>
      <c r="J521" s="6"/>
      <c r="K521" s="51"/>
      <c r="L521" s="51"/>
      <c r="M521" s="51"/>
      <c r="N521" s="51"/>
      <c r="O521" s="51"/>
      <c r="P521" s="51"/>
      <c r="Q521" s="51"/>
      <c r="R521" s="51"/>
      <c r="S521" s="51"/>
      <c r="T521" s="51"/>
      <c r="U521" s="51"/>
      <c r="V521" s="51"/>
      <c r="W521" s="51"/>
      <c r="X521" s="51"/>
      <c r="Y521" s="51"/>
      <c r="Z521" s="51"/>
      <c r="AA521" s="51"/>
      <c r="AB521" s="51"/>
    </row>
    <row r="522" customFormat="false" ht="15.75" hidden="false" customHeight="false" outlineLevel="0" collapsed="false">
      <c r="A522" s="51"/>
      <c r="B522" s="51"/>
      <c r="C522" s="6"/>
      <c r="D522" s="49"/>
      <c r="E522" s="51"/>
      <c r="F522" s="6"/>
      <c r="G522" s="6"/>
      <c r="H522" s="6"/>
      <c r="I522" s="6"/>
      <c r="J522" s="6"/>
      <c r="K522" s="51"/>
      <c r="L522" s="51"/>
      <c r="M522" s="51"/>
      <c r="N522" s="51"/>
      <c r="O522" s="51"/>
      <c r="P522" s="51"/>
      <c r="Q522" s="51"/>
      <c r="R522" s="51"/>
      <c r="S522" s="51"/>
      <c r="T522" s="51"/>
      <c r="U522" s="51"/>
      <c r="V522" s="51"/>
      <c r="W522" s="51"/>
      <c r="X522" s="51"/>
      <c r="Y522" s="51"/>
      <c r="Z522" s="51"/>
      <c r="AA522" s="51"/>
      <c r="AB522" s="51"/>
    </row>
    <row r="523" customFormat="false" ht="15.75" hidden="false" customHeight="false" outlineLevel="0" collapsed="false">
      <c r="A523" s="51"/>
      <c r="B523" s="51"/>
      <c r="C523" s="6"/>
      <c r="D523" s="49"/>
      <c r="E523" s="51"/>
      <c r="F523" s="6"/>
      <c r="G523" s="6"/>
      <c r="H523" s="6"/>
      <c r="I523" s="6"/>
      <c r="J523" s="6"/>
      <c r="K523" s="51"/>
      <c r="L523" s="51"/>
      <c r="M523" s="51"/>
      <c r="N523" s="51"/>
      <c r="O523" s="51"/>
      <c r="P523" s="51"/>
      <c r="Q523" s="51"/>
      <c r="R523" s="51"/>
      <c r="S523" s="51"/>
      <c r="T523" s="51"/>
      <c r="U523" s="51"/>
      <c r="V523" s="51"/>
      <c r="W523" s="51"/>
      <c r="X523" s="51"/>
      <c r="Y523" s="51"/>
      <c r="Z523" s="51"/>
      <c r="AA523" s="51"/>
      <c r="AB523" s="51"/>
    </row>
    <row r="524" customFormat="false" ht="15.75" hidden="false" customHeight="false" outlineLevel="0" collapsed="false">
      <c r="A524" s="51"/>
      <c r="B524" s="51"/>
      <c r="C524" s="6"/>
      <c r="D524" s="49"/>
      <c r="E524" s="51"/>
      <c r="F524" s="6"/>
      <c r="G524" s="6"/>
      <c r="H524" s="6"/>
      <c r="I524" s="6"/>
      <c r="J524" s="6"/>
      <c r="K524" s="51"/>
      <c r="L524" s="51"/>
      <c r="M524" s="51"/>
      <c r="N524" s="51"/>
      <c r="O524" s="51"/>
      <c r="P524" s="51"/>
      <c r="Q524" s="51"/>
      <c r="R524" s="51"/>
      <c r="S524" s="51"/>
      <c r="T524" s="51"/>
      <c r="U524" s="51"/>
      <c r="V524" s="51"/>
      <c r="W524" s="51"/>
      <c r="X524" s="51"/>
      <c r="Y524" s="51"/>
      <c r="Z524" s="51"/>
      <c r="AA524" s="51"/>
      <c r="AB524" s="51"/>
    </row>
    <row r="525" customFormat="false" ht="15.75" hidden="false" customHeight="false" outlineLevel="0" collapsed="false">
      <c r="A525" s="51"/>
      <c r="B525" s="51"/>
      <c r="C525" s="6"/>
      <c r="D525" s="49"/>
      <c r="E525" s="51"/>
      <c r="F525" s="6"/>
      <c r="G525" s="6"/>
      <c r="H525" s="6"/>
      <c r="I525" s="6"/>
      <c r="J525" s="6"/>
      <c r="K525" s="51"/>
      <c r="L525" s="51"/>
      <c r="M525" s="51"/>
      <c r="N525" s="51"/>
      <c r="O525" s="51"/>
      <c r="P525" s="51"/>
      <c r="Q525" s="51"/>
      <c r="R525" s="51"/>
      <c r="S525" s="51"/>
      <c r="T525" s="51"/>
      <c r="U525" s="51"/>
      <c r="V525" s="51"/>
      <c r="W525" s="51"/>
      <c r="X525" s="51"/>
      <c r="Y525" s="51"/>
      <c r="Z525" s="51"/>
      <c r="AA525" s="51"/>
      <c r="AB525" s="51"/>
    </row>
    <row r="526" customFormat="false" ht="15.75" hidden="false" customHeight="false" outlineLevel="0" collapsed="false">
      <c r="A526" s="51"/>
      <c r="B526" s="51"/>
      <c r="C526" s="6"/>
      <c r="D526" s="49"/>
      <c r="E526" s="51"/>
      <c r="F526" s="6"/>
      <c r="G526" s="6"/>
      <c r="H526" s="6"/>
      <c r="I526" s="6"/>
      <c r="J526" s="6"/>
      <c r="K526" s="51"/>
      <c r="L526" s="51"/>
      <c r="M526" s="51"/>
      <c r="N526" s="51"/>
      <c r="O526" s="51"/>
      <c r="P526" s="51"/>
      <c r="Q526" s="51"/>
      <c r="R526" s="51"/>
      <c r="S526" s="51"/>
      <c r="T526" s="51"/>
      <c r="U526" s="51"/>
      <c r="V526" s="51"/>
      <c r="W526" s="51"/>
      <c r="X526" s="51"/>
      <c r="Y526" s="51"/>
      <c r="Z526" s="51"/>
      <c r="AA526" s="51"/>
      <c r="AB526" s="51"/>
    </row>
    <row r="527" customFormat="false" ht="15.75" hidden="false" customHeight="false" outlineLevel="0" collapsed="false">
      <c r="A527" s="51"/>
      <c r="B527" s="51"/>
      <c r="C527" s="6"/>
      <c r="D527" s="49"/>
      <c r="E527" s="51"/>
      <c r="F527" s="6"/>
      <c r="G527" s="6"/>
      <c r="H527" s="6"/>
      <c r="I527" s="6"/>
      <c r="J527" s="6"/>
      <c r="K527" s="51"/>
      <c r="L527" s="51"/>
      <c r="M527" s="51"/>
      <c r="N527" s="51"/>
      <c r="O527" s="51"/>
      <c r="P527" s="51"/>
      <c r="Q527" s="51"/>
      <c r="R527" s="51"/>
      <c r="S527" s="51"/>
      <c r="T527" s="51"/>
      <c r="U527" s="51"/>
      <c r="V527" s="51"/>
      <c r="W527" s="51"/>
      <c r="X527" s="51"/>
      <c r="Y527" s="51"/>
      <c r="Z527" s="51"/>
      <c r="AA527" s="51"/>
      <c r="AB527" s="51"/>
    </row>
    <row r="528" customFormat="false" ht="15.75" hidden="false" customHeight="false" outlineLevel="0" collapsed="false">
      <c r="A528" s="51"/>
      <c r="B528" s="51"/>
      <c r="C528" s="6"/>
      <c r="D528" s="49"/>
      <c r="E528" s="51"/>
      <c r="F528" s="6"/>
      <c r="G528" s="6"/>
      <c r="H528" s="6"/>
      <c r="I528" s="6"/>
      <c r="J528" s="6"/>
      <c r="K528" s="51"/>
      <c r="L528" s="51"/>
      <c r="M528" s="51"/>
      <c r="N528" s="51"/>
      <c r="O528" s="51"/>
      <c r="P528" s="51"/>
      <c r="Q528" s="51"/>
      <c r="R528" s="51"/>
      <c r="S528" s="51"/>
      <c r="T528" s="51"/>
      <c r="U528" s="51"/>
      <c r="V528" s="51"/>
      <c r="W528" s="51"/>
      <c r="X528" s="51"/>
      <c r="Y528" s="51"/>
      <c r="Z528" s="51"/>
      <c r="AA528" s="51"/>
      <c r="AB528" s="51"/>
    </row>
    <row r="529" customFormat="false" ht="15.75" hidden="false" customHeight="false" outlineLevel="0" collapsed="false">
      <c r="A529" s="51"/>
      <c r="B529" s="51"/>
      <c r="C529" s="6"/>
      <c r="D529" s="49"/>
      <c r="E529" s="51"/>
      <c r="F529" s="6"/>
      <c r="G529" s="6"/>
      <c r="H529" s="6"/>
      <c r="I529" s="6"/>
      <c r="J529" s="6"/>
      <c r="K529" s="51"/>
      <c r="L529" s="51"/>
      <c r="M529" s="51"/>
      <c r="N529" s="51"/>
      <c r="O529" s="51"/>
      <c r="P529" s="51"/>
      <c r="Q529" s="51"/>
      <c r="R529" s="51"/>
      <c r="S529" s="51"/>
      <c r="T529" s="51"/>
      <c r="U529" s="51"/>
      <c r="V529" s="51"/>
      <c r="W529" s="51"/>
      <c r="X529" s="51"/>
      <c r="Y529" s="51"/>
      <c r="Z529" s="51"/>
      <c r="AA529" s="51"/>
      <c r="AB529" s="51"/>
    </row>
    <row r="530" customFormat="false" ht="15.75" hidden="false" customHeight="false" outlineLevel="0" collapsed="false">
      <c r="A530" s="51"/>
      <c r="B530" s="51"/>
      <c r="C530" s="6"/>
      <c r="D530" s="49"/>
      <c r="E530" s="51"/>
      <c r="F530" s="6"/>
      <c r="G530" s="6"/>
      <c r="H530" s="6"/>
      <c r="I530" s="6"/>
      <c r="J530" s="6"/>
      <c r="K530" s="51"/>
      <c r="L530" s="51"/>
      <c r="M530" s="51"/>
      <c r="N530" s="51"/>
      <c r="O530" s="51"/>
      <c r="P530" s="51"/>
      <c r="Q530" s="51"/>
      <c r="R530" s="51"/>
      <c r="S530" s="51"/>
      <c r="T530" s="51"/>
      <c r="U530" s="51"/>
      <c r="V530" s="51"/>
      <c r="W530" s="51"/>
      <c r="X530" s="51"/>
      <c r="Y530" s="51"/>
      <c r="Z530" s="51"/>
      <c r="AA530" s="51"/>
      <c r="AB530" s="51"/>
    </row>
    <row r="531" customFormat="false" ht="15.75" hidden="false" customHeight="false" outlineLevel="0" collapsed="false">
      <c r="A531" s="51"/>
      <c r="B531" s="51"/>
      <c r="C531" s="6"/>
      <c r="D531" s="49"/>
      <c r="E531" s="51"/>
      <c r="F531" s="6"/>
      <c r="G531" s="6"/>
      <c r="H531" s="6"/>
      <c r="I531" s="6"/>
      <c r="J531" s="6"/>
      <c r="K531" s="51"/>
      <c r="L531" s="51"/>
      <c r="M531" s="51"/>
      <c r="N531" s="51"/>
      <c r="O531" s="51"/>
      <c r="P531" s="51"/>
      <c r="Q531" s="51"/>
      <c r="R531" s="51"/>
      <c r="S531" s="51"/>
      <c r="T531" s="51"/>
      <c r="U531" s="51"/>
      <c r="V531" s="51"/>
      <c r="W531" s="51"/>
      <c r="X531" s="51"/>
      <c r="Y531" s="51"/>
      <c r="Z531" s="51"/>
      <c r="AA531" s="51"/>
      <c r="AB531" s="51"/>
    </row>
    <row r="532" customFormat="false" ht="15.75" hidden="false" customHeight="false" outlineLevel="0" collapsed="false">
      <c r="A532" s="51"/>
      <c r="B532" s="51"/>
      <c r="C532" s="6"/>
      <c r="D532" s="49"/>
      <c r="E532" s="51"/>
      <c r="F532" s="6"/>
      <c r="G532" s="6"/>
      <c r="H532" s="6"/>
      <c r="I532" s="6"/>
      <c r="J532" s="6"/>
      <c r="K532" s="51"/>
      <c r="L532" s="51"/>
      <c r="M532" s="51"/>
      <c r="N532" s="51"/>
      <c r="O532" s="51"/>
      <c r="P532" s="51"/>
      <c r="Q532" s="51"/>
      <c r="R532" s="51"/>
      <c r="S532" s="51"/>
      <c r="T532" s="51"/>
      <c r="U532" s="51"/>
      <c r="V532" s="51"/>
      <c r="W532" s="51"/>
      <c r="X532" s="51"/>
      <c r="Y532" s="51"/>
      <c r="Z532" s="51"/>
      <c r="AA532" s="51"/>
      <c r="AB532" s="51"/>
    </row>
    <row r="533" customFormat="false" ht="15.75" hidden="false" customHeight="false" outlineLevel="0" collapsed="false">
      <c r="A533" s="51"/>
      <c r="B533" s="51"/>
      <c r="C533" s="6"/>
      <c r="D533" s="49"/>
      <c r="E533" s="51"/>
      <c r="F533" s="6"/>
      <c r="G533" s="6"/>
      <c r="H533" s="6"/>
      <c r="I533" s="6"/>
      <c r="J533" s="6"/>
      <c r="K533" s="51"/>
      <c r="L533" s="51"/>
      <c r="M533" s="51"/>
      <c r="N533" s="51"/>
      <c r="O533" s="51"/>
      <c r="P533" s="51"/>
      <c r="Q533" s="51"/>
      <c r="R533" s="51"/>
      <c r="S533" s="51"/>
      <c r="T533" s="51"/>
      <c r="U533" s="51"/>
      <c r="V533" s="51"/>
      <c r="W533" s="51"/>
      <c r="X533" s="51"/>
      <c r="Y533" s="51"/>
      <c r="Z533" s="51"/>
      <c r="AA533" s="51"/>
      <c r="AB533" s="51"/>
    </row>
    <row r="534" customFormat="false" ht="15.75" hidden="false" customHeight="false" outlineLevel="0" collapsed="false">
      <c r="A534" s="51"/>
      <c r="B534" s="51"/>
      <c r="C534" s="6"/>
      <c r="D534" s="49"/>
      <c r="E534" s="51"/>
      <c r="F534" s="6"/>
      <c r="G534" s="6"/>
      <c r="H534" s="6"/>
      <c r="I534" s="6"/>
      <c r="J534" s="6"/>
      <c r="K534" s="51"/>
      <c r="L534" s="51"/>
      <c r="M534" s="51"/>
      <c r="N534" s="51"/>
      <c r="O534" s="51"/>
      <c r="P534" s="51"/>
      <c r="Q534" s="51"/>
      <c r="R534" s="51"/>
      <c r="S534" s="51"/>
      <c r="T534" s="51"/>
      <c r="U534" s="51"/>
      <c r="V534" s="51"/>
      <c r="W534" s="51"/>
      <c r="X534" s="51"/>
      <c r="Y534" s="51"/>
      <c r="Z534" s="51"/>
      <c r="AA534" s="51"/>
      <c r="AB534" s="51"/>
    </row>
    <row r="535" customFormat="false" ht="15.75" hidden="false" customHeight="false" outlineLevel="0" collapsed="false">
      <c r="A535" s="51"/>
      <c r="B535" s="51"/>
      <c r="C535" s="6"/>
      <c r="D535" s="49"/>
      <c r="E535" s="51"/>
      <c r="F535" s="6"/>
      <c r="G535" s="6"/>
      <c r="H535" s="6"/>
      <c r="I535" s="6"/>
      <c r="J535" s="6"/>
      <c r="K535" s="51"/>
      <c r="L535" s="51"/>
      <c r="M535" s="51"/>
      <c r="N535" s="51"/>
      <c r="O535" s="51"/>
      <c r="P535" s="51"/>
      <c r="Q535" s="51"/>
      <c r="R535" s="51"/>
      <c r="S535" s="51"/>
      <c r="T535" s="51"/>
      <c r="U535" s="51"/>
      <c r="V535" s="51"/>
      <c r="W535" s="51"/>
      <c r="X535" s="51"/>
      <c r="Y535" s="51"/>
      <c r="Z535" s="51"/>
      <c r="AA535" s="51"/>
      <c r="AB535" s="51"/>
    </row>
    <row r="536" customFormat="false" ht="15.75" hidden="false" customHeight="false" outlineLevel="0" collapsed="false">
      <c r="A536" s="51"/>
      <c r="B536" s="51"/>
      <c r="C536" s="6"/>
      <c r="D536" s="49"/>
      <c r="E536" s="51"/>
      <c r="F536" s="6"/>
      <c r="G536" s="6"/>
      <c r="H536" s="6"/>
      <c r="I536" s="6"/>
      <c r="J536" s="6"/>
      <c r="K536" s="51"/>
      <c r="L536" s="51"/>
      <c r="M536" s="51"/>
      <c r="N536" s="51"/>
      <c r="O536" s="51"/>
      <c r="P536" s="51"/>
      <c r="Q536" s="51"/>
      <c r="R536" s="51"/>
      <c r="S536" s="51"/>
      <c r="T536" s="51"/>
      <c r="U536" s="51"/>
      <c r="V536" s="51"/>
      <c r="W536" s="51"/>
      <c r="X536" s="51"/>
      <c r="Y536" s="51"/>
      <c r="Z536" s="51"/>
      <c r="AA536" s="51"/>
      <c r="AB536" s="51"/>
    </row>
    <row r="537" customFormat="false" ht="15.75" hidden="false" customHeight="false" outlineLevel="0" collapsed="false">
      <c r="A537" s="51"/>
      <c r="B537" s="51"/>
      <c r="C537" s="6"/>
      <c r="D537" s="49"/>
      <c r="E537" s="51"/>
      <c r="F537" s="6"/>
      <c r="G537" s="6"/>
      <c r="H537" s="6"/>
      <c r="I537" s="6"/>
      <c r="J537" s="6"/>
      <c r="K537" s="51"/>
      <c r="L537" s="51"/>
      <c r="M537" s="51"/>
      <c r="N537" s="51"/>
      <c r="O537" s="51"/>
      <c r="P537" s="51"/>
      <c r="Q537" s="51"/>
      <c r="R537" s="51"/>
      <c r="S537" s="51"/>
      <c r="T537" s="51"/>
      <c r="U537" s="51"/>
      <c r="V537" s="51"/>
      <c r="W537" s="51"/>
      <c r="X537" s="51"/>
      <c r="Y537" s="51"/>
      <c r="Z537" s="51"/>
      <c r="AA537" s="51"/>
      <c r="AB537" s="51"/>
    </row>
    <row r="538" customFormat="false" ht="15.75" hidden="false" customHeight="false" outlineLevel="0" collapsed="false">
      <c r="A538" s="51"/>
      <c r="B538" s="51"/>
      <c r="C538" s="6"/>
      <c r="D538" s="49"/>
      <c r="E538" s="51"/>
      <c r="F538" s="6"/>
      <c r="G538" s="6"/>
      <c r="H538" s="6"/>
      <c r="I538" s="6"/>
      <c r="J538" s="6"/>
      <c r="K538" s="51"/>
      <c r="L538" s="51"/>
      <c r="M538" s="51"/>
      <c r="N538" s="51"/>
      <c r="O538" s="51"/>
      <c r="P538" s="51"/>
      <c r="Q538" s="51"/>
      <c r="R538" s="51"/>
      <c r="S538" s="51"/>
      <c r="T538" s="51"/>
      <c r="U538" s="51"/>
      <c r="V538" s="51"/>
      <c r="W538" s="51"/>
      <c r="X538" s="51"/>
      <c r="Y538" s="51"/>
      <c r="Z538" s="51"/>
      <c r="AA538" s="51"/>
      <c r="AB538" s="51"/>
    </row>
    <row r="539" customFormat="false" ht="15.75" hidden="false" customHeight="false" outlineLevel="0" collapsed="false">
      <c r="A539" s="51"/>
      <c r="B539" s="51"/>
      <c r="C539" s="6"/>
      <c r="D539" s="49"/>
      <c r="E539" s="51"/>
      <c r="F539" s="6"/>
      <c r="G539" s="6"/>
      <c r="H539" s="6"/>
      <c r="I539" s="6"/>
      <c r="J539" s="6"/>
      <c r="K539" s="51"/>
      <c r="L539" s="51"/>
      <c r="M539" s="51"/>
      <c r="N539" s="51"/>
      <c r="O539" s="51"/>
      <c r="P539" s="51"/>
      <c r="Q539" s="51"/>
      <c r="R539" s="51"/>
      <c r="S539" s="51"/>
      <c r="T539" s="51"/>
      <c r="U539" s="51"/>
      <c r="V539" s="51"/>
      <c r="W539" s="51"/>
      <c r="X539" s="51"/>
      <c r="Y539" s="51"/>
      <c r="Z539" s="51"/>
      <c r="AA539" s="51"/>
      <c r="AB539" s="51"/>
    </row>
    <row r="540" customFormat="false" ht="15.75" hidden="false" customHeight="false" outlineLevel="0" collapsed="false">
      <c r="A540" s="51"/>
      <c r="B540" s="51"/>
      <c r="C540" s="6"/>
      <c r="D540" s="49"/>
      <c r="E540" s="51"/>
      <c r="F540" s="6"/>
      <c r="G540" s="6"/>
      <c r="H540" s="6"/>
      <c r="I540" s="6"/>
      <c r="J540" s="6"/>
      <c r="K540" s="51"/>
      <c r="L540" s="51"/>
      <c r="M540" s="51"/>
      <c r="N540" s="51"/>
      <c r="O540" s="51"/>
      <c r="P540" s="51"/>
      <c r="Q540" s="51"/>
      <c r="R540" s="51"/>
      <c r="S540" s="51"/>
      <c r="T540" s="51"/>
      <c r="U540" s="51"/>
      <c r="V540" s="51"/>
      <c r="W540" s="51"/>
      <c r="X540" s="51"/>
      <c r="Y540" s="51"/>
      <c r="Z540" s="51"/>
      <c r="AA540" s="51"/>
      <c r="AB540" s="51"/>
    </row>
    <row r="541" customFormat="false" ht="15.75" hidden="false" customHeight="false" outlineLevel="0" collapsed="false">
      <c r="A541" s="51"/>
      <c r="B541" s="51"/>
      <c r="C541" s="6"/>
      <c r="D541" s="49"/>
      <c r="E541" s="51"/>
      <c r="F541" s="6"/>
      <c r="G541" s="6"/>
      <c r="H541" s="6"/>
      <c r="I541" s="6"/>
      <c r="J541" s="6"/>
      <c r="K541" s="51"/>
      <c r="L541" s="51"/>
      <c r="M541" s="51"/>
      <c r="N541" s="51"/>
      <c r="O541" s="51"/>
      <c r="P541" s="51"/>
      <c r="Q541" s="51"/>
      <c r="R541" s="51"/>
      <c r="S541" s="51"/>
      <c r="T541" s="51"/>
      <c r="U541" s="51"/>
      <c r="V541" s="51"/>
      <c r="W541" s="51"/>
      <c r="X541" s="51"/>
      <c r="Y541" s="51"/>
      <c r="Z541" s="51"/>
      <c r="AA541" s="51"/>
      <c r="AB541" s="51"/>
    </row>
    <row r="542" customFormat="false" ht="15.75" hidden="false" customHeight="false" outlineLevel="0" collapsed="false">
      <c r="A542" s="51"/>
      <c r="B542" s="51"/>
      <c r="C542" s="6"/>
      <c r="D542" s="49"/>
      <c r="E542" s="51"/>
      <c r="F542" s="6"/>
      <c r="G542" s="6"/>
      <c r="H542" s="6"/>
      <c r="I542" s="6"/>
      <c r="J542" s="6"/>
      <c r="K542" s="51"/>
      <c r="L542" s="51"/>
      <c r="M542" s="51"/>
      <c r="N542" s="51"/>
      <c r="O542" s="51"/>
      <c r="P542" s="51"/>
      <c r="Q542" s="51"/>
      <c r="R542" s="51"/>
      <c r="S542" s="51"/>
      <c r="T542" s="51"/>
      <c r="U542" s="51"/>
      <c r="V542" s="51"/>
      <c r="W542" s="51"/>
      <c r="X542" s="51"/>
      <c r="Y542" s="51"/>
      <c r="Z542" s="51"/>
      <c r="AA542" s="51"/>
      <c r="AB542" s="51"/>
    </row>
    <row r="543" customFormat="false" ht="15.75" hidden="false" customHeight="false" outlineLevel="0" collapsed="false">
      <c r="A543" s="51"/>
      <c r="B543" s="51"/>
      <c r="C543" s="6"/>
      <c r="D543" s="49"/>
      <c r="E543" s="51"/>
      <c r="F543" s="6"/>
      <c r="G543" s="6"/>
      <c r="H543" s="6"/>
      <c r="I543" s="6"/>
      <c r="J543" s="6"/>
      <c r="K543" s="51"/>
      <c r="L543" s="51"/>
      <c r="M543" s="51"/>
      <c r="N543" s="51"/>
      <c r="O543" s="51"/>
      <c r="P543" s="51"/>
      <c r="Q543" s="51"/>
      <c r="R543" s="51"/>
      <c r="S543" s="51"/>
      <c r="T543" s="51"/>
      <c r="U543" s="51"/>
      <c r="V543" s="51"/>
      <c r="W543" s="51"/>
      <c r="X543" s="51"/>
      <c r="Y543" s="51"/>
      <c r="Z543" s="51"/>
      <c r="AA543" s="51"/>
      <c r="AB543" s="51"/>
    </row>
    <row r="544" customFormat="false" ht="15.75" hidden="false" customHeight="false" outlineLevel="0" collapsed="false">
      <c r="A544" s="51"/>
      <c r="B544" s="51"/>
      <c r="C544" s="6"/>
      <c r="D544" s="49"/>
      <c r="E544" s="51"/>
      <c r="F544" s="6"/>
      <c r="G544" s="6"/>
      <c r="H544" s="6"/>
      <c r="I544" s="6"/>
      <c r="J544" s="6"/>
      <c r="K544" s="51"/>
      <c r="L544" s="51"/>
      <c r="M544" s="51"/>
      <c r="N544" s="51"/>
      <c r="O544" s="51"/>
      <c r="P544" s="51"/>
      <c r="Q544" s="51"/>
      <c r="R544" s="51"/>
      <c r="S544" s="51"/>
      <c r="T544" s="51"/>
      <c r="U544" s="51"/>
      <c r="V544" s="51"/>
      <c r="W544" s="51"/>
      <c r="X544" s="51"/>
      <c r="Y544" s="51"/>
      <c r="Z544" s="51"/>
      <c r="AA544" s="51"/>
      <c r="AB544" s="51"/>
    </row>
    <row r="545" customFormat="false" ht="15.75" hidden="false" customHeight="false" outlineLevel="0" collapsed="false">
      <c r="A545" s="51"/>
      <c r="B545" s="51"/>
      <c r="C545" s="6"/>
      <c r="D545" s="49"/>
      <c r="E545" s="51"/>
      <c r="F545" s="6"/>
      <c r="G545" s="6"/>
      <c r="H545" s="6"/>
      <c r="I545" s="6"/>
      <c r="J545" s="6"/>
      <c r="K545" s="51"/>
      <c r="L545" s="51"/>
      <c r="M545" s="51"/>
      <c r="N545" s="51"/>
      <c r="O545" s="51"/>
      <c r="P545" s="51"/>
      <c r="Q545" s="51"/>
      <c r="R545" s="51"/>
      <c r="S545" s="51"/>
      <c r="T545" s="51"/>
      <c r="U545" s="51"/>
      <c r="V545" s="51"/>
      <c r="W545" s="51"/>
      <c r="X545" s="51"/>
      <c r="Y545" s="51"/>
      <c r="Z545" s="51"/>
      <c r="AA545" s="51"/>
      <c r="AB545" s="51"/>
    </row>
    <row r="546" customFormat="false" ht="15.75" hidden="false" customHeight="false" outlineLevel="0" collapsed="false">
      <c r="A546" s="51"/>
      <c r="B546" s="51"/>
      <c r="C546" s="6"/>
      <c r="D546" s="49"/>
      <c r="E546" s="51"/>
      <c r="F546" s="6"/>
      <c r="G546" s="6"/>
      <c r="H546" s="6"/>
      <c r="I546" s="6"/>
      <c r="J546" s="6"/>
      <c r="K546" s="51"/>
      <c r="L546" s="51"/>
      <c r="M546" s="51"/>
      <c r="N546" s="51"/>
      <c r="O546" s="51"/>
      <c r="P546" s="51"/>
      <c r="Q546" s="51"/>
      <c r="R546" s="51"/>
      <c r="S546" s="51"/>
      <c r="T546" s="51"/>
      <c r="U546" s="51"/>
      <c r="V546" s="51"/>
      <c r="W546" s="51"/>
      <c r="X546" s="51"/>
      <c r="Y546" s="51"/>
      <c r="Z546" s="51"/>
      <c r="AA546" s="51"/>
      <c r="AB546" s="51"/>
    </row>
    <row r="547" customFormat="false" ht="15.75" hidden="false" customHeight="false" outlineLevel="0" collapsed="false">
      <c r="A547" s="51"/>
      <c r="B547" s="51"/>
      <c r="C547" s="6"/>
      <c r="D547" s="49"/>
      <c r="E547" s="51"/>
      <c r="F547" s="6"/>
      <c r="G547" s="6"/>
      <c r="H547" s="6"/>
      <c r="I547" s="6"/>
      <c r="J547" s="6"/>
      <c r="K547" s="51"/>
      <c r="L547" s="51"/>
      <c r="M547" s="51"/>
      <c r="N547" s="51"/>
      <c r="O547" s="51"/>
      <c r="P547" s="51"/>
      <c r="Q547" s="51"/>
      <c r="R547" s="51"/>
      <c r="S547" s="51"/>
      <c r="T547" s="51"/>
      <c r="U547" s="51"/>
      <c r="V547" s="51"/>
      <c r="W547" s="51"/>
      <c r="X547" s="51"/>
      <c r="Y547" s="51"/>
      <c r="Z547" s="51"/>
      <c r="AA547" s="51"/>
      <c r="AB547" s="51"/>
    </row>
    <row r="548" customFormat="false" ht="15.75" hidden="false" customHeight="false" outlineLevel="0" collapsed="false">
      <c r="A548" s="51"/>
      <c r="B548" s="51"/>
      <c r="C548" s="6"/>
      <c r="D548" s="49"/>
      <c r="E548" s="51"/>
      <c r="F548" s="6"/>
      <c r="G548" s="6"/>
      <c r="H548" s="6"/>
      <c r="I548" s="6"/>
      <c r="J548" s="6"/>
      <c r="K548" s="51"/>
      <c r="L548" s="51"/>
      <c r="M548" s="51"/>
      <c r="N548" s="51"/>
      <c r="O548" s="51"/>
      <c r="P548" s="51"/>
      <c r="Q548" s="51"/>
      <c r="R548" s="51"/>
      <c r="S548" s="51"/>
      <c r="T548" s="51"/>
      <c r="U548" s="51"/>
      <c r="V548" s="51"/>
      <c r="W548" s="51"/>
      <c r="X548" s="51"/>
      <c r="Y548" s="51"/>
      <c r="Z548" s="51"/>
      <c r="AA548" s="51"/>
      <c r="AB548" s="51"/>
    </row>
    <row r="549" customFormat="false" ht="15.75" hidden="false" customHeight="false" outlineLevel="0" collapsed="false">
      <c r="A549" s="51"/>
      <c r="B549" s="51"/>
      <c r="C549" s="6"/>
      <c r="D549" s="49"/>
      <c r="E549" s="51"/>
      <c r="F549" s="6"/>
      <c r="G549" s="6"/>
      <c r="H549" s="6"/>
      <c r="I549" s="6"/>
      <c r="J549" s="6"/>
      <c r="K549" s="51"/>
      <c r="L549" s="51"/>
      <c r="M549" s="51"/>
      <c r="N549" s="51"/>
      <c r="O549" s="51"/>
      <c r="P549" s="51"/>
      <c r="Q549" s="51"/>
      <c r="R549" s="51"/>
      <c r="S549" s="51"/>
      <c r="T549" s="51"/>
      <c r="U549" s="51"/>
      <c r="V549" s="51"/>
      <c r="W549" s="51"/>
      <c r="X549" s="51"/>
      <c r="Y549" s="51"/>
      <c r="Z549" s="51"/>
      <c r="AA549" s="51"/>
      <c r="AB549" s="51"/>
    </row>
    <row r="550" customFormat="false" ht="15.75" hidden="false" customHeight="false" outlineLevel="0" collapsed="false">
      <c r="A550" s="51"/>
      <c r="B550" s="51"/>
      <c r="C550" s="6"/>
      <c r="D550" s="49"/>
      <c r="E550" s="51"/>
      <c r="F550" s="6"/>
      <c r="G550" s="6"/>
      <c r="H550" s="6"/>
      <c r="I550" s="6"/>
      <c r="J550" s="6"/>
      <c r="K550" s="51"/>
      <c r="L550" s="51"/>
      <c r="M550" s="51"/>
      <c r="N550" s="51"/>
      <c r="O550" s="51"/>
      <c r="P550" s="51"/>
      <c r="Q550" s="51"/>
      <c r="R550" s="51"/>
      <c r="S550" s="51"/>
      <c r="T550" s="51"/>
      <c r="U550" s="51"/>
      <c r="V550" s="51"/>
      <c r="W550" s="51"/>
      <c r="X550" s="51"/>
      <c r="Y550" s="51"/>
      <c r="Z550" s="51"/>
      <c r="AA550" s="51"/>
      <c r="AB550" s="51"/>
    </row>
    <row r="551" customFormat="false" ht="15.75" hidden="false" customHeight="false" outlineLevel="0" collapsed="false">
      <c r="A551" s="51"/>
      <c r="B551" s="51"/>
      <c r="C551" s="6"/>
      <c r="D551" s="49"/>
      <c r="E551" s="51"/>
      <c r="F551" s="6"/>
      <c r="G551" s="6"/>
      <c r="H551" s="6"/>
      <c r="I551" s="6"/>
      <c r="J551" s="6"/>
      <c r="K551" s="51"/>
      <c r="L551" s="51"/>
      <c r="M551" s="51"/>
      <c r="N551" s="51"/>
      <c r="O551" s="51"/>
      <c r="P551" s="51"/>
      <c r="Q551" s="51"/>
      <c r="R551" s="51"/>
      <c r="S551" s="51"/>
      <c r="T551" s="51"/>
      <c r="U551" s="51"/>
      <c r="V551" s="51"/>
      <c r="W551" s="51"/>
      <c r="X551" s="51"/>
      <c r="Y551" s="51"/>
      <c r="Z551" s="51"/>
      <c r="AA551" s="51"/>
      <c r="AB551" s="51"/>
    </row>
    <row r="552" customFormat="false" ht="15.75" hidden="false" customHeight="false" outlineLevel="0" collapsed="false">
      <c r="A552" s="51"/>
      <c r="B552" s="51"/>
      <c r="C552" s="6"/>
      <c r="D552" s="49"/>
      <c r="E552" s="51"/>
      <c r="F552" s="6"/>
      <c r="G552" s="6"/>
      <c r="H552" s="6"/>
      <c r="I552" s="6"/>
      <c r="J552" s="6"/>
      <c r="K552" s="51"/>
      <c r="L552" s="51"/>
      <c r="M552" s="51"/>
      <c r="N552" s="51"/>
      <c r="O552" s="51"/>
      <c r="P552" s="51"/>
      <c r="Q552" s="51"/>
      <c r="R552" s="51"/>
      <c r="S552" s="51"/>
      <c r="T552" s="51"/>
      <c r="U552" s="51"/>
      <c r="V552" s="51"/>
      <c r="W552" s="51"/>
      <c r="X552" s="51"/>
      <c r="Y552" s="51"/>
      <c r="Z552" s="51"/>
      <c r="AA552" s="51"/>
      <c r="AB552" s="51"/>
    </row>
    <row r="553" customFormat="false" ht="15.75" hidden="false" customHeight="false" outlineLevel="0" collapsed="false">
      <c r="A553" s="51"/>
      <c r="B553" s="51"/>
      <c r="C553" s="6"/>
      <c r="D553" s="49"/>
      <c r="E553" s="51"/>
      <c r="F553" s="6"/>
      <c r="G553" s="6"/>
      <c r="H553" s="6"/>
      <c r="I553" s="6"/>
      <c r="J553" s="6"/>
      <c r="K553" s="51"/>
      <c r="L553" s="51"/>
      <c r="M553" s="51"/>
      <c r="N553" s="51"/>
      <c r="O553" s="51"/>
      <c r="P553" s="51"/>
      <c r="Q553" s="51"/>
      <c r="R553" s="51"/>
      <c r="S553" s="51"/>
      <c r="T553" s="51"/>
      <c r="U553" s="51"/>
      <c r="V553" s="51"/>
      <c r="W553" s="51"/>
      <c r="X553" s="51"/>
      <c r="Y553" s="51"/>
      <c r="Z553" s="51"/>
      <c r="AA553" s="51"/>
      <c r="AB553" s="51"/>
    </row>
    <row r="554" customFormat="false" ht="15.75" hidden="false" customHeight="false" outlineLevel="0" collapsed="false">
      <c r="A554" s="51"/>
      <c r="B554" s="51"/>
      <c r="C554" s="6"/>
      <c r="D554" s="49"/>
      <c r="E554" s="51"/>
      <c r="F554" s="6"/>
      <c r="G554" s="6"/>
      <c r="H554" s="6"/>
      <c r="I554" s="6"/>
      <c r="J554" s="6"/>
      <c r="K554" s="51"/>
      <c r="L554" s="51"/>
      <c r="M554" s="51"/>
      <c r="N554" s="51"/>
      <c r="O554" s="51"/>
      <c r="P554" s="51"/>
      <c r="Q554" s="51"/>
      <c r="R554" s="51"/>
      <c r="S554" s="51"/>
      <c r="T554" s="51"/>
      <c r="U554" s="51"/>
      <c r="V554" s="51"/>
      <c r="W554" s="51"/>
      <c r="X554" s="51"/>
      <c r="Y554" s="51"/>
      <c r="Z554" s="51"/>
      <c r="AA554" s="51"/>
      <c r="AB554" s="51"/>
    </row>
    <row r="555" customFormat="false" ht="15.75" hidden="false" customHeight="false" outlineLevel="0" collapsed="false">
      <c r="A555" s="51"/>
      <c r="B555" s="51"/>
      <c r="C555" s="6"/>
      <c r="D555" s="49"/>
      <c r="E555" s="51"/>
      <c r="F555" s="6"/>
      <c r="G555" s="6"/>
      <c r="H555" s="6"/>
      <c r="I555" s="6"/>
      <c r="J555" s="6"/>
      <c r="K555" s="51"/>
      <c r="L555" s="51"/>
      <c r="M555" s="51"/>
      <c r="N555" s="51"/>
      <c r="O555" s="51"/>
      <c r="P555" s="51"/>
      <c r="Q555" s="51"/>
      <c r="R555" s="51"/>
      <c r="S555" s="51"/>
      <c r="T555" s="51"/>
      <c r="U555" s="51"/>
      <c r="V555" s="51"/>
      <c r="W555" s="51"/>
      <c r="X555" s="51"/>
      <c r="Y555" s="51"/>
      <c r="Z555" s="51"/>
      <c r="AA555" s="51"/>
      <c r="AB555" s="51"/>
    </row>
    <row r="556" customFormat="false" ht="15.75" hidden="false" customHeight="false" outlineLevel="0" collapsed="false">
      <c r="A556" s="51"/>
      <c r="B556" s="51"/>
      <c r="C556" s="6"/>
      <c r="D556" s="49"/>
      <c r="E556" s="51"/>
      <c r="F556" s="6"/>
      <c r="G556" s="6"/>
      <c r="H556" s="6"/>
      <c r="I556" s="6"/>
      <c r="J556" s="6"/>
      <c r="K556" s="51"/>
      <c r="L556" s="51"/>
      <c r="M556" s="51"/>
      <c r="N556" s="51"/>
      <c r="O556" s="51"/>
      <c r="P556" s="51"/>
      <c r="Q556" s="51"/>
      <c r="R556" s="51"/>
      <c r="S556" s="51"/>
      <c r="T556" s="51"/>
      <c r="U556" s="51"/>
      <c r="V556" s="51"/>
      <c r="W556" s="51"/>
      <c r="X556" s="51"/>
      <c r="Y556" s="51"/>
      <c r="Z556" s="51"/>
      <c r="AA556" s="51"/>
      <c r="AB556" s="51"/>
    </row>
    <row r="557" customFormat="false" ht="15.75" hidden="false" customHeight="false" outlineLevel="0" collapsed="false">
      <c r="A557" s="51"/>
      <c r="B557" s="51"/>
      <c r="C557" s="6"/>
      <c r="D557" s="49"/>
      <c r="E557" s="51"/>
      <c r="F557" s="6"/>
      <c r="G557" s="6"/>
      <c r="H557" s="6"/>
      <c r="I557" s="6"/>
      <c r="J557" s="6"/>
      <c r="K557" s="51"/>
      <c r="L557" s="51"/>
      <c r="M557" s="51"/>
      <c r="N557" s="51"/>
      <c r="O557" s="51"/>
      <c r="P557" s="51"/>
      <c r="Q557" s="51"/>
      <c r="R557" s="51"/>
      <c r="S557" s="51"/>
      <c r="T557" s="51"/>
      <c r="U557" s="51"/>
      <c r="V557" s="51"/>
      <c r="W557" s="51"/>
      <c r="X557" s="51"/>
      <c r="Y557" s="51"/>
      <c r="Z557" s="51"/>
      <c r="AA557" s="51"/>
      <c r="AB557" s="51"/>
    </row>
    <row r="558" customFormat="false" ht="15.75" hidden="false" customHeight="false" outlineLevel="0" collapsed="false">
      <c r="A558" s="51"/>
      <c r="B558" s="51"/>
      <c r="C558" s="6"/>
      <c r="D558" s="49"/>
      <c r="E558" s="51"/>
      <c r="F558" s="6"/>
      <c r="G558" s="6"/>
      <c r="H558" s="6"/>
      <c r="I558" s="6"/>
      <c r="J558" s="6"/>
      <c r="K558" s="51"/>
      <c r="L558" s="51"/>
      <c r="M558" s="51"/>
      <c r="N558" s="51"/>
      <c r="O558" s="51"/>
      <c r="P558" s="51"/>
      <c r="Q558" s="51"/>
      <c r="R558" s="51"/>
      <c r="S558" s="51"/>
      <c r="T558" s="51"/>
      <c r="U558" s="51"/>
      <c r="V558" s="51"/>
      <c r="W558" s="51"/>
      <c r="X558" s="51"/>
      <c r="Y558" s="51"/>
      <c r="Z558" s="51"/>
      <c r="AA558" s="51"/>
      <c r="AB558" s="51"/>
    </row>
    <row r="559" customFormat="false" ht="15.75" hidden="false" customHeight="false" outlineLevel="0" collapsed="false">
      <c r="A559" s="51"/>
      <c r="B559" s="51"/>
      <c r="C559" s="6"/>
      <c r="D559" s="49"/>
      <c r="E559" s="51"/>
      <c r="F559" s="6"/>
      <c r="G559" s="6"/>
      <c r="H559" s="6"/>
      <c r="I559" s="6"/>
      <c r="J559" s="6"/>
      <c r="K559" s="51"/>
      <c r="L559" s="51"/>
      <c r="M559" s="51"/>
      <c r="N559" s="51"/>
      <c r="O559" s="51"/>
      <c r="P559" s="51"/>
      <c r="Q559" s="51"/>
      <c r="R559" s="51"/>
      <c r="S559" s="51"/>
      <c r="T559" s="51"/>
      <c r="U559" s="51"/>
      <c r="V559" s="51"/>
      <c r="W559" s="51"/>
      <c r="X559" s="51"/>
      <c r="Y559" s="51"/>
      <c r="Z559" s="51"/>
      <c r="AA559" s="51"/>
      <c r="AB559" s="51"/>
    </row>
    <row r="560" customFormat="false" ht="15.75" hidden="false" customHeight="false" outlineLevel="0" collapsed="false">
      <c r="A560" s="51"/>
      <c r="B560" s="51"/>
      <c r="C560" s="6"/>
      <c r="D560" s="49"/>
      <c r="E560" s="51"/>
      <c r="F560" s="6"/>
      <c r="G560" s="6"/>
      <c r="H560" s="6"/>
      <c r="I560" s="6"/>
      <c r="J560" s="6"/>
      <c r="K560" s="51"/>
      <c r="L560" s="51"/>
      <c r="M560" s="51"/>
      <c r="N560" s="51"/>
      <c r="O560" s="51"/>
      <c r="P560" s="51"/>
      <c r="Q560" s="51"/>
      <c r="R560" s="51"/>
      <c r="S560" s="51"/>
      <c r="T560" s="51"/>
      <c r="U560" s="51"/>
      <c r="V560" s="51"/>
      <c r="W560" s="51"/>
      <c r="X560" s="51"/>
      <c r="Y560" s="51"/>
      <c r="Z560" s="51"/>
      <c r="AA560" s="51"/>
      <c r="AB560" s="51"/>
    </row>
    <row r="561" customFormat="false" ht="15.75" hidden="false" customHeight="false" outlineLevel="0" collapsed="false">
      <c r="A561" s="51"/>
      <c r="B561" s="51"/>
      <c r="C561" s="6"/>
      <c r="D561" s="49"/>
      <c r="E561" s="51"/>
      <c r="F561" s="6"/>
      <c r="G561" s="6"/>
      <c r="H561" s="6"/>
      <c r="I561" s="6"/>
      <c r="J561" s="6"/>
      <c r="K561" s="51"/>
      <c r="L561" s="51"/>
      <c r="M561" s="51"/>
      <c r="N561" s="51"/>
      <c r="O561" s="51"/>
      <c r="P561" s="51"/>
      <c r="Q561" s="51"/>
      <c r="R561" s="51"/>
      <c r="S561" s="51"/>
      <c r="T561" s="51"/>
      <c r="U561" s="51"/>
      <c r="V561" s="51"/>
      <c r="W561" s="51"/>
      <c r="X561" s="51"/>
      <c r="Y561" s="51"/>
      <c r="Z561" s="51"/>
      <c r="AA561" s="51"/>
      <c r="AB561" s="51"/>
    </row>
    <row r="562" customFormat="false" ht="15.75" hidden="false" customHeight="false" outlineLevel="0" collapsed="false">
      <c r="A562" s="51"/>
      <c r="B562" s="51"/>
      <c r="C562" s="6"/>
      <c r="D562" s="49"/>
      <c r="E562" s="51"/>
      <c r="F562" s="6"/>
      <c r="G562" s="6"/>
      <c r="H562" s="6"/>
      <c r="I562" s="6"/>
      <c r="J562" s="6"/>
      <c r="K562" s="51"/>
      <c r="L562" s="51"/>
      <c r="M562" s="51"/>
      <c r="N562" s="51"/>
      <c r="O562" s="51"/>
      <c r="P562" s="51"/>
      <c r="Q562" s="51"/>
      <c r="R562" s="51"/>
      <c r="S562" s="51"/>
      <c r="T562" s="51"/>
      <c r="U562" s="51"/>
      <c r="V562" s="51"/>
      <c r="W562" s="51"/>
      <c r="X562" s="51"/>
      <c r="Y562" s="51"/>
      <c r="Z562" s="51"/>
      <c r="AA562" s="51"/>
      <c r="AB562" s="51"/>
    </row>
    <row r="563" customFormat="false" ht="15.75" hidden="false" customHeight="false" outlineLevel="0" collapsed="false">
      <c r="A563" s="51"/>
      <c r="B563" s="51"/>
      <c r="C563" s="6"/>
      <c r="D563" s="49"/>
      <c r="E563" s="51"/>
      <c r="F563" s="6"/>
      <c r="G563" s="6"/>
      <c r="H563" s="6"/>
      <c r="I563" s="6"/>
      <c r="J563" s="6"/>
      <c r="K563" s="51"/>
      <c r="L563" s="51"/>
      <c r="M563" s="51"/>
      <c r="N563" s="51"/>
      <c r="O563" s="51"/>
      <c r="P563" s="51"/>
      <c r="Q563" s="51"/>
      <c r="R563" s="51"/>
      <c r="S563" s="51"/>
      <c r="T563" s="51"/>
      <c r="U563" s="51"/>
      <c r="V563" s="51"/>
      <c r="W563" s="51"/>
      <c r="X563" s="51"/>
      <c r="Y563" s="51"/>
      <c r="Z563" s="51"/>
      <c r="AA563" s="51"/>
      <c r="AB563" s="51"/>
    </row>
    <row r="564" customFormat="false" ht="15.75" hidden="false" customHeight="false" outlineLevel="0" collapsed="false">
      <c r="A564" s="51"/>
      <c r="B564" s="51"/>
      <c r="C564" s="6"/>
      <c r="D564" s="49"/>
      <c r="E564" s="51"/>
      <c r="F564" s="6"/>
      <c r="G564" s="6"/>
      <c r="H564" s="6"/>
      <c r="I564" s="6"/>
      <c r="J564" s="6"/>
      <c r="K564" s="51"/>
      <c r="L564" s="51"/>
      <c r="M564" s="51"/>
      <c r="N564" s="51"/>
      <c r="O564" s="51"/>
      <c r="P564" s="51"/>
      <c r="Q564" s="51"/>
      <c r="R564" s="51"/>
      <c r="S564" s="51"/>
      <c r="T564" s="51"/>
      <c r="U564" s="51"/>
      <c r="V564" s="51"/>
      <c r="W564" s="51"/>
      <c r="X564" s="51"/>
      <c r="Y564" s="51"/>
      <c r="Z564" s="51"/>
      <c r="AA564" s="51"/>
      <c r="AB564" s="51"/>
    </row>
    <row r="565" customFormat="false" ht="15.75" hidden="false" customHeight="false" outlineLevel="0" collapsed="false">
      <c r="A565" s="51"/>
      <c r="B565" s="51"/>
      <c r="C565" s="6"/>
      <c r="D565" s="49"/>
      <c r="E565" s="51"/>
      <c r="F565" s="6"/>
      <c r="G565" s="6"/>
      <c r="H565" s="6"/>
      <c r="I565" s="6"/>
      <c r="J565" s="6"/>
      <c r="K565" s="51"/>
      <c r="L565" s="51"/>
      <c r="M565" s="51"/>
      <c r="N565" s="51"/>
      <c r="O565" s="51"/>
      <c r="P565" s="51"/>
      <c r="Q565" s="51"/>
      <c r="R565" s="51"/>
      <c r="S565" s="51"/>
      <c r="T565" s="51"/>
      <c r="U565" s="51"/>
      <c r="V565" s="51"/>
      <c r="W565" s="51"/>
      <c r="X565" s="51"/>
      <c r="Y565" s="51"/>
      <c r="Z565" s="51"/>
      <c r="AA565" s="51"/>
      <c r="AB565" s="51"/>
    </row>
    <row r="566" customFormat="false" ht="15.75" hidden="false" customHeight="false" outlineLevel="0" collapsed="false">
      <c r="A566" s="51"/>
      <c r="B566" s="51"/>
      <c r="C566" s="6"/>
      <c r="D566" s="49"/>
      <c r="E566" s="51"/>
      <c r="F566" s="6"/>
      <c r="G566" s="6"/>
      <c r="H566" s="6"/>
      <c r="I566" s="6"/>
      <c r="J566" s="6"/>
      <c r="K566" s="51"/>
      <c r="L566" s="51"/>
      <c r="M566" s="51"/>
      <c r="N566" s="51"/>
      <c r="O566" s="51"/>
      <c r="P566" s="51"/>
      <c r="Q566" s="51"/>
      <c r="R566" s="51"/>
      <c r="S566" s="51"/>
      <c r="T566" s="51"/>
      <c r="U566" s="51"/>
      <c r="V566" s="51"/>
      <c r="W566" s="51"/>
      <c r="X566" s="51"/>
      <c r="Y566" s="51"/>
      <c r="Z566" s="51"/>
      <c r="AA566" s="51"/>
      <c r="AB566" s="51"/>
    </row>
    <row r="567" customFormat="false" ht="15.75" hidden="false" customHeight="false" outlineLevel="0" collapsed="false">
      <c r="A567" s="51"/>
      <c r="B567" s="51"/>
      <c r="C567" s="6"/>
      <c r="D567" s="49"/>
      <c r="E567" s="51"/>
      <c r="F567" s="6"/>
      <c r="G567" s="6"/>
      <c r="H567" s="6"/>
      <c r="I567" s="6"/>
      <c r="J567" s="6"/>
      <c r="K567" s="51"/>
      <c r="L567" s="51"/>
      <c r="M567" s="51"/>
      <c r="N567" s="51"/>
      <c r="O567" s="51"/>
      <c r="P567" s="51"/>
      <c r="Q567" s="51"/>
      <c r="R567" s="51"/>
      <c r="S567" s="51"/>
      <c r="T567" s="51"/>
      <c r="U567" s="51"/>
      <c r="V567" s="51"/>
      <c r="W567" s="51"/>
      <c r="X567" s="51"/>
      <c r="Y567" s="51"/>
      <c r="Z567" s="51"/>
      <c r="AA567" s="51"/>
      <c r="AB567" s="51"/>
    </row>
    <row r="568" customFormat="false" ht="15.75" hidden="false" customHeight="false" outlineLevel="0" collapsed="false">
      <c r="A568" s="51"/>
      <c r="B568" s="51"/>
      <c r="C568" s="6"/>
      <c r="D568" s="49"/>
      <c r="E568" s="51"/>
      <c r="F568" s="6"/>
      <c r="G568" s="6"/>
      <c r="H568" s="6"/>
      <c r="I568" s="6"/>
      <c r="J568" s="6"/>
      <c r="K568" s="51"/>
      <c r="L568" s="51"/>
      <c r="M568" s="51"/>
      <c r="N568" s="51"/>
      <c r="O568" s="51"/>
      <c r="P568" s="51"/>
      <c r="Q568" s="51"/>
      <c r="R568" s="51"/>
      <c r="S568" s="51"/>
      <c r="T568" s="51"/>
      <c r="U568" s="51"/>
      <c r="V568" s="51"/>
      <c r="W568" s="51"/>
      <c r="X568" s="51"/>
      <c r="Y568" s="51"/>
      <c r="Z568" s="51"/>
      <c r="AA568" s="51"/>
      <c r="AB568" s="51"/>
    </row>
    <row r="569" customFormat="false" ht="15.75" hidden="false" customHeight="false" outlineLevel="0" collapsed="false">
      <c r="A569" s="51"/>
      <c r="B569" s="51"/>
      <c r="C569" s="6"/>
      <c r="D569" s="49"/>
      <c r="E569" s="51"/>
      <c r="F569" s="6"/>
      <c r="G569" s="6"/>
      <c r="H569" s="6"/>
      <c r="I569" s="6"/>
      <c r="J569" s="6"/>
      <c r="K569" s="51"/>
      <c r="L569" s="51"/>
      <c r="M569" s="51"/>
      <c r="N569" s="51"/>
      <c r="O569" s="51"/>
      <c r="P569" s="51"/>
      <c r="Q569" s="51"/>
      <c r="R569" s="51"/>
      <c r="S569" s="51"/>
      <c r="T569" s="51"/>
      <c r="U569" s="51"/>
      <c r="V569" s="51"/>
      <c r="W569" s="51"/>
      <c r="X569" s="51"/>
      <c r="Y569" s="51"/>
      <c r="Z569" s="51"/>
      <c r="AA569" s="51"/>
      <c r="AB569" s="51"/>
    </row>
    <row r="570" customFormat="false" ht="15.75" hidden="false" customHeight="false" outlineLevel="0" collapsed="false">
      <c r="A570" s="51"/>
      <c r="B570" s="51"/>
      <c r="C570" s="6"/>
      <c r="D570" s="49"/>
      <c r="E570" s="51"/>
      <c r="F570" s="6"/>
      <c r="G570" s="6"/>
      <c r="H570" s="6"/>
      <c r="I570" s="6"/>
      <c r="J570" s="6"/>
      <c r="K570" s="51"/>
      <c r="L570" s="51"/>
      <c r="M570" s="51"/>
      <c r="N570" s="51"/>
      <c r="O570" s="51"/>
      <c r="P570" s="51"/>
      <c r="Q570" s="51"/>
      <c r="R570" s="51"/>
      <c r="S570" s="51"/>
      <c r="T570" s="51"/>
      <c r="U570" s="51"/>
      <c r="V570" s="51"/>
      <c r="W570" s="51"/>
      <c r="X570" s="51"/>
      <c r="Y570" s="51"/>
      <c r="Z570" s="51"/>
      <c r="AA570" s="51"/>
      <c r="AB570" s="51"/>
    </row>
    <row r="571" customFormat="false" ht="15.75" hidden="false" customHeight="false" outlineLevel="0" collapsed="false">
      <c r="A571" s="51"/>
      <c r="B571" s="51"/>
      <c r="C571" s="6"/>
      <c r="D571" s="49"/>
      <c r="E571" s="51"/>
      <c r="F571" s="6"/>
      <c r="G571" s="6"/>
      <c r="H571" s="6"/>
      <c r="I571" s="6"/>
      <c r="J571" s="6"/>
      <c r="K571" s="51"/>
      <c r="L571" s="51"/>
      <c r="M571" s="51"/>
      <c r="N571" s="51"/>
      <c r="O571" s="51"/>
      <c r="P571" s="51"/>
      <c r="Q571" s="51"/>
      <c r="R571" s="51"/>
      <c r="S571" s="51"/>
      <c r="T571" s="51"/>
      <c r="U571" s="51"/>
      <c r="V571" s="51"/>
      <c r="W571" s="51"/>
      <c r="X571" s="51"/>
      <c r="Y571" s="51"/>
      <c r="Z571" s="51"/>
      <c r="AA571" s="51"/>
      <c r="AB571" s="51"/>
    </row>
    <row r="572" customFormat="false" ht="15.75" hidden="false" customHeight="false" outlineLevel="0" collapsed="false">
      <c r="A572" s="51"/>
      <c r="B572" s="51"/>
      <c r="C572" s="6"/>
      <c r="D572" s="49"/>
      <c r="E572" s="51"/>
      <c r="F572" s="6"/>
      <c r="G572" s="6"/>
      <c r="H572" s="6"/>
      <c r="I572" s="6"/>
      <c r="J572" s="6"/>
      <c r="K572" s="51"/>
      <c r="L572" s="51"/>
      <c r="M572" s="51"/>
      <c r="N572" s="51"/>
      <c r="O572" s="51"/>
      <c r="P572" s="51"/>
      <c r="Q572" s="51"/>
      <c r="R572" s="51"/>
      <c r="S572" s="51"/>
      <c r="T572" s="51"/>
      <c r="U572" s="51"/>
      <c r="V572" s="51"/>
      <c r="W572" s="51"/>
      <c r="X572" s="51"/>
      <c r="Y572" s="51"/>
      <c r="Z572" s="51"/>
      <c r="AA572" s="51"/>
      <c r="AB572" s="51"/>
    </row>
    <row r="573" customFormat="false" ht="15.75" hidden="false" customHeight="false" outlineLevel="0" collapsed="false">
      <c r="A573" s="51"/>
      <c r="B573" s="51"/>
      <c r="C573" s="6"/>
      <c r="D573" s="49"/>
      <c r="E573" s="51"/>
      <c r="F573" s="6"/>
      <c r="G573" s="6"/>
      <c r="H573" s="6"/>
      <c r="I573" s="6"/>
      <c r="J573" s="6"/>
      <c r="K573" s="51"/>
      <c r="L573" s="51"/>
      <c r="M573" s="51"/>
      <c r="N573" s="51"/>
      <c r="O573" s="51"/>
      <c r="P573" s="51"/>
      <c r="Q573" s="51"/>
      <c r="R573" s="51"/>
      <c r="S573" s="51"/>
      <c r="T573" s="51"/>
      <c r="U573" s="51"/>
      <c r="V573" s="51"/>
      <c r="W573" s="51"/>
      <c r="X573" s="51"/>
      <c r="Y573" s="51"/>
      <c r="Z573" s="51"/>
      <c r="AA573" s="51"/>
      <c r="AB573" s="51"/>
    </row>
    <row r="574" customFormat="false" ht="15.75" hidden="false" customHeight="false" outlineLevel="0" collapsed="false">
      <c r="A574" s="51"/>
      <c r="B574" s="51"/>
      <c r="C574" s="6"/>
      <c r="D574" s="49"/>
      <c r="E574" s="51"/>
      <c r="F574" s="6"/>
      <c r="G574" s="6"/>
      <c r="H574" s="6"/>
      <c r="I574" s="6"/>
      <c r="J574" s="6"/>
      <c r="K574" s="51"/>
      <c r="L574" s="51"/>
      <c r="M574" s="51"/>
      <c r="N574" s="51"/>
      <c r="O574" s="51"/>
      <c r="P574" s="51"/>
      <c r="Q574" s="51"/>
      <c r="R574" s="51"/>
      <c r="S574" s="51"/>
      <c r="T574" s="51"/>
      <c r="U574" s="51"/>
      <c r="V574" s="51"/>
      <c r="W574" s="51"/>
      <c r="X574" s="51"/>
      <c r="Y574" s="51"/>
      <c r="Z574" s="51"/>
      <c r="AA574" s="51"/>
      <c r="AB574" s="51"/>
    </row>
    <row r="575" customFormat="false" ht="15.75" hidden="false" customHeight="false" outlineLevel="0" collapsed="false">
      <c r="A575" s="51"/>
      <c r="B575" s="51"/>
      <c r="C575" s="6"/>
      <c r="D575" s="49"/>
      <c r="E575" s="51"/>
      <c r="F575" s="6"/>
      <c r="G575" s="6"/>
      <c r="H575" s="6"/>
      <c r="I575" s="6"/>
      <c r="J575" s="6"/>
      <c r="K575" s="51"/>
      <c r="L575" s="51"/>
      <c r="M575" s="51"/>
      <c r="N575" s="51"/>
      <c r="O575" s="51"/>
      <c r="P575" s="51"/>
      <c r="Q575" s="51"/>
      <c r="R575" s="51"/>
      <c r="S575" s="51"/>
      <c r="T575" s="51"/>
      <c r="U575" s="51"/>
      <c r="V575" s="51"/>
      <c r="W575" s="51"/>
      <c r="X575" s="51"/>
      <c r="Y575" s="51"/>
      <c r="Z575" s="51"/>
      <c r="AA575" s="51"/>
      <c r="AB575" s="51"/>
    </row>
    <row r="576" customFormat="false" ht="15.75" hidden="false" customHeight="false" outlineLevel="0" collapsed="false">
      <c r="A576" s="51"/>
      <c r="B576" s="51"/>
      <c r="C576" s="6"/>
      <c r="D576" s="49"/>
      <c r="E576" s="51"/>
      <c r="F576" s="6"/>
      <c r="G576" s="6"/>
      <c r="H576" s="6"/>
      <c r="I576" s="6"/>
      <c r="J576" s="6"/>
      <c r="K576" s="51"/>
      <c r="L576" s="51"/>
      <c r="M576" s="51"/>
      <c r="N576" s="51"/>
      <c r="O576" s="51"/>
      <c r="P576" s="51"/>
      <c r="Q576" s="51"/>
      <c r="R576" s="51"/>
      <c r="S576" s="51"/>
      <c r="T576" s="51"/>
      <c r="U576" s="51"/>
      <c r="V576" s="51"/>
      <c r="W576" s="51"/>
      <c r="X576" s="51"/>
      <c r="Y576" s="51"/>
      <c r="Z576" s="51"/>
      <c r="AA576" s="51"/>
      <c r="AB576" s="51"/>
    </row>
    <row r="577" customFormat="false" ht="15.75" hidden="false" customHeight="false" outlineLevel="0" collapsed="false">
      <c r="A577" s="51"/>
      <c r="B577" s="51"/>
      <c r="C577" s="6"/>
      <c r="D577" s="49"/>
      <c r="E577" s="51"/>
      <c r="F577" s="6"/>
      <c r="G577" s="6"/>
      <c r="H577" s="6"/>
      <c r="I577" s="6"/>
      <c r="J577" s="6"/>
      <c r="K577" s="51"/>
      <c r="L577" s="51"/>
      <c r="M577" s="51"/>
      <c r="N577" s="51"/>
      <c r="O577" s="51"/>
      <c r="P577" s="51"/>
      <c r="Q577" s="51"/>
      <c r="R577" s="51"/>
      <c r="S577" s="51"/>
      <c r="T577" s="51"/>
      <c r="U577" s="51"/>
      <c r="V577" s="51"/>
      <c r="W577" s="51"/>
      <c r="X577" s="51"/>
      <c r="Y577" s="51"/>
      <c r="Z577" s="51"/>
      <c r="AA577" s="51"/>
      <c r="AB577" s="51"/>
    </row>
    <row r="578" customFormat="false" ht="15.75" hidden="false" customHeight="false" outlineLevel="0" collapsed="false">
      <c r="A578" s="51"/>
      <c r="B578" s="51"/>
      <c r="C578" s="6"/>
      <c r="D578" s="49"/>
      <c r="E578" s="51"/>
      <c r="F578" s="6"/>
      <c r="G578" s="6"/>
      <c r="H578" s="6"/>
      <c r="I578" s="6"/>
      <c r="J578" s="6"/>
      <c r="K578" s="51"/>
      <c r="L578" s="51"/>
      <c r="M578" s="51"/>
      <c r="N578" s="51"/>
      <c r="O578" s="51"/>
      <c r="P578" s="51"/>
      <c r="Q578" s="51"/>
      <c r="R578" s="51"/>
      <c r="S578" s="51"/>
      <c r="T578" s="51"/>
      <c r="U578" s="51"/>
      <c r="V578" s="51"/>
      <c r="W578" s="51"/>
      <c r="X578" s="51"/>
      <c r="Y578" s="51"/>
      <c r="Z578" s="51"/>
      <c r="AA578" s="51"/>
      <c r="AB578" s="51"/>
    </row>
    <row r="579" customFormat="false" ht="15.75" hidden="false" customHeight="false" outlineLevel="0" collapsed="false">
      <c r="A579" s="51"/>
      <c r="B579" s="51"/>
      <c r="C579" s="6"/>
      <c r="D579" s="49"/>
      <c r="E579" s="51"/>
      <c r="F579" s="6"/>
      <c r="G579" s="6"/>
      <c r="H579" s="6"/>
      <c r="I579" s="6"/>
      <c r="J579" s="6"/>
      <c r="K579" s="51"/>
      <c r="L579" s="51"/>
      <c r="M579" s="51"/>
      <c r="N579" s="51"/>
      <c r="O579" s="51"/>
      <c r="P579" s="51"/>
      <c r="Q579" s="51"/>
      <c r="R579" s="51"/>
      <c r="S579" s="51"/>
      <c r="T579" s="51"/>
      <c r="U579" s="51"/>
      <c r="V579" s="51"/>
      <c r="W579" s="51"/>
      <c r="X579" s="51"/>
      <c r="Y579" s="51"/>
      <c r="Z579" s="51"/>
      <c r="AA579" s="51"/>
      <c r="AB579" s="51"/>
    </row>
    <row r="580" customFormat="false" ht="15.75" hidden="false" customHeight="false" outlineLevel="0" collapsed="false">
      <c r="A580" s="51"/>
      <c r="B580" s="51"/>
      <c r="C580" s="6"/>
      <c r="D580" s="49"/>
      <c r="E580" s="51"/>
      <c r="F580" s="6"/>
      <c r="G580" s="6"/>
      <c r="H580" s="6"/>
      <c r="I580" s="6"/>
      <c r="J580" s="6"/>
      <c r="K580" s="51"/>
      <c r="L580" s="51"/>
      <c r="M580" s="51"/>
      <c r="N580" s="51"/>
      <c r="O580" s="51"/>
      <c r="P580" s="51"/>
      <c r="Q580" s="51"/>
      <c r="R580" s="51"/>
      <c r="S580" s="51"/>
      <c r="T580" s="51"/>
      <c r="U580" s="51"/>
      <c r="V580" s="51"/>
      <c r="W580" s="51"/>
      <c r="X580" s="51"/>
      <c r="Y580" s="51"/>
      <c r="Z580" s="51"/>
      <c r="AA580" s="51"/>
      <c r="AB580" s="51"/>
    </row>
    <row r="581" customFormat="false" ht="15.75" hidden="false" customHeight="false" outlineLevel="0" collapsed="false">
      <c r="A581" s="51"/>
      <c r="B581" s="51"/>
      <c r="C581" s="6"/>
      <c r="D581" s="49"/>
      <c r="E581" s="51"/>
      <c r="F581" s="6"/>
      <c r="G581" s="6"/>
      <c r="H581" s="6"/>
      <c r="I581" s="6"/>
      <c r="J581" s="6"/>
      <c r="K581" s="51"/>
      <c r="L581" s="51"/>
      <c r="M581" s="51"/>
      <c r="N581" s="51"/>
      <c r="O581" s="51"/>
      <c r="P581" s="51"/>
      <c r="Q581" s="51"/>
      <c r="R581" s="51"/>
      <c r="S581" s="51"/>
      <c r="T581" s="51"/>
      <c r="U581" s="51"/>
      <c r="V581" s="51"/>
      <c r="W581" s="51"/>
      <c r="X581" s="51"/>
      <c r="Y581" s="51"/>
      <c r="Z581" s="51"/>
      <c r="AA581" s="51"/>
      <c r="AB581" s="51"/>
    </row>
    <row r="582" customFormat="false" ht="15.75" hidden="false" customHeight="false" outlineLevel="0" collapsed="false">
      <c r="A582" s="51"/>
      <c r="B582" s="51"/>
      <c r="C582" s="6"/>
      <c r="D582" s="49"/>
      <c r="E582" s="51"/>
      <c r="F582" s="6"/>
      <c r="G582" s="6"/>
      <c r="H582" s="6"/>
      <c r="I582" s="6"/>
      <c r="J582" s="6"/>
      <c r="K582" s="51"/>
      <c r="L582" s="51"/>
      <c r="M582" s="51"/>
      <c r="N582" s="51"/>
      <c r="O582" s="51"/>
      <c r="P582" s="51"/>
      <c r="Q582" s="51"/>
      <c r="R582" s="51"/>
      <c r="S582" s="51"/>
      <c r="T582" s="51"/>
      <c r="U582" s="51"/>
      <c r="V582" s="51"/>
      <c r="W582" s="51"/>
      <c r="X582" s="51"/>
      <c r="Y582" s="51"/>
      <c r="Z582" s="51"/>
      <c r="AA582" s="51"/>
      <c r="AB582" s="51"/>
    </row>
    <row r="583" customFormat="false" ht="15.75" hidden="false" customHeight="false" outlineLevel="0" collapsed="false">
      <c r="A583" s="51"/>
      <c r="B583" s="51"/>
      <c r="C583" s="6"/>
      <c r="D583" s="49"/>
      <c r="E583" s="51"/>
      <c r="F583" s="6"/>
      <c r="G583" s="6"/>
      <c r="H583" s="6"/>
      <c r="I583" s="6"/>
      <c r="J583" s="6"/>
      <c r="K583" s="51"/>
      <c r="L583" s="51"/>
      <c r="M583" s="51"/>
      <c r="N583" s="51"/>
      <c r="O583" s="51"/>
      <c r="P583" s="51"/>
      <c r="Q583" s="51"/>
      <c r="R583" s="51"/>
      <c r="S583" s="51"/>
      <c r="T583" s="51"/>
      <c r="U583" s="51"/>
      <c r="V583" s="51"/>
      <c r="W583" s="51"/>
      <c r="X583" s="51"/>
      <c r="Y583" s="51"/>
      <c r="Z583" s="51"/>
      <c r="AA583" s="51"/>
      <c r="AB583" s="51"/>
    </row>
    <row r="584" customFormat="false" ht="15.75" hidden="false" customHeight="false" outlineLevel="0" collapsed="false">
      <c r="A584" s="51"/>
      <c r="B584" s="51"/>
      <c r="C584" s="6"/>
      <c r="D584" s="49"/>
      <c r="E584" s="51"/>
      <c r="F584" s="6"/>
      <c r="G584" s="6"/>
      <c r="H584" s="6"/>
      <c r="I584" s="6"/>
      <c r="J584" s="6"/>
      <c r="K584" s="51"/>
      <c r="L584" s="51"/>
      <c r="M584" s="51"/>
      <c r="N584" s="51"/>
      <c r="O584" s="51"/>
      <c r="P584" s="51"/>
      <c r="Q584" s="51"/>
      <c r="R584" s="51"/>
      <c r="S584" s="51"/>
      <c r="T584" s="51"/>
      <c r="U584" s="51"/>
      <c r="V584" s="51"/>
      <c r="W584" s="51"/>
      <c r="X584" s="51"/>
      <c r="Y584" s="51"/>
      <c r="Z584" s="51"/>
      <c r="AA584" s="51"/>
      <c r="AB584" s="51"/>
    </row>
    <row r="585" customFormat="false" ht="15.75" hidden="false" customHeight="false" outlineLevel="0" collapsed="false">
      <c r="A585" s="51"/>
      <c r="B585" s="51"/>
      <c r="C585" s="6"/>
      <c r="D585" s="49"/>
      <c r="E585" s="51"/>
      <c r="F585" s="6"/>
      <c r="G585" s="6"/>
      <c r="H585" s="6"/>
      <c r="I585" s="6"/>
      <c r="J585" s="6"/>
      <c r="K585" s="51"/>
      <c r="L585" s="51"/>
      <c r="M585" s="51"/>
      <c r="N585" s="51"/>
      <c r="O585" s="51"/>
      <c r="P585" s="51"/>
      <c r="Q585" s="51"/>
      <c r="R585" s="51"/>
      <c r="S585" s="51"/>
      <c r="T585" s="51"/>
      <c r="U585" s="51"/>
      <c r="V585" s="51"/>
      <c r="W585" s="51"/>
      <c r="X585" s="51"/>
      <c r="Y585" s="51"/>
      <c r="Z585" s="51"/>
      <c r="AA585" s="51"/>
      <c r="AB585" s="51"/>
    </row>
    <row r="586" customFormat="false" ht="15.75" hidden="false" customHeight="false" outlineLevel="0" collapsed="false">
      <c r="A586" s="51"/>
      <c r="B586" s="51"/>
      <c r="C586" s="6"/>
      <c r="D586" s="49"/>
      <c r="E586" s="51"/>
      <c r="F586" s="6"/>
      <c r="G586" s="6"/>
      <c r="H586" s="6"/>
      <c r="I586" s="6"/>
      <c r="J586" s="6"/>
      <c r="K586" s="51"/>
      <c r="L586" s="51"/>
      <c r="M586" s="51"/>
      <c r="N586" s="51"/>
      <c r="O586" s="51"/>
      <c r="P586" s="51"/>
      <c r="Q586" s="51"/>
      <c r="R586" s="51"/>
      <c r="S586" s="51"/>
      <c r="T586" s="51"/>
      <c r="U586" s="51"/>
      <c r="V586" s="51"/>
      <c r="W586" s="51"/>
      <c r="X586" s="51"/>
      <c r="Y586" s="51"/>
      <c r="Z586" s="51"/>
      <c r="AA586" s="51"/>
      <c r="AB586" s="51"/>
    </row>
    <row r="587" customFormat="false" ht="15.75" hidden="false" customHeight="false" outlineLevel="0" collapsed="false">
      <c r="A587" s="51"/>
      <c r="B587" s="51"/>
      <c r="C587" s="6"/>
      <c r="D587" s="49"/>
      <c r="E587" s="51"/>
      <c r="F587" s="6"/>
      <c r="G587" s="6"/>
      <c r="H587" s="6"/>
      <c r="I587" s="6"/>
      <c r="J587" s="6"/>
      <c r="K587" s="51"/>
      <c r="L587" s="51"/>
      <c r="M587" s="51"/>
      <c r="N587" s="51"/>
      <c r="O587" s="51"/>
      <c r="P587" s="51"/>
      <c r="Q587" s="51"/>
      <c r="R587" s="51"/>
      <c r="S587" s="51"/>
      <c r="T587" s="51"/>
      <c r="U587" s="51"/>
      <c r="V587" s="51"/>
      <c r="W587" s="51"/>
      <c r="X587" s="51"/>
      <c r="Y587" s="51"/>
      <c r="Z587" s="51"/>
      <c r="AA587" s="51"/>
      <c r="AB587" s="51"/>
    </row>
    <row r="588" customFormat="false" ht="15.75" hidden="false" customHeight="false" outlineLevel="0" collapsed="false">
      <c r="A588" s="51"/>
      <c r="B588" s="51"/>
      <c r="C588" s="6"/>
      <c r="D588" s="49"/>
      <c r="E588" s="51"/>
      <c r="F588" s="6"/>
      <c r="G588" s="6"/>
      <c r="H588" s="6"/>
      <c r="I588" s="6"/>
      <c r="J588" s="6"/>
      <c r="K588" s="51"/>
      <c r="L588" s="51"/>
      <c r="M588" s="51"/>
      <c r="N588" s="51"/>
      <c r="O588" s="51"/>
      <c r="P588" s="51"/>
      <c r="Q588" s="51"/>
      <c r="R588" s="51"/>
      <c r="S588" s="51"/>
      <c r="T588" s="51"/>
      <c r="U588" s="51"/>
      <c r="V588" s="51"/>
      <c r="W588" s="51"/>
      <c r="X588" s="51"/>
      <c r="Y588" s="51"/>
      <c r="Z588" s="51"/>
      <c r="AA588" s="51"/>
      <c r="AB588" s="51"/>
    </row>
    <row r="589" customFormat="false" ht="15.75" hidden="false" customHeight="false" outlineLevel="0" collapsed="false">
      <c r="A589" s="51"/>
      <c r="B589" s="51"/>
      <c r="C589" s="6"/>
      <c r="D589" s="49"/>
      <c r="E589" s="51"/>
      <c r="F589" s="6"/>
      <c r="G589" s="6"/>
      <c r="H589" s="6"/>
      <c r="I589" s="6"/>
      <c r="J589" s="6"/>
      <c r="K589" s="51"/>
      <c r="L589" s="51"/>
      <c r="M589" s="51"/>
      <c r="N589" s="51"/>
      <c r="O589" s="51"/>
      <c r="P589" s="51"/>
      <c r="Q589" s="51"/>
      <c r="R589" s="51"/>
      <c r="S589" s="51"/>
      <c r="T589" s="51"/>
      <c r="U589" s="51"/>
      <c r="V589" s="51"/>
      <c r="W589" s="51"/>
      <c r="X589" s="51"/>
      <c r="Y589" s="51"/>
      <c r="Z589" s="51"/>
      <c r="AA589" s="51"/>
      <c r="AB589" s="51"/>
    </row>
    <row r="590" customFormat="false" ht="15.75" hidden="false" customHeight="false" outlineLevel="0" collapsed="false">
      <c r="A590" s="51"/>
      <c r="B590" s="51"/>
      <c r="C590" s="6"/>
      <c r="D590" s="49"/>
      <c r="E590" s="51"/>
      <c r="F590" s="6"/>
      <c r="G590" s="6"/>
      <c r="H590" s="6"/>
      <c r="I590" s="6"/>
      <c r="J590" s="6"/>
      <c r="K590" s="51"/>
      <c r="L590" s="51"/>
      <c r="M590" s="51"/>
      <c r="N590" s="51"/>
      <c r="O590" s="51"/>
      <c r="P590" s="51"/>
      <c r="Q590" s="51"/>
      <c r="R590" s="51"/>
      <c r="S590" s="51"/>
      <c r="T590" s="51"/>
      <c r="U590" s="51"/>
      <c r="V590" s="51"/>
      <c r="W590" s="51"/>
      <c r="X590" s="51"/>
      <c r="Y590" s="51"/>
      <c r="Z590" s="51"/>
      <c r="AA590" s="51"/>
      <c r="AB590" s="51"/>
    </row>
    <row r="591" customFormat="false" ht="15.75" hidden="false" customHeight="false" outlineLevel="0" collapsed="false">
      <c r="A591" s="51"/>
      <c r="B591" s="51"/>
      <c r="C591" s="6"/>
      <c r="D591" s="49"/>
      <c r="E591" s="51"/>
      <c r="F591" s="6"/>
      <c r="G591" s="6"/>
      <c r="H591" s="6"/>
      <c r="I591" s="6"/>
      <c r="J591" s="6"/>
      <c r="K591" s="51"/>
      <c r="L591" s="51"/>
      <c r="M591" s="51"/>
      <c r="N591" s="51"/>
      <c r="O591" s="51"/>
      <c r="P591" s="51"/>
      <c r="Q591" s="51"/>
      <c r="R591" s="51"/>
      <c r="S591" s="51"/>
      <c r="T591" s="51"/>
      <c r="U591" s="51"/>
      <c r="V591" s="51"/>
      <c r="W591" s="51"/>
      <c r="X591" s="51"/>
      <c r="Y591" s="51"/>
      <c r="Z591" s="51"/>
      <c r="AA591" s="51"/>
      <c r="AB591" s="51"/>
    </row>
    <row r="592" customFormat="false" ht="15.75" hidden="false" customHeight="false" outlineLevel="0" collapsed="false">
      <c r="A592" s="51"/>
      <c r="B592" s="51"/>
      <c r="C592" s="6"/>
      <c r="D592" s="49"/>
      <c r="E592" s="51"/>
      <c r="F592" s="6"/>
      <c r="G592" s="6"/>
      <c r="H592" s="6"/>
      <c r="I592" s="6"/>
      <c r="J592" s="6"/>
      <c r="K592" s="51"/>
      <c r="L592" s="51"/>
      <c r="M592" s="51"/>
      <c r="N592" s="51"/>
      <c r="O592" s="51"/>
      <c r="P592" s="51"/>
      <c r="Q592" s="51"/>
      <c r="R592" s="51"/>
      <c r="S592" s="51"/>
      <c r="T592" s="51"/>
      <c r="U592" s="51"/>
      <c r="V592" s="51"/>
      <c r="W592" s="51"/>
      <c r="X592" s="51"/>
      <c r="Y592" s="51"/>
      <c r="Z592" s="51"/>
      <c r="AA592" s="51"/>
      <c r="AB592" s="51"/>
    </row>
    <row r="593" customFormat="false" ht="15.75" hidden="false" customHeight="false" outlineLevel="0" collapsed="false">
      <c r="A593" s="51"/>
      <c r="B593" s="51"/>
      <c r="C593" s="6"/>
      <c r="D593" s="49"/>
      <c r="E593" s="51"/>
      <c r="F593" s="6"/>
      <c r="G593" s="6"/>
      <c r="H593" s="6"/>
      <c r="I593" s="6"/>
      <c r="J593" s="6"/>
      <c r="K593" s="51"/>
      <c r="L593" s="51"/>
      <c r="M593" s="51"/>
      <c r="N593" s="51"/>
      <c r="O593" s="51"/>
      <c r="P593" s="51"/>
      <c r="Q593" s="51"/>
      <c r="R593" s="51"/>
      <c r="S593" s="51"/>
      <c r="T593" s="51"/>
      <c r="U593" s="51"/>
      <c r="V593" s="51"/>
      <c r="W593" s="51"/>
      <c r="X593" s="51"/>
      <c r="Y593" s="51"/>
      <c r="Z593" s="51"/>
      <c r="AA593" s="51"/>
      <c r="AB593" s="51"/>
    </row>
    <row r="594" customFormat="false" ht="15.75" hidden="false" customHeight="false" outlineLevel="0" collapsed="false">
      <c r="A594" s="51"/>
      <c r="B594" s="51"/>
      <c r="C594" s="6"/>
      <c r="D594" s="49"/>
      <c r="E594" s="51"/>
      <c r="F594" s="6"/>
      <c r="G594" s="6"/>
      <c r="H594" s="6"/>
      <c r="I594" s="6"/>
      <c r="J594" s="6"/>
      <c r="K594" s="51"/>
      <c r="L594" s="51"/>
      <c r="M594" s="51"/>
      <c r="N594" s="51"/>
      <c r="O594" s="51"/>
      <c r="P594" s="51"/>
      <c r="Q594" s="51"/>
      <c r="R594" s="51"/>
      <c r="S594" s="51"/>
      <c r="T594" s="51"/>
      <c r="U594" s="51"/>
      <c r="V594" s="51"/>
      <c r="W594" s="51"/>
      <c r="X594" s="51"/>
      <c r="Y594" s="51"/>
      <c r="Z594" s="51"/>
      <c r="AA594" s="51"/>
      <c r="AB594" s="51"/>
    </row>
    <row r="595" customFormat="false" ht="15.75" hidden="false" customHeight="false" outlineLevel="0" collapsed="false">
      <c r="A595" s="51"/>
      <c r="B595" s="51"/>
      <c r="C595" s="6"/>
      <c r="D595" s="49"/>
      <c r="E595" s="51"/>
      <c r="F595" s="6"/>
      <c r="G595" s="6"/>
      <c r="H595" s="6"/>
      <c r="I595" s="6"/>
      <c r="J595" s="6"/>
      <c r="K595" s="51"/>
      <c r="L595" s="51"/>
      <c r="M595" s="51"/>
      <c r="N595" s="51"/>
      <c r="O595" s="51"/>
      <c r="P595" s="51"/>
      <c r="Q595" s="51"/>
      <c r="R595" s="51"/>
      <c r="S595" s="51"/>
      <c r="T595" s="51"/>
      <c r="U595" s="51"/>
      <c r="V595" s="51"/>
      <c r="W595" s="51"/>
      <c r="X595" s="51"/>
      <c r="Y595" s="51"/>
      <c r="Z595" s="51"/>
      <c r="AA595" s="51"/>
      <c r="AB595" s="51"/>
    </row>
    <row r="596" customFormat="false" ht="15.75" hidden="false" customHeight="false" outlineLevel="0" collapsed="false">
      <c r="A596" s="51"/>
      <c r="B596" s="51"/>
      <c r="C596" s="6"/>
      <c r="D596" s="49"/>
      <c r="E596" s="51"/>
      <c r="F596" s="6"/>
      <c r="G596" s="6"/>
      <c r="H596" s="6"/>
      <c r="I596" s="6"/>
      <c r="J596" s="6"/>
      <c r="K596" s="51"/>
      <c r="L596" s="51"/>
      <c r="M596" s="51"/>
      <c r="N596" s="51"/>
      <c r="O596" s="51"/>
      <c r="P596" s="51"/>
      <c r="Q596" s="51"/>
      <c r="R596" s="51"/>
      <c r="S596" s="51"/>
      <c r="T596" s="51"/>
      <c r="U596" s="51"/>
      <c r="V596" s="51"/>
      <c r="W596" s="51"/>
      <c r="X596" s="51"/>
      <c r="Y596" s="51"/>
      <c r="Z596" s="51"/>
      <c r="AA596" s="51"/>
      <c r="AB596" s="51"/>
    </row>
    <row r="597" customFormat="false" ht="15.75" hidden="false" customHeight="false" outlineLevel="0" collapsed="false">
      <c r="A597" s="51"/>
      <c r="B597" s="51"/>
      <c r="C597" s="6"/>
      <c r="D597" s="49"/>
      <c r="E597" s="51"/>
      <c r="F597" s="6"/>
      <c r="G597" s="6"/>
      <c r="H597" s="6"/>
      <c r="I597" s="6"/>
      <c r="J597" s="6"/>
      <c r="K597" s="51"/>
      <c r="L597" s="51"/>
      <c r="M597" s="51"/>
      <c r="N597" s="51"/>
      <c r="O597" s="51"/>
      <c r="P597" s="51"/>
      <c r="Q597" s="51"/>
      <c r="R597" s="51"/>
      <c r="S597" s="51"/>
      <c r="T597" s="51"/>
      <c r="U597" s="51"/>
      <c r="V597" s="51"/>
      <c r="W597" s="51"/>
      <c r="X597" s="51"/>
      <c r="Y597" s="51"/>
      <c r="Z597" s="51"/>
      <c r="AA597" s="51"/>
      <c r="AB597" s="51"/>
    </row>
    <row r="598" customFormat="false" ht="15.75" hidden="false" customHeight="false" outlineLevel="0" collapsed="false">
      <c r="A598" s="51"/>
      <c r="B598" s="51"/>
      <c r="C598" s="6"/>
      <c r="D598" s="49"/>
      <c r="E598" s="51"/>
      <c r="F598" s="6"/>
      <c r="G598" s="6"/>
      <c r="H598" s="6"/>
      <c r="I598" s="6"/>
      <c r="J598" s="6"/>
      <c r="K598" s="51"/>
      <c r="L598" s="51"/>
      <c r="M598" s="51"/>
      <c r="N598" s="51"/>
      <c r="O598" s="51"/>
      <c r="P598" s="51"/>
      <c r="Q598" s="51"/>
      <c r="R598" s="51"/>
      <c r="S598" s="51"/>
      <c r="T598" s="51"/>
      <c r="U598" s="51"/>
      <c r="V598" s="51"/>
      <c r="W598" s="51"/>
      <c r="X598" s="51"/>
      <c r="Y598" s="51"/>
      <c r="Z598" s="51"/>
      <c r="AA598" s="51"/>
      <c r="AB598" s="51"/>
    </row>
    <row r="599" customFormat="false" ht="15.75" hidden="false" customHeight="false" outlineLevel="0" collapsed="false">
      <c r="A599" s="51"/>
      <c r="B599" s="51"/>
      <c r="C599" s="6"/>
      <c r="D599" s="49"/>
      <c r="E599" s="51"/>
      <c r="F599" s="6"/>
      <c r="G599" s="6"/>
      <c r="H599" s="6"/>
      <c r="I599" s="6"/>
      <c r="J599" s="6"/>
      <c r="K599" s="51"/>
      <c r="L599" s="51"/>
      <c r="M599" s="51"/>
      <c r="N599" s="51"/>
      <c r="O599" s="51"/>
      <c r="P599" s="51"/>
      <c r="Q599" s="51"/>
      <c r="R599" s="51"/>
      <c r="S599" s="51"/>
      <c r="T599" s="51"/>
      <c r="U599" s="51"/>
      <c r="V599" s="51"/>
      <c r="W599" s="51"/>
      <c r="X599" s="51"/>
      <c r="Y599" s="51"/>
      <c r="Z599" s="51"/>
      <c r="AA599" s="51"/>
      <c r="AB599" s="51"/>
    </row>
    <row r="600" customFormat="false" ht="15.75" hidden="false" customHeight="false" outlineLevel="0" collapsed="false">
      <c r="A600" s="51"/>
      <c r="B600" s="51"/>
      <c r="C600" s="6"/>
      <c r="D600" s="49"/>
      <c r="E600" s="51"/>
      <c r="F600" s="6"/>
      <c r="G600" s="6"/>
      <c r="H600" s="6"/>
      <c r="I600" s="6"/>
      <c r="J600" s="6"/>
      <c r="K600" s="51"/>
      <c r="L600" s="51"/>
      <c r="M600" s="51"/>
      <c r="N600" s="51"/>
      <c r="O600" s="51"/>
      <c r="P600" s="51"/>
      <c r="Q600" s="51"/>
      <c r="R600" s="51"/>
      <c r="S600" s="51"/>
      <c r="T600" s="51"/>
      <c r="U600" s="51"/>
      <c r="V600" s="51"/>
      <c r="W600" s="51"/>
      <c r="X600" s="51"/>
      <c r="Y600" s="51"/>
      <c r="Z600" s="51"/>
      <c r="AA600" s="51"/>
      <c r="AB600" s="51"/>
    </row>
    <row r="601" customFormat="false" ht="15.75" hidden="false" customHeight="false" outlineLevel="0" collapsed="false">
      <c r="A601" s="51"/>
      <c r="B601" s="51"/>
      <c r="C601" s="6"/>
      <c r="D601" s="49"/>
      <c r="E601" s="51"/>
      <c r="F601" s="6"/>
      <c r="G601" s="6"/>
      <c r="H601" s="6"/>
      <c r="I601" s="6"/>
      <c r="J601" s="6"/>
      <c r="K601" s="51"/>
      <c r="L601" s="51"/>
      <c r="M601" s="51"/>
      <c r="N601" s="51"/>
      <c r="O601" s="51"/>
      <c r="P601" s="51"/>
      <c r="Q601" s="51"/>
      <c r="R601" s="51"/>
      <c r="S601" s="51"/>
      <c r="T601" s="51"/>
      <c r="U601" s="51"/>
      <c r="V601" s="51"/>
      <c r="W601" s="51"/>
      <c r="X601" s="51"/>
      <c r="Y601" s="51"/>
      <c r="Z601" s="51"/>
      <c r="AA601" s="51"/>
      <c r="AB601" s="51"/>
    </row>
    <row r="602" customFormat="false" ht="15.75" hidden="false" customHeight="false" outlineLevel="0" collapsed="false">
      <c r="A602" s="51"/>
      <c r="B602" s="51"/>
      <c r="C602" s="6"/>
      <c r="D602" s="49"/>
      <c r="E602" s="51"/>
      <c r="F602" s="6"/>
      <c r="G602" s="6"/>
      <c r="H602" s="6"/>
      <c r="I602" s="6"/>
      <c r="J602" s="6"/>
      <c r="K602" s="51"/>
      <c r="L602" s="51"/>
      <c r="M602" s="51"/>
      <c r="N602" s="51"/>
      <c r="O602" s="51"/>
      <c r="P602" s="51"/>
      <c r="Q602" s="51"/>
      <c r="R602" s="51"/>
      <c r="S602" s="51"/>
      <c r="T602" s="51"/>
      <c r="U602" s="51"/>
      <c r="V602" s="51"/>
      <c r="W602" s="51"/>
      <c r="X602" s="51"/>
      <c r="Y602" s="51"/>
      <c r="Z602" s="51"/>
      <c r="AA602" s="51"/>
      <c r="AB602" s="51"/>
    </row>
    <row r="603" customFormat="false" ht="15.75" hidden="false" customHeight="false" outlineLevel="0" collapsed="false">
      <c r="A603" s="51"/>
      <c r="B603" s="51"/>
      <c r="C603" s="6"/>
      <c r="D603" s="49"/>
      <c r="E603" s="51"/>
      <c r="F603" s="6"/>
      <c r="G603" s="6"/>
      <c r="H603" s="6"/>
      <c r="I603" s="6"/>
      <c r="J603" s="6"/>
      <c r="K603" s="51"/>
      <c r="L603" s="51"/>
      <c r="M603" s="51"/>
      <c r="N603" s="51"/>
      <c r="O603" s="51"/>
      <c r="P603" s="51"/>
      <c r="Q603" s="51"/>
      <c r="R603" s="51"/>
      <c r="S603" s="51"/>
      <c r="T603" s="51"/>
      <c r="U603" s="51"/>
      <c r="V603" s="51"/>
      <c r="W603" s="51"/>
      <c r="X603" s="51"/>
      <c r="Y603" s="51"/>
      <c r="Z603" s="51"/>
      <c r="AA603" s="51"/>
      <c r="AB603" s="51"/>
    </row>
    <row r="604" customFormat="false" ht="15.75" hidden="false" customHeight="false" outlineLevel="0" collapsed="false">
      <c r="A604" s="51"/>
      <c r="B604" s="51"/>
      <c r="C604" s="6"/>
      <c r="D604" s="49"/>
      <c r="E604" s="51"/>
      <c r="F604" s="6"/>
      <c r="G604" s="6"/>
      <c r="H604" s="6"/>
      <c r="I604" s="6"/>
      <c r="J604" s="6"/>
      <c r="K604" s="51"/>
      <c r="L604" s="51"/>
      <c r="M604" s="51"/>
      <c r="N604" s="51"/>
      <c r="O604" s="51"/>
      <c r="P604" s="51"/>
      <c r="Q604" s="51"/>
      <c r="R604" s="51"/>
      <c r="S604" s="51"/>
      <c r="T604" s="51"/>
      <c r="U604" s="51"/>
      <c r="V604" s="51"/>
      <c r="W604" s="51"/>
      <c r="X604" s="51"/>
      <c r="Y604" s="51"/>
      <c r="Z604" s="51"/>
      <c r="AA604" s="51"/>
      <c r="AB604" s="51"/>
    </row>
    <row r="605" customFormat="false" ht="15.75" hidden="false" customHeight="false" outlineLevel="0" collapsed="false">
      <c r="A605" s="51"/>
      <c r="B605" s="51"/>
      <c r="C605" s="6"/>
      <c r="D605" s="49"/>
      <c r="E605" s="51"/>
      <c r="F605" s="6"/>
      <c r="G605" s="6"/>
      <c r="H605" s="6"/>
      <c r="I605" s="6"/>
      <c r="J605" s="6"/>
      <c r="K605" s="51"/>
      <c r="L605" s="51"/>
      <c r="M605" s="51"/>
      <c r="N605" s="51"/>
      <c r="O605" s="51"/>
      <c r="P605" s="51"/>
      <c r="Q605" s="51"/>
      <c r="R605" s="51"/>
      <c r="S605" s="51"/>
      <c r="T605" s="51"/>
      <c r="U605" s="51"/>
      <c r="V605" s="51"/>
      <c r="W605" s="51"/>
      <c r="X605" s="51"/>
      <c r="Y605" s="51"/>
      <c r="Z605" s="51"/>
      <c r="AA605" s="51"/>
      <c r="AB605" s="51"/>
    </row>
    <row r="606" customFormat="false" ht="15.75" hidden="false" customHeight="false" outlineLevel="0" collapsed="false">
      <c r="A606" s="51"/>
      <c r="B606" s="51"/>
      <c r="C606" s="6"/>
      <c r="D606" s="49"/>
      <c r="E606" s="51"/>
      <c r="F606" s="6"/>
      <c r="G606" s="6"/>
      <c r="H606" s="6"/>
      <c r="I606" s="6"/>
      <c r="J606" s="6"/>
      <c r="K606" s="51"/>
      <c r="L606" s="51"/>
      <c r="M606" s="51"/>
      <c r="N606" s="51"/>
      <c r="O606" s="51"/>
      <c r="P606" s="51"/>
      <c r="Q606" s="51"/>
      <c r="R606" s="51"/>
      <c r="S606" s="51"/>
      <c r="T606" s="51"/>
      <c r="U606" s="51"/>
      <c r="V606" s="51"/>
      <c r="W606" s="51"/>
      <c r="X606" s="51"/>
      <c r="Y606" s="51"/>
      <c r="Z606" s="51"/>
      <c r="AA606" s="51"/>
      <c r="AB606" s="51"/>
    </row>
    <row r="607" customFormat="false" ht="15.75" hidden="false" customHeight="false" outlineLevel="0" collapsed="false">
      <c r="A607" s="51"/>
      <c r="B607" s="51"/>
      <c r="C607" s="6"/>
      <c r="D607" s="49"/>
      <c r="E607" s="51"/>
      <c r="F607" s="6"/>
      <c r="G607" s="6"/>
      <c r="H607" s="6"/>
      <c r="I607" s="6"/>
      <c r="J607" s="6"/>
      <c r="K607" s="51"/>
      <c r="L607" s="51"/>
      <c r="M607" s="51"/>
      <c r="N607" s="51"/>
      <c r="O607" s="51"/>
      <c r="P607" s="51"/>
      <c r="Q607" s="51"/>
      <c r="R607" s="51"/>
      <c r="S607" s="51"/>
      <c r="T607" s="51"/>
      <c r="U607" s="51"/>
      <c r="V607" s="51"/>
      <c r="W607" s="51"/>
      <c r="X607" s="51"/>
      <c r="Y607" s="51"/>
      <c r="Z607" s="51"/>
      <c r="AA607" s="51"/>
      <c r="AB607" s="51"/>
    </row>
    <row r="608" customFormat="false" ht="15.75" hidden="false" customHeight="false" outlineLevel="0" collapsed="false">
      <c r="A608" s="51"/>
      <c r="B608" s="51"/>
      <c r="C608" s="6"/>
      <c r="D608" s="49"/>
      <c r="E608" s="51"/>
      <c r="F608" s="6"/>
      <c r="G608" s="6"/>
      <c r="H608" s="6"/>
      <c r="I608" s="6"/>
      <c r="J608" s="6"/>
      <c r="K608" s="51"/>
      <c r="L608" s="51"/>
      <c r="M608" s="51"/>
      <c r="N608" s="51"/>
      <c r="O608" s="51"/>
      <c r="P608" s="51"/>
      <c r="Q608" s="51"/>
      <c r="R608" s="51"/>
      <c r="S608" s="51"/>
      <c r="T608" s="51"/>
      <c r="U608" s="51"/>
      <c r="V608" s="51"/>
      <c r="W608" s="51"/>
      <c r="X608" s="51"/>
      <c r="Y608" s="51"/>
      <c r="Z608" s="51"/>
      <c r="AA608" s="51"/>
      <c r="AB608" s="51"/>
    </row>
    <row r="609" customFormat="false" ht="15.75" hidden="false" customHeight="false" outlineLevel="0" collapsed="false">
      <c r="A609" s="51"/>
      <c r="B609" s="51"/>
      <c r="C609" s="6"/>
      <c r="D609" s="49"/>
      <c r="E609" s="51"/>
      <c r="F609" s="6"/>
      <c r="G609" s="6"/>
      <c r="H609" s="6"/>
      <c r="I609" s="6"/>
      <c r="J609" s="6"/>
      <c r="K609" s="51"/>
      <c r="L609" s="51"/>
      <c r="M609" s="51"/>
      <c r="N609" s="51"/>
      <c r="O609" s="51"/>
      <c r="P609" s="51"/>
      <c r="Q609" s="51"/>
      <c r="R609" s="51"/>
      <c r="S609" s="51"/>
      <c r="T609" s="51"/>
      <c r="U609" s="51"/>
      <c r="V609" s="51"/>
      <c r="W609" s="51"/>
      <c r="X609" s="51"/>
      <c r="Y609" s="51"/>
      <c r="Z609" s="51"/>
      <c r="AA609" s="51"/>
      <c r="AB609" s="51"/>
    </row>
    <row r="610" customFormat="false" ht="15.75" hidden="false" customHeight="false" outlineLevel="0" collapsed="false">
      <c r="A610" s="51"/>
      <c r="B610" s="51"/>
      <c r="C610" s="6"/>
      <c r="D610" s="49"/>
      <c r="E610" s="51"/>
      <c r="F610" s="6"/>
      <c r="G610" s="6"/>
      <c r="H610" s="6"/>
      <c r="I610" s="6"/>
      <c r="J610" s="6"/>
      <c r="K610" s="51"/>
      <c r="L610" s="51"/>
      <c r="M610" s="51"/>
      <c r="N610" s="51"/>
      <c r="O610" s="51"/>
      <c r="P610" s="51"/>
      <c r="Q610" s="51"/>
      <c r="R610" s="51"/>
      <c r="S610" s="51"/>
      <c r="T610" s="51"/>
      <c r="U610" s="51"/>
      <c r="V610" s="51"/>
      <c r="W610" s="51"/>
      <c r="X610" s="51"/>
      <c r="Y610" s="51"/>
      <c r="Z610" s="51"/>
      <c r="AA610" s="51"/>
      <c r="AB610" s="51"/>
    </row>
    <row r="611" customFormat="false" ht="15.75" hidden="false" customHeight="false" outlineLevel="0" collapsed="false">
      <c r="A611" s="51"/>
      <c r="B611" s="51"/>
      <c r="C611" s="6"/>
      <c r="D611" s="49"/>
      <c r="E611" s="51"/>
      <c r="F611" s="6"/>
      <c r="G611" s="6"/>
      <c r="H611" s="6"/>
      <c r="I611" s="6"/>
      <c r="J611" s="6"/>
      <c r="K611" s="51"/>
      <c r="L611" s="51"/>
      <c r="M611" s="51"/>
      <c r="N611" s="51"/>
      <c r="O611" s="51"/>
      <c r="P611" s="51"/>
      <c r="Q611" s="51"/>
      <c r="R611" s="51"/>
      <c r="S611" s="51"/>
      <c r="T611" s="51"/>
      <c r="U611" s="51"/>
      <c r="V611" s="51"/>
      <c r="W611" s="51"/>
      <c r="X611" s="51"/>
      <c r="Y611" s="51"/>
      <c r="Z611" s="51"/>
      <c r="AA611" s="51"/>
      <c r="AB611" s="51"/>
    </row>
    <row r="612" customFormat="false" ht="15.75" hidden="false" customHeight="false" outlineLevel="0" collapsed="false">
      <c r="A612" s="51"/>
      <c r="B612" s="51"/>
      <c r="C612" s="6"/>
      <c r="D612" s="49"/>
      <c r="E612" s="51"/>
      <c r="F612" s="6"/>
      <c r="G612" s="6"/>
      <c r="H612" s="6"/>
      <c r="I612" s="6"/>
      <c r="J612" s="6"/>
      <c r="K612" s="51"/>
      <c r="L612" s="51"/>
      <c r="M612" s="51"/>
      <c r="N612" s="51"/>
      <c r="O612" s="51"/>
      <c r="P612" s="51"/>
      <c r="Q612" s="51"/>
      <c r="R612" s="51"/>
      <c r="S612" s="51"/>
      <c r="T612" s="51"/>
      <c r="U612" s="51"/>
      <c r="V612" s="51"/>
      <c r="W612" s="51"/>
      <c r="X612" s="51"/>
      <c r="Y612" s="51"/>
      <c r="Z612" s="51"/>
      <c r="AA612" s="51"/>
      <c r="AB612" s="51"/>
    </row>
    <row r="613" customFormat="false" ht="15.75" hidden="false" customHeight="false" outlineLevel="0" collapsed="false">
      <c r="A613" s="51"/>
      <c r="B613" s="51"/>
      <c r="C613" s="6"/>
      <c r="D613" s="49"/>
      <c r="E613" s="51"/>
      <c r="F613" s="6"/>
      <c r="G613" s="6"/>
      <c r="H613" s="6"/>
      <c r="I613" s="6"/>
      <c r="J613" s="6"/>
      <c r="K613" s="51"/>
      <c r="L613" s="51"/>
      <c r="M613" s="51"/>
      <c r="N613" s="51"/>
      <c r="O613" s="51"/>
      <c r="P613" s="51"/>
      <c r="Q613" s="51"/>
      <c r="R613" s="51"/>
      <c r="S613" s="51"/>
      <c r="T613" s="51"/>
      <c r="U613" s="51"/>
      <c r="V613" s="51"/>
      <c r="W613" s="51"/>
      <c r="X613" s="51"/>
      <c r="Y613" s="51"/>
      <c r="Z613" s="51"/>
      <c r="AA613" s="51"/>
      <c r="AB613" s="51"/>
    </row>
    <row r="614" customFormat="false" ht="15.75" hidden="false" customHeight="false" outlineLevel="0" collapsed="false">
      <c r="A614" s="51"/>
      <c r="B614" s="51"/>
      <c r="C614" s="6"/>
      <c r="D614" s="49"/>
      <c r="E614" s="51"/>
      <c r="F614" s="6"/>
      <c r="G614" s="6"/>
      <c r="H614" s="6"/>
      <c r="I614" s="6"/>
      <c r="J614" s="6"/>
      <c r="K614" s="51"/>
      <c r="L614" s="51"/>
      <c r="M614" s="51"/>
      <c r="N614" s="51"/>
      <c r="O614" s="51"/>
      <c r="P614" s="51"/>
      <c r="Q614" s="51"/>
      <c r="R614" s="51"/>
      <c r="S614" s="51"/>
      <c r="T614" s="51"/>
      <c r="U614" s="51"/>
      <c r="V614" s="51"/>
      <c r="W614" s="51"/>
      <c r="X614" s="51"/>
      <c r="Y614" s="51"/>
      <c r="Z614" s="51"/>
      <c r="AA614" s="51"/>
      <c r="AB614" s="51"/>
    </row>
    <row r="615" customFormat="false" ht="15.75" hidden="false" customHeight="false" outlineLevel="0" collapsed="false">
      <c r="A615" s="51"/>
      <c r="B615" s="51"/>
      <c r="C615" s="6"/>
      <c r="D615" s="49"/>
      <c r="E615" s="51"/>
      <c r="F615" s="6"/>
      <c r="G615" s="6"/>
      <c r="H615" s="6"/>
      <c r="I615" s="6"/>
      <c r="J615" s="6"/>
      <c r="K615" s="51"/>
      <c r="L615" s="51"/>
      <c r="M615" s="51"/>
      <c r="N615" s="51"/>
      <c r="O615" s="51"/>
      <c r="P615" s="51"/>
      <c r="Q615" s="51"/>
      <c r="R615" s="51"/>
      <c r="S615" s="51"/>
      <c r="T615" s="51"/>
      <c r="U615" s="51"/>
      <c r="V615" s="51"/>
      <c r="W615" s="51"/>
      <c r="X615" s="51"/>
      <c r="Y615" s="51"/>
      <c r="Z615" s="51"/>
      <c r="AA615" s="51"/>
      <c r="AB615" s="51"/>
    </row>
    <row r="616" customFormat="false" ht="15.75" hidden="false" customHeight="false" outlineLevel="0" collapsed="false">
      <c r="A616" s="51"/>
      <c r="B616" s="51"/>
      <c r="C616" s="6"/>
      <c r="D616" s="49"/>
      <c r="E616" s="51"/>
      <c r="F616" s="6"/>
      <c r="G616" s="6"/>
      <c r="H616" s="6"/>
      <c r="I616" s="6"/>
      <c r="J616" s="6"/>
      <c r="K616" s="51"/>
      <c r="L616" s="51"/>
      <c r="M616" s="51"/>
      <c r="N616" s="51"/>
      <c r="O616" s="51"/>
      <c r="P616" s="51"/>
      <c r="Q616" s="51"/>
      <c r="R616" s="51"/>
      <c r="S616" s="51"/>
      <c r="T616" s="51"/>
      <c r="U616" s="51"/>
      <c r="V616" s="51"/>
      <c r="W616" s="51"/>
      <c r="X616" s="51"/>
      <c r="Y616" s="51"/>
      <c r="Z616" s="51"/>
      <c r="AA616" s="51"/>
      <c r="AB616" s="51"/>
    </row>
    <row r="617" customFormat="false" ht="15.75" hidden="false" customHeight="false" outlineLevel="0" collapsed="false">
      <c r="A617" s="51"/>
      <c r="B617" s="51"/>
      <c r="C617" s="6"/>
      <c r="D617" s="49"/>
      <c r="E617" s="51"/>
      <c r="F617" s="6"/>
      <c r="G617" s="6"/>
      <c r="H617" s="6"/>
      <c r="I617" s="6"/>
      <c r="J617" s="6"/>
      <c r="K617" s="51"/>
      <c r="L617" s="51"/>
      <c r="M617" s="51"/>
      <c r="N617" s="51"/>
      <c r="O617" s="51"/>
      <c r="P617" s="51"/>
      <c r="Q617" s="51"/>
      <c r="R617" s="51"/>
      <c r="S617" s="51"/>
      <c r="T617" s="51"/>
      <c r="U617" s="51"/>
      <c r="V617" s="51"/>
      <c r="W617" s="51"/>
      <c r="X617" s="51"/>
      <c r="Y617" s="51"/>
      <c r="Z617" s="51"/>
      <c r="AA617" s="51"/>
      <c r="AB617" s="51"/>
    </row>
    <row r="618" customFormat="false" ht="15.75" hidden="false" customHeight="false" outlineLevel="0" collapsed="false">
      <c r="A618" s="51"/>
      <c r="B618" s="51"/>
      <c r="C618" s="6"/>
      <c r="D618" s="49"/>
      <c r="E618" s="51"/>
      <c r="F618" s="6"/>
      <c r="G618" s="6"/>
      <c r="H618" s="6"/>
      <c r="I618" s="6"/>
      <c r="J618" s="6"/>
      <c r="K618" s="51"/>
      <c r="L618" s="51"/>
      <c r="M618" s="51"/>
      <c r="N618" s="51"/>
      <c r="O618" s="51"/>
      <c r="P618" s="51"/>
      <c r="Q618" s="51"/>
      <c r="R618" s="51"/>
      <c r="S618" s="51"/>
      <c r="T618" s="51"/>
      <c r="U618" s="51"/>
      <c r="V618" s="51"/>
      <c r="W618" s="51"/>
      <c r="X618" s="51"/>
      <c r="Y618" s="51"/>
      <c r="Z618" s="51"/>
      <c r="AA618" s="51"/>
      <c r="AB618" s="51"/>
    </row>
    <row r="619" customFormat="false" ht="15.75" hidden="false" customHeight="false" outlineLevel="0" collapsed="false">
      <c r="A619" s="51"/>
      <c r="B619" s="51"/>
      <c r="C619" s="6"/>
      <c r="D619" s="49"/>
      <c r="E619" s="51"/>
      <c r="F619" s="6"/>
      <c r="G619" s="6"/>
      <c r="H619" s="6"/>
      <c r="I619" s="6"/>
      <c r="J619" s="6"/>
      <c r="K619" s="51"/>
      <c r="L619" s="51"/>
      <c r="M619" s="51"/>
      <c r="N619" s="51"/>
      <c r="O619" s="51"/>
      <c r="P619" s="51"/>
      <c r="Q619" s="51"/>
      <c r="R619" s="51"/>
      <c r="S619" s="51"/>
      <c r="T619" s="51"/>
      <c r="U619" s="51"/>
      <c r="V619" s="51"/>
      <c r="W619" s="51"/>
      <c r="X619" s="51"/>
      <c r="Y619" s="51"/>
      <c r="Z619" s="51"/>
      <c r="AA619" s="51"/>
      <c r="AB619" s="51"/>
    </row>
    <row r="620" customFormat="false" ht="15.75" hidden="false" customHeight="false" outlineLevel="0" collapsed="false">
      <c r="A620" s="51"/>
      <c r="B620" s="51"/>
      <c r="C620" s="6"/>
      <c r="D620" s="49"/>
      <c r="E620" s="51"/>
      <c r="F620" s="6"/>
      <c r="G620" s="6"/>
      <c r="H620" s="6"/>
      <c r="I620" s="6"/>
      <c r="J620" s="6"/>
      <c r="K620" s="51"/>
      <c r="L620" s="51"/>
      <c r="M620" s="51"/>
      <c r="N620" s="51"/>
      <c r="O620" s="51"/>
      <c r="P620" s="51"/>
      <c r="Q620" s="51"/>
      <c r="R620" s="51"/>
      <c r="S620" s="51"/>
      <c r="T620" s="51"/>
      <c r="U620" s="51"/>
      <c r="V620" s="51"/>
      <c r="W620" s="51"/>
      <c r="X620" s="51"/>
      <c r="Y620" s="51"/>
      <c r="Z620" s="51"/>
      <c r="AA620" s="51"/>
      <c r="AB620" s="51"/>
    </row>
    <row r="621" customFormat="false" ht="15.75" hidden="false" customHeight="false" outlineLevel="0" collapsed="false">
      <c r="A621" s="51"/>
      <c r="B621" s="51"/>
      <c r="C621" s="6"/>
      <c r="D621" s="49"/>
      <c r="E621" s="51"/>
      <c r="F621" s="6"/>
      <c r="G621" s="6"/>
      <c r="H621" s="6"/>
      <c r="I621" s="6"/>
      <c r="J621" s="6"/>
      <c r="K621" s="51"/>
      <c r="L621" s="51"/>
      <c r="M621" s="51"/>
      <c r="N621" s="51"/>
      <c r="O621" s="51"/>
      <c r="P621" s="51"/>
      <c r="Q621" s="51"/>
      <c r="R621" s="51"/>
      <c r="S621" s="51"/>
      <c r="T621" s="51"/>
      <c r="U621" s="51"/>
      <c r="V621" s="51"/>
      <c r="W621" s="51"/>
      <c r="X621" s="51"/>
      <c r="Y621" s="51"/>
      <c r="Z621" s="51"/>
      <c r="AA621" s="51"/>
      <c r="AB621" s="51"/>
    </row>
    <row r="622" customFormat="false" ht="15.75" hidden="false" customHeight="false" outlineLevel="0" collapsed="false">
      <c r="A622" s="51"/>
      <c r="B622" s="51"/>
      <c r="C622" s="6"/>
      <c r="D622" s="49"/>
      <c r="E622" s="51"/>
      <c r="F622" s="6"/>
      <c r="G622" s="6"/>
      <c r="H622" s="6"/>
      <c r="I622" s="6"/>
      <c r="J622" s="6"/>
      <c r="K622" s="51"/>
      <c r="L622" s="51"/>
      <c r="M622" s="51"/>
      <c r="N622" s="51"/>
      <c r="O622" s="51"/>
      <c r="P622" s="51"/>
      <c r="Q622" s="51"/>
      <c r="R622" s="51"/>
      <c r="S622" s="51"/>
      <c r="T622" s="51"/>
      <c r="U622" s="51"/>
      <c r="V622" s="51"/>
      <c r="W622" s="51"/>
      <c r="X622" s="51"/>
      <c r="Y622" s="51"/>
      <c r="Z622" s="51"/>
      <c r="AA622" s="51"/>
      <c r="AB622" s="51"/>
    </row>
    <row r="623" customFormat="false" ht="15.75" hidden="false" customHeight="false" outlineLevel="0" collapsed="false">
      <c r="A623" s="51"/>
      <c r="B623" s="51"/>
      <c r="C623" s="6"/>
      <c r="D623" s="49"/>
      <c r="E623" s="51"/>
      <c r="F623" s="6"/>
      <c r="G623" s="6"/>
      <c r="H623" s="6"/>
      <c r="I623" s="6"/>
      <c r="J623" s="6"/>
      <c r="K623" s="51"/>
      <c r="L623" s="51"/>
      <c r="M623" s="51"/>
      <c r="N623" s="51"/>
      <c r="O623" s="51"/>
      <c r="P623" s="51"/>
      <c r="Q623" s="51"/>
      <c r="R623" s="51"/>
      <c r="S623" s="51"/>
      <c r="T623" s="51"/>
      <c r="U623" s="51"/>
      <c r="V623" s="51"/>
      <c r="W623" s="51"/>
      <c r="X623" s="51"/>
      <c r="Y623" s="51"/>
      <c r="Z623" s="51"/>
      <c r="AA623" s="51"/>
      <c r="AB623" s="51"/>
    </row>
    <row r="624" customFormat="false" ht="15.75" hidden="false" customHeight="false" outlineLevel="0" collapsed="false">
      <c r="A624" s="51"/>
      <c r="B624" s="51"/>
      <c r="C624" s="6"/>
      <c r="D624" s="49"/>
      <c r="E624" s="51"/>
      <c r="F624" s="6"/>
      <c r="G624" s="6"/>
      <c r="H624" s="6"/>
      <c r="I624" s="6"/>
      <c r="J624" s="6"/>
      <c r="K624" s="51"/>
      <c r="L624" s="51"/>
      <c r="M624" s="51"/>
      <c r="N624" s="51"/>
      <c r="O624" s="51"/>
      <c r="P624" s="51"/>
      <c r="Q624" s="51"/>
      <c r="R624" s="51"/>
      <c r="S624" s="51"/>
      <c r="T624" s="51"/>
      <c r="U624" s="51"/>
      <c r="V624" s="51"/>
      <c r="W624" s="51"/>
      <c r="X624" s="51"/>
      <c r="Y624" s="51"/>
      <c r="Z624" s="51"/>
      <c r="AA624" s="51"/>
      <c r="AB624" s="51"/>
    </row>
    <row r="625" customFormat="false" ht="15.75" hidden="false" customHeight="false" outlineLevel="0" collapsed="false">
      <c r="A625" s="51"/>
      <c r="B625" s="51"/>
      <c r="C625" s="6"/>
      <c r="D625" s="49"/>
      <c r="E625" s="51"/>
      <c r="F625" s="6"/>
      <c r="G625" s="6"/>
      <c r="H625" s="6"/>
      <c r="I625" s="6"/>
      <c r="J625" s="6"/>
      <c r="K625" s="51"/>
      <c r="L625" s="51"/>
      <c r="M625" s="51"/>
      <c r="N625" s="51"/>
      <c r="O625" s="51"/>
      <c r="P625" s="51"/>
      <c r="Q625" s="51"/>
      <c r="R625" s="51"/>
      <c r="S625" s="51"/>
      <c r="T625" s="51"/>
      <c r="U625" s="51"/>
      <c r="V625" s="51"/>
      <c r="W625" s="51"/>
      <c r="X625" s="51"/>
      <c r="Y625" s="51"/>
      <c r="Z625" s="51"/>
      <c r="AA625" s="51"/>
      <c r="AB625" s="51"/>
    </row>
    <row r="626" customFormat="false" ht="15.75" hidden="false" customHeight="false" outlineLevel="0" collapsed="false">
      <c r="A626" s="51"/>
      <c r="B626" s="51"/>
      <c r="C626" s="6"/>
      <c r="D626" s="49"/>
      <c r="E626" s="51"/>
      <c r="F626" s="6"/>
      <c r="G626" s="6"/>
      <c r="H626" s="6"/>
      <c r="I626" s="6"/>
      <c r="J626" s="6"/>
      <c r="K626" s="51"/>
      <c r="L626" s="51"/>
      <c r="M626" s="51"/>
      <c r="N626" s="51"/>
      <c r="O626" s="51"/>
      <c r="P626" s="51"/>
      <c r="Q626" s="51"/>
      <c r="R626" s="51"/>
      <c r="S626" s="51"/>
      <c r="T626" s="51"/>
      <c r="U626" s="51"/>
      <c r="V626" s="51"/>
      <c r="W626" s="51"/>
      <c r="X626" s="51"/>
      <c r="Y626" s="51"/>
      <c r="Z626" s="51"/>
      <c r="AA626" s="51"/>
      <c r="AB626" s="51"/>
    </row>
    <row r="627" customFormat="false" ht="15.75" hidden="false" customHeight="false" outlineLevel="0" collapsed="false">
      <c r="A627" s="51"/>
      <c r="B627" s="51"/>
      <c r="C627" s="6"/>
      <c r="D627" s="49"/>
      <c r="E627" s="51"/>
      <c r="F627" s="6"/>
      <c r="G627" s="6"/>
      <c r="H627" s="6"/>
      <c r="I627" s="6"/>
      <c r="J627" s="6"/>
      <c r="K627" s="51"/>
      <c r="L627" s="51"/>
      <c r="M627" s="51"/>
      <c r="N627" s="51"/>
      <c r="O627" s="51"/>
      <c r="P627" s="51"/>
      <c r="Q627" s="51"/>
      <c r="R627" s="51"/>
      <c r="S627" s="51"/>
      <c r="T627" s="51"/>
      <c r="U627" s="51"/>
      <c r="V627" s="51"/>
      <c r="W627" s="51"/>
      <c r="X627" s="51"/>
      <c r="Y627" s="51"/>
      <c r="Z627" s="51"/>
      <c r="AA627" s="51"/>
      <c r="AB627" s="51"/>
    </row>
    <row r="628" customFormat="false" ht="15.75" hidden="false" customHeight="false" outlineLevel="0" collapsed="false">
      <c r="A628" s="51"/>
      <c r="B628" s="51"/>
      <c r="C628" s="6"/>
      <c r="D628" s="49"/>
      <c r="E628" s="51"/>
      <c r="F628" s="6"/>
      <c r="G628" s="6"/>
      <c r="H628" s="6"/>
      <c r="I628" s="6"/>
      <c r="J628" s="6"/>
      <c r="K628" s="51"/>
      <c r="L628" s="51"/>
      <c r="M628" s="51"/>
      <c r="N628" s="51"/>
      <c r="O628" s="51"/>
      <c r="P628" s="51"/>
      <c r="Q628" s="51"/>
      <c r="R628" s="51"/>
      <c r="S628" s="51"/>
      <c r="T628" s="51"/>
      <c r="U628" s="51"/>
      <c r="V628" s="51"/>
      <c r="W628" s="51"/>
      <c r="X628" s="51"/>
      <c r="Y628" s="51"/>
      <c r="Z628" s="51"/>
      <c r="AA628" s="51"/>
      <c r="AB628" s="51"/>
    </row>
    <row r="629" customFormat="false" ht="15.75" hidden="false" customHeight="false" outlineLevel="0" collapsed="false">
      <c r="A629" s="51"/>
      <c r="B629" s="51"/>
      <c r="C629" s="6"/>
      <c r="D629" s="49"/>
      <c r="E629" s="51"/>
      <c r="F629" s="6"/>
      <c r="G629" s="6"/>
      <c r="H629" s="6"/>
      <c r="I629" s="6"/>
      <c r="J629" s="6"/>
      <c r="K629" s="51"/>
      <c r="L629" s="51"/>
      <c r="M629" s="51"/>
      <c r="N629" s="51"/>
      <c r="O629" s="51"/>
      <c r="P629" s="51"/>
      <c r="Q629" s="51"/>
      <c r="R629" s="51"/>
      <c r="S629" s="51"/>
      <c r="T629" s="51"/>
      <c r="U629" s="51"/>
      <c r="V629" s="51"/>
      <c r="W629" s="51"/>
      <c r="X629" s="51"/>
      <c r="Y629" s="51"/>
      <c r="Z629" s="51"/>
      <c r="AA629" s="51"/>
      <c r="AB629" s="51"/>
    </row>
    <row r="630" customFormat="false" ht="15.75" hidden="false" customHeight="false" outlineLevel="0" collapsed="false">
      <c r="A630" s="51"/>
      <c r="B630" s="51"/>
      <c r="C630" s="6"/>
      <c r="D630" s="49"/>
      <c r="E630" s="51"/>
      <c r="F630" s="6"/>
      <c r="G630" s="6"/>
      <c r="H630" s="6"/>
      <c r="I630" s="6"/>
      <c r="J630" s="6"/>
      <c r="K630" s="51"/>
      <c r="L630" s="51"/>
      <c r="M630" s="51"/>
      <c r="N630" s="51"/>
      <c r="O630" s="51"/>
      <c r="P630" s="51"/>
      <c r="Q630" s="51"/>
      <c r="R630" s="51"/>
      <c r="S630" s="51"/>
      <c r="T630" s="51"/>
      <c r="U630" s="51"/>
      <c r="V630" s="51"/>
      <c r="W630" s="51"/>
      <c r="X630" s="51"/>
      <c r="Y630" s="51"/>
      <c r="Z630" s="51"/>
      <c r="AA630" s="51"/>
      <c r="AB630" s="51"/>
    </row>
    <row r="631" customFormat="false" ht="15.75" hidden="false" customHeight="false" outlineLevel="0" collapsed="false">
      <c r="A631" s="51"/>
      <c r="B631" s="51"/>
      <c r="C631" s="6"/>
      <c r="D631" s="49"/>
      <c r="E631" s="51"/>
      <c r="F631" s="6"/>
      <c r="G631" s="6"/>
      <c r="H631" s="6"/>
      <c r="I631" s="6"/>
      <c r="J631" s="6"/>
      <c r="K631" s="51"/>
      <c r="L631" s="51"/>
      <c r="M631" s="51"/>
      <c r="N631" s="51"/>
      <c r="O631" s="51"/>
      <c r="P631" s="51"/>
      <c r="Q631" s="51"/>
      <c r="R631" s="51"/>
      <c r="S631" s="51"/>
      <c r="T631" s="51"/>
      <c r="U631" s="51"/>
      <c r="V631" s="51"/>
      <c r="W631" s="51"/>
      <c r="X631" s="51"/>
      <c r="Y631" s="51"/>
      <c r="Z631" s="51"/>
      <c r="AA631" s="51"/>
      <c r="AB631" s="51"/>
    </row>
    <row r="632" customFormat="false" ht="15.75" hidden="false" customHeight="false" outlineLevel="0" collapsed="false">
      <c r="A632" s="51"/>
      <c r="B632" s="51"/>
      <c r="C632" s="6"/>
      <c r="D632" s="49"/>
      <c r="E632" s="51"/>
      <c r="F632" s="6"/>
      <c r="G632" s="6"/>
      <c r="H632" s="6"/>
      <c r="I632" s="6"/>
      <c r="J632" s="6"/>
      <c r="K632" s="51"/>
      <c r="L632" s="51"/>
      <c r="M632" s="51"/>
      <c r="N632" s="51"/>
      <c r="O632" s="51"/>
      <c r="P632" s="51"/>
      <c r="Q632" s="51"/>
      <c r="R632" s="51"/>
      <c r="S632" s="51"/>
      <c r="T632" s="51"/>
      <c r="U632" s="51"/>
      <c r="V632" s="51"/>
      <c r="W632" s="51"/>
      <c r="X632" s="51"/>
      <c r="Y632" s="51"/>
      <c r="Z632" s="51"/>
      <c r="AA632" s="51"/>
      <c r="AB632" s="51"/>
    </row>
    <row r="633" customFormat="false" ht="15.75" hidden="false" customHeight="false" outlineLevel="0" collapsed="false">
      <c r="A633" s="51"/>
      <c r="B633" s="51"/>
      <c r="C633" s="6"/>
      <c r="D633" s="49"/>
      <c r="E633" s="51"/>
      <c r="F633" s="6"/>
      <c r="G633" s="6"/>
      <c r="H633" s="6"/>
      <c r="I633" s="6"/>
      <c r="J633" s="6"/>
      <c r="K633" s="51"/>
      <c r="L633" s="51"/>
      <c r="M633" s="51"/>
      <c r="N633" s="51"/>
      <c r="O633" s="51"/>
      <c r="P633" s="51"/>
      <c r="Q633" s="51"/>
      <c r="R633" s="51"/>
      <c r="S633" s="51"/>
      <c r="T633" s="51"/>
      <c r="U633" s="51"/>
      <c r="V633" s="51"/>
      <c r="W633" s="51"/>
      <c r="X633" s="51"/>
      <c r="Y633" s="51"/>
      <c r="Z633" s="51"/>
      <c r="AA633" s="51"/>
      <c r="AB633" s="51"/>
    </row>
    <row r="634" customFormat="false" ht="15.75" hidden="false" customHeight="false" outlineLevel="0" collapsed="false">
      <c r="A634" s="51"/>
      <c r="B634" s="51"/>
      <c r="C634" s="6"/>
      <c r="D634" s="49"/>
      <c r="E634" s="51"/>
      <c r="F634" s="6"/>
      <c r="G634" s="6"/>
      <c r="H634" s="6"/>
      <c r="I634" s="6"/>
      <c r="J634" s="6"/>
      <c r="K634" s="51"/>
      <c r="L634" s="51"/>
      <c r="M634" s="51"/>
      <c r="N634" s="51"/>
      <c r="O634" s="51"/>
      <c r="P634" s="51"/>
      <c r="Q634" s="51"/>
      <c r="R634" s="51"/>
      <c r="S634" s="51"/>
      <c r="T634" s="51"/>
      <c r="U634" s="51"/>
      <c r="V634" s="51"/>
      <c r="W634" s="51"/>
      <c r="X634" s="51"/>
      <c r="Y634" s="51"/>
      <c r="Z634" s="51"/>
      <c r="AA634" s="51"/>
      <c r="AB634" s="51"/>
    </row>
    <row r="635" customFormat="false" ht="15.75" hidden="false" customHeight="false" outlineLevel="0" collapsed="false">
      <c r="A635" s="51"/>
      <c r="B635" s="51"/>
      <c r="C635" s="6"/>
      <c r="D635" s="49"/>
      <c r="E635" s="51"/>
      <c r="F635" s="6"/>
      <c r="G635" s="6"/>
      <c r="H635" s="6"/>
      <c r="I635" s="6"/>
      <c r="J635" s="6"/>
      <c r="K635" s="51"/>
      <c r="L635" s="51"/>
      <c r="M635" s="51"/>
      <c r="N635" s="51"/>
      <c r="O635" s="51"/>
      <c r="P635" s="51"/>
      <c r="Q635" s="51"/>
      <c r="R635" s="51"/>
      <c r="S635" s="51"/>
      <c r="T635" s="51"/>
      <c r="U635" s="51"/>
      <c r="V635" s="51"/>
      <c r="W635" s="51"/>
      <c r="X635" s="51"/>
      <c r="Y635" s="51"/>
      <c r="Z635" s="51"/>
      <c r="AA635" s="51"/>
      <c r="AB635" s="51"/>
    </row>
    <row r="636" customFormat="false" ht="15.75" hidden="false" customHeight="false" outlineLevel="0" collapsed="false">
      <c r="A636" s="51"/>
      <c r="B636" s="51"/>
      <c r="C636" s="6"/>
      <c r="D636" s="49"/>
      <c r="E636" s="51"/>
      <c r="F636" s="6"/>
      <c r="G636" s="6"/>
      <c r="H636" s="6"/>
      <c r="I636" s="6"/>
      <c r="J636" s="6"/>
      <c r="K636" s="51"/>
      <c r="L636" s="51"/>
      <c r="M636" s="51"/>
      <c r="N636" s="51"/>
      <c r="O636" s="51"/>
      <c r="P636" s="51"/>
      <c r="Q636" s="51"/>
      <c r="R636" s="51"/>
      <c r="S636" s="51"/>
      <c r="T636" s="51"/>
      <c r="U636" s="51"/>
      <c r="V636" s="51"/>
      <c r="W636" s="51"/>
      <c r="X636" s="51"/>
      <c r="Y636" s="51"/>
      <c r="Z636" s="51"/>
      <c r="AA636" s="51"/>
      <c r="AB636" s="51"/>
    </row>
    <row r="637" customFormat="false" ht="15.75" hidden="false" customHeight="false" outlineLevel="0" collapsed="false">
      <c r="A637" s="51"/>
      <c r="B637" s="51"/>
      <c r="C637" s="6"/>
      <c r="D637" s="49"/>
      <c r="E637" s="51"/>
      <c r="F637" s="6"/>
      <c r="G637" s="6"/>
      <c r="H637" s="6"/>
      <c r="I637" s="6"/>
      <c r="J637" s="6"/>
      <c r="K637" s="51"/>
      <c r="L637" s="51"/>
      <c r="M637" s="51"/>
      <c r="N637" s="51"/>
      <c r="O637" s="51"/>
      <c r="P637" s="51"/>
      <c r="Q637" s="51"/>
      <c r="R637" s="51"/>
      <c r="S637" s="51"/>
      <c r="T637" s="51"/>
      <c r="U637" s="51"/>
      <c r="V637" s="51"/>
      <c r="W637" s="51"/>
      <c r="X637" s="51"/>
      <c r="Y637" s="51"/>
      <c r="Z637" s="51"/>
      <c r="AA637" s="51"/>
      <c r="AB637" s="51"/>
    </row>
    <row r="638" customFormat="false" ht="15.75" hidden="false" customHeight="false" outlineLevel="0" collapsed="false">
      <c r="A638" s="51"/>
      <c r="B638" s="51"/>
      <c r="C638" s="6"/>
      <c r="D638" s="49"/>
      <c r="E638" s="51"/>
      <c r="F638" s="6"/>
      <c r="G638" s="6"/>
      <c r="H638" s="6"/>
      <c r="I638" s="6"/>
      <c r="J638" s="6"/>
      <c r="K638" s="51"/>
      <c r="L638" s="51"/>
      <c r="M638" s="51"/>
      <c r="N638" s="51"/>
      <c r="O638" s="51"/>
      <c r="P638" s="51"/>
      <c r="Q638" s="51"/>
      <c r="R638" s="51"/>
      <c r="S638" s="51"/>
      <c r="T638" s="51"/>
      <c r="U638" s="51"/>
      <c r="V638" s="51"/>
      <c r="W638" s="51"/>
      <c r="X638" s="51"/>
      <c r="Y638" s="51"/>
      <c r="Z638" s="51"/>
      <c r="AA638" s="51"/>
      <c r="AB638" s="51"/>
    </row>
    <row r="639" customFormat="false" ht="15.75" hidden="false" customHeight="false" outlineLevel="0" collapsed="false">
      <c r="A639" s="51"/>
      <c r="B639" s="51"/>
      <c r="C639" s="6"/>
      <c r="D639" s="49"/>
      <c r="E639" s="51"/>
      <c r="F639" s="6"/>
      <c r="G639" s="6"/>
      <c r="H639" s="6"/>
      <c r="I639" s="6"/>
      <c r="J639" s="6"/>
      <c r="K639" s="51"/>
      <c r="L639" s="51"/>
      <c r="M639" s="51"/>
      <c r="N639" s="51"/>
      <c r="O639" s="51"/>
      <c r="P639" s="51"/>
      <c r="Q639" s="51"/>
      <c r="R639" s="51"/>
      <c r="S639" s="51"/>
      <c r="T639" s="51"/>
      <c r="U639" s="51"/>
      <c r="V639" s="51"/>
      <c r="W639" s="51"/>
      <c r="X639" s="51"/>
      <c r="Y639" s="51"/>
      <c r="Z639" s="51"/>
      <c r="AA639" s="51"/>
      <c r="AB639" s="51"/>
    </row>
    <row r="640" customFormat="false" ht="15.75" hidden="false" customHeight="false" outlineLevel="0" collapsed="false">
      <c r="A640" s="51"/>
      <c r="B640" s="51"/>
      <c r="C640" s="6"/>
      <c r="D640" s="49"/>
      <c r="E640" s="51"/>
      <c r="F640" s="6"/>
      <c r="G640" s="6"/>
      <c r="H640" s="6"/>
      <c r="I640" s="6"/>
      <c r="J640" s="6"/>
      <c r="K640" s="51"/>
      <c r="L640" s="51"/>
      <c r="M640" s="51"/>
      <c r="N640" s="51"/>
      <c r="O640" s="51"/>
      <c r="P640" s="51"/>
      <c r="Q640" s="51"/>
      <c r="R640" s="51"/>
      <c r="S640" s="51"/>
      <c r="T640" s="51"/>
      <c r="U640" s="51"/>
      <c r="V640" s="51"/>
      <c r="W640" s="51"/>
      <c r="X640" s="51"/>
      <c r="Y640" s="51"/>
      <c r="Z640" s="51"/>
      <c r="AA640" s="51"/>
      <c r="AB640" s="51"/>
    </row>
    <row r="641" customFormat="false" ht="15.75" hidden="false" customHeight="false" outlineLevel="0" collapsed="false">
      <c r="A641" s="51"/>
      <c r="B641" s="51"/>
      <c r="C641" s="6"/>
      <c r="D641" s="49"/>
      <c r="E641" s="51"/>
      <c r="F641" s="6"/>
      <c r="G641" s="6"/>
      <c r="H641" s="6"/>
      <c r="I641" s="6"/>
      <c r="J641" s="6"/>
      <c r="K641" s="51"/>
      <c r="L641" s="51"/>
      <c r="M641" s="51"/>
      <c r="N641" s="51"/>
      <c r="O641" s="51"/>
      <c r="P641" s="51"/>
      <c r="Q641" s="51"/>
      <c r="R641" s="51"/>
      <c r="S641" s="51"/>
      <c r="T641" s="51"/>
      <c r="U641" s="51"/>
      <c r="V641" s="51"/>
      <c r="W641" s="51"/>
      <c r="X641" s="51"/>
      <c r="Y641" s="51"/>
      <c r="Z641" s="51"/>
      <c r="AA641" s="51"/>
      <c r="AB641" s="51"/>
    </row>
    <row r="642" customFormat="false" ht="15.75" hidden="false" customHeight="false" outlineLevel="0" collapsed="false">
      <c r="A642" s="51"/>
      <c r="B642" s="51"/>
      <c r="C642" s="6"/>
      <c r="D642" s="49"/>
      <c r="E642" s="51"/>
      <c r="F642" s="6"/>
      <c r="G642" s="6"/>
      <c r="H642" s="6"/>
      <c r="I642" s="6"/>
      <c r="J642" s="6"/>
      <c r="K642" s="51"/>
      <c r="L642" s="51"/>
      <c r="M642" s="51"/>
      <c r="N642" s="51"/>
      <c r="O642" s="51"/>
      <c r="P642" s="51"/>
      <c r="Q642" s="51"/>
      <c r="R642" s="51"/>
      <c r="S642" s="51"/>
      <c r="T642" s="51"/>
      <c r="U642" s="51"/>
      <c r="V642" s="51"/>
      <c r="W642" s="51"/>
      <c r="X642" s="51"/>
      <c r="Y642" s="51"/>
      <c r="Z642" s="51"/>
      <c r="AA642" s="51"/>
      <c r="AB642" s="51"/>
    </row>
    <row r="643" customFormat="false" ht="15.75" hidden="false" customHeight="false" outlineLevel="0" collapsed="false">
      <c r="A643" s="51"/>
      <c r="B643" s="51"/>
      <c r="C643" s="6"/>
      <c r="D643" s="49"/>
      <c r="E643" s="51"/>
      <c r="F643" s="6"/>
      <c r="G643" s="6"/>
      <c r="H643" s="6"/>
      <c r="I643" s="6"/>
      <c r="J643" s="6"/>
      <c r="K643" s="51"/>
      <c r="L643" s="51"/>
      <c r="M643" s="51"/>
      <c r="N643" s="51"/>
      <c r="O643" s="51"/>
      <c r="P643" s="51"/>
      <c r="Q643" s="51"/>
      <c r="R643" s="51"/>
      <c r="S643" s="51"/>
      <c r="T643" s="51"/>
      <c r="U643" s="51"/>
      <c r="V643" s="51"/>
      <c r="W643" s="51"/>
      <c r="X643" s="51"/>
      <c r="Y643" s="51"/>
      <c r="Z643" s="51"/>
      <c r="AA643" s="51"/>
      <c r="AB643" s="51"/>
    </row>
    <row r="644" customFormat="false" ht="15.75" hidden="false" customHeight="false" outlineLevel="0" collapsed="false">
      <c r="A644" s="51"/>
      <c r="B644" s="51"/>
      <c r="C644" s="6"/>
      <c r="D644" s="49"/>
      <c r="E644" s="51"/>
      <c r="F644" s="6"/>
      <c r="G644" s="6"/>
      <c r="H644" s="6"/>
      <c r="I644" s="6"/>
      <c r="J644" s="6"/>
      <c r="K644" s="51"/>
      <c r="L644" s="51"/>
      <c r="M644" s="51"/>
      <c r="N644" s="51"/>
      <c r="O644" s="51"/>
      <c r="P644" s="51"/>
      <c r="Q644" s="51"/>
      <c r="R644" s="51"/>
      <c r="S644" s="51"/>
      <c r="T644" s="51"/>
      <c r="U644" s="51"/>
      <c r="V644" s="51"/>
      <c r="W644" s="51"/>
      <c r="X644" s="51"/>
      <c r="Y644" s="51"/>
      <c r="Z644" s="51"/>
      <c r="AA644" s="51"/>
      <c r="AB644" s="51"/>
    </row>
    <row r="645" customFormat="false" ht="15.75" hidden="false" customHeight="false" outlineLevel="0" collapsed="false">
      <c r="A645" s="51"/>
      <c r="B645" s="51"/>
      <c r="C645" s="6"/>
      <c r="D645" s="49"/>
      <c r="E645" s="51"/>
      <c r="F645" s="6"/>
      <c r="G645" s="6"/>
      <c r="H645" s="6"/>
      <c r="I645" s="6"/>
      <c r="J645" s="6"/>
      <c r="K645" s="51"/>
      <c r="L645" s="51"/>
      <c r="M645" s="51"/>
      <c r="N645" s="51"/>
      <c r="O645" s="51"/>
      <c r="P645" s="51"/>
      <c r="Q645" s="51"/>
      <c r="R645" s="51"/>
      <c r="S645" s="51"/>
      <c r="T645" s="51"/>
      <c r="U645" s="51"/>
      <c r="V645" s="51"/>
      <c r="W645" s="51"/>
      <c r="X645" s="51"/>
      <c r="Y645" s="51"/>
      <c r="Z645" s="51"/>
      <c r="AA645" s="51"/>
      <c r="AB645" s="51"/>
    </row>
    <row r="646" customFormat="false" ht="15.75" hidden="false" customHeight="false" outlineLevel="0" collapsed="false">
      <c r="A646" s="51"/>
      <c r="B646" s="51"/>
      <c r="C646" s="6"/>
      <c r="D646" s="49"/>
      <c r="E646" s="51"/>
      <c r="F646" s="6"/>
      <c r="G646" s="6"/>
      <c r="H646" s="6"/>
      <c r="I646" s="6"/>
      <c r="J646" s="6"/>
      <c r="K646" s="51"/>
      <c r="L646" s="51"/>
      <c r="M646" s="51"/>
      <c r="N646" s="51"/>
      <c r="O646" s="51"/>
      <c r="P646" s="51"/>
      <c r="Q646" s="51"/>
      <c r="R646" s="51"/>
      <c r="S646" s="51"/>
      <c r="T646" s="51"/>
      <c r="U646" s="51"/>
      <c r="V646" s="51"/>
      <c r="W646" s="51"/>
      <c r="X646" s="51"/>
      <c r="Y646" s="51"/>
      <c r="Z646" s="51"/>
      <c r="AA646" s="51"/>
      <c r="AB646" s="51"/>
    </row>
    <row r="647" customFormat="false" ht="15.75" hidden="false" customHeight="false" outlineLevel="0" collapsed="false">
      <c r="A647" s="51"/>
      <c r="B647" s="51"/>
      <c r="C647" s="6"/>
      <c r="D647" s="49"/>
      <c r="E647" s="51"/>
      <c r="F647" s="6"/>
      <c r="G647" s="6"/>
      <c r="H647" s="6"/>
      <c r="I647" s="6"/>
      <c r="J647" s="6"/>
      <c r="K647" s="51"/>
      <c r="L647" s="51"/>
      <c r="M647" s="51"/>
      <c r="N647" s="51"/>
      <c r="O647" s="51"/>
      <c r="P647" s="51"/>
      <c r="Q647" s="51"/>
      <c r="R647" s="51"/>
      <c r="S647" s="51"/>
      <c r="T647" s="51"/>
      <c r="U647" s="51"/>
      <c r="V647" s="51"/>
      <c r="W647" s="51"/>
      <c r="X647" s="51"/>
      <c r="Y647" s="51"/>
      <c r="Z647" s="51"/>
      <c r="AA647" s="51"/>
      <c r="AB647" s="51"/>
    </row>
    <row r="648" customFormat="false" ht="15.75" hidden="false" customHeight="false" outlineLevel="0" collapsed="false">
      <c r="A648" s="51"/>
      <c r="B648" s="51"/>
      <c r="C648" s="6"/>
      <c r="D648" s="49"/>
      <c r="E648" s="51"/>
      <c r="F648" s="6"/>
      <c r="G648" s="6"/>
      <c r="H648" s="6"/>
      <c r="I648" s="6"/>
      <c r="J648" s="6"/>
      <c r="K648" s="51"/>
      <c r="L648" s="51"/>
      <c r="M648" s="51"/>
      <c r="N648" s="51"/>
      <c r="O648" s="51"/>
      <c r="P648" s="51"/>
      <c r="Q648" s="51"/>
      <c r="R648" s="51"/>
      <c r="S648" s="51"/>
      <c r="T648" s="51"/>
      <c r="U648" s="51"/>
      <c r="V648" s="51"/>
      <c r="W648" s="51"/>
      <c r="X648" s="51"/>
      <c r="Y648" s="51"/>
      <c r="Z648" s="51"/>
      <c r="AA648" s="51"/>
      <c r="AB648" s="51"/>
    </row>
    <row r="649" customFormat="false" ht="15.75" hidden="false" customHeight="false" outlineLevel="0" collapsed="false">
      <c r="A649" s="51"/>
      <c r="B649" s="51"/>
      <c r="C649" s="6"/>
      <c r="D649" s="49"/>
      <c r="E649" s="51"/>
      <c r="F649" s="6"/>
      <c r="G649" s="6"/>
      <c r="H649" s="6"/>
      <c r="I649" s="6"/>
      <c r="J649" s="6"/>
      <c r="K649" s="51"/>
      <c r="L649" s="51"/>
      <c r="M649" s="51"/>
      <c r="N649" s="51"/>
      <c r="O649" s="51"/>
      <c r="P649" s="51"/>
      <c r="Q649" s="51"/>
      <c r="R649" s="51"/>
      <c r="S649" s="51"/>
      <c r="T649" s="51"/>
      <c r="U649" s="51"/>
      <c r="V649" s="51"/>
      <c r="W649" s="51"/>
      <c r="X649" s="51"/>
      <c r="Y649" s="51"/>
      <c r="Z649" s="51"/>
      <c r="AA649" s="51"/>
      <c r="AB649" s="51"/>
    </row>
    <row r="650" customFormat="false" ht="15.75" hidden="false" customHeight="false" outlineLevel="0" collapsed="false">
      <c r="A650" s="51"/>
      <c r="B650" s="51"/>
      <c r="C650" s="6"/>
      <c r="D650" s="49"/>
      <c r="E650" s="51"/>
      <c r="F650" s="6"/>
      <c r="G650" s="6"/>
      <c r="H650" s="6"/>
      <c r="I650" s="6"/>
      <c r="J650" s="6"/>
      <c r="K650" s="51"/>
      <c r="L650" s="51"/>
      <c r="M650" s="51"/>
      <c r="N650" s="51"/>
      <c r="O650" s="51"/>
      <c r="P650" s="51"/>
      <c r="Q650" s="51"/>
      <c r="R650" s="51"/>
      <c r="S650" s="51"/>
      <c r="T650" s="51"/>
      <c r="U650" s="51"/>
      <c r="V650" s="51"/>
      <c r="W650" s="51"/>
      <c r="X650" s="51"/>
      <c r="Y650" s="51"/>
      <c r="Z650" s="51"/>
      <c r="AA650" s="51"/>
      <c r="AB650" s="51"/>
    </row>
    <row r="651" customFormat="false" ht="15.75" hidden="false" customHeight="false" outlineLevel="0" collapsed="false">
      <c r="A651" s="51"/>
      <c r="B651" s="51"/>
      <c r="C651" s="6"/>
      <c r="D651" s="49"/>
      <c r="E651" s="51"/>
      <c r="F651" s="6"/>
      <c r="G651" s="6"/>
      <c r="H651" s="6"/>
      <c r="I651" s="6"/>
      <c r="J651" s="6"/>
      <c r="K651" s="51"/>
      <c r="L651" s="51"/>
      <c r="M651" s="51"/>
      <c r="N651" s="51"/>
      <c r="O651" s="51"/>
      <c r="P651" s="51"/>
      <c r="Q651" s="51"/>
      <c r="R651" s="51"/>
      <c r="S651" s="51"/>
      <c r="T651" s="51"/>
      <c r="U651" s="51"/>
      <c r="V651" s="51"/>
      <c r="W651" s="51"/>
      <c r="X651" s="51"/>
      <c r="Y651" s="51"/>
      <c r="Z651" s="51"/>
      <c r="AA651" s="51"/>
      <c r="AB651" s="51"/>
    </row>
    <row r="652" customFormat="false" ht="15.75" hidden="false" customHeight="false" outlineLevel="0" collapsed="false">
      <c r="A652" s="51"/>
      <c r="B652" s="51"/>
      <c r="C652" s="6"/>
      <c r="D652" s="49"/>
      <c r="E652" s="51"/>
      <c r="F652" s="6"/>
      <c r="G652" s="6"/>
      <c r="H652" s="6"/>
      <c r="I652" s="6"/>
      <c r="J652" s="6"/>
      <c r="K652" s="51"/>
      <c r="L652" s="51"/>
      <c r="M652" s="51"/>
      <c r="N652" s="51"/>
      <c r="O652" s="51"/>
      <c r="P652" s="51"/>
      <c r="Q652" s="51"/>
      <c r="R652" s="51"/>
      <c r="S652" s="51"/>
      <c r="T652" s="51"/>
      <c r="U652" s="51"/>
      <c r="V652" s="51"/>
      <c r="W652" s="51"/>
      <c r="X652" s="51"/>
      <c r="Y652" s="51"/>
      <c r="Z652" s="51"/>
      <c r="AA652" s="51"/>
      <c r="AB652" s="51"/>
    </row>
    <row r="653" customFormat="false" ht="15.75" hidden="false" customHeight="false" outlineLevel="0" collapsed="false">
      <c r="A653" s="51"/>
      <c r="B653" s="51"/>
      <c r="C653" s="6"/>
      <c r="D653" s="49"/>
      <c r="E653" s="51"/>
      <c r="F653" s="6"/>
      <c r="G653" s="6"/>
      <c r="H653" s="6"/>
      <c r="I653" s="6"/>
      <c r="J653" s="6"/>
      <c r="K653" s="51"/>
      <c r="L653" s="51"/>
      <c r="M653" s="51"/>
      <c r="N653" s="51"/>
      <c r="O653" s="51"/>
      <c r="P653" s="51"/>
      <c r="Q653" s="51"/>
      <c r="R653" s="51"/>
      <c r="S653" s="51"/>
      <c r="T653" s="51"/>
      <c r="U653" s="51"/>
      <c r="V653" s="51"/>
      <c r="W653" s="51"/>
      <c r="X653" s="51"/>
      <c r="Y653" s="51"/>
      <c r="Z653" s="51"/>
      <c r="AA653" s="51"/>
      <c r="AB653" s="51"/>
    </row>
    <row r="654" customFormat="false" ht="15.75" hidden="false" customHeight="false" outlineLevel="0" collapsed="false">
      <c r="A654" s="51"/>
      <c r="B654" s="51"/>
      <c r="C654" s="6"/>
      <c r="D654" s="49"/>
      <c r="E654" s="51"/>
      <c r="F654" s="6"/>
      <c r="G654" s="6"/>
      <c r="H654" s="6"/>
      <c r="I654" s="6"/>
      <c r="J654" s="6"/>
      <c r="K654" s="51"/>
      <c r="L654" s="51"/>
      <c r="M654" s="51"/>
      <c r="N654" s="51"/>
      <c r="O654" s="51"/>
      <c r="P654" s="51"/>
      <c r="Q654" s="51"/>
      <c r="R654" s="51"/>
      <c r="S654" s="51"/>
      <c r="T654" s="51"/>
      <c r="U654" s="51"/>
      <c r="V654" s="51"/>
      <c r="W654" s="51"/>
      <c r="X654" s="51"/>
      <c r="Y654" s="51"/>
      <c r="Z654" s="51"/>
      <c r="AA654" s="51"/>
      <c r="AB654" s="51"/>
    </row>
    <row r="655" customFormat="false" ht="15.75" hidden="false" customHeight="false" outlineLevel="0" collapsed="false">
      <c r="A655" s="51"/>
      <c r="B655" s="51"/>
      <c r="C655" s="6"/>
      <c r="D655" s="49"/>
      <c r="E655" s="51"/>
      <c r="F655" s="6"/>
      <c r="G655" s="6"/>
      <c r="H655" s="6"/>
      <c r="I655" s="6"/>
      <c r="J655" s="6"/>
      <c r="K655" s="51"/>
      <c r="L655" s="51"/>
      <c r="M655" s="51"/>
      <c r="N655" s="51"/>
      <c r="O655" s="51"/>
      <c r="P655" s="51"/>
      <c r="Q655" s="51"/>
      <c r="R655" s="51"/>
      <c r="S655" s="51"/>
      <c r="T655" s="51"/>
      <c r="U655" s="51"/>
      <c r="V655" s="51"/>
      <c r="W655" s="51"/>
      <c r="X655" s="51"/>
      <c r="Y655" s="51"/>
      <c r="Z655" s="51"/>
      <c r="AA655" s="51"/>
      <c r="AB655" s="51"/>
    </row>
    <row r="656" customFormat="false" ht="15.75" hidden="false" customHeight="false" outlineLevel="0" collapsed="false">
      <c r="A656" s="51"/>
      <c r="B656" s="51"/>
      <c r="C656" s="6"/>
      <c r="D656" s="49"/>
      <c r="E656" s="51"/>
      <c r="F656" s="6"/>
      <c r="G656" s="6"/>
      <c r="H656" s="6"/>
      <c r="I656" s="6"/>
      <c r="J656" s="6"/>
      <c r="K656" s="51"/>
      <c r="L656" s="51"/>
      <c r="M656" s="51"/>
      <c r="N656" s="51"/>
      <c r="O656" s="51"/>
      <c r="P656" s="51"/>
      <c r="Q656" s="51"/>
      <c r="R656" s="51"/>
      <c r="S656" s="51"/>
      <c r="T656" s="51"/>
      <c r="U656" s="51"/>
      <c r="V656" s="51"/>
      <c r="W656" s="51"/>
      <c r="X656" s="51"/>
      <c r="Y656" s="51"/>
      <c r="Z656" s="51"/>
      <c r="AA656" s="51"/>
      <c r="AB656" s="51"/>
    </row>
    <row r="657" customFormat="false" ht="15.75" hidden="false" customHeight="false" outlineLevel="0" collapsed="false">
      <c r="A657" s="51"/>
      <c r="B657" s="51"/>
      <c r="C657" s="6"/>
      <c r="D657" s="49"/>
      <c r="E657" s="51"/>
      <c r="F657" s="6"/>
      <c r="G657" s="6"/>
      <c r="H657" s="6"/>
      <c r="I657" s="6"/>
      <c r="J657" s="6"/>
      <c r="K657" s="51"/>
      <c r="L657" s="51"/>
      <c r="M657" s="51"/>
      <c r="N657" s="51"/>
      <c r="O657" s="51"/>
      <c r="P657" s="51"/>
      <c r="Q657" s="51"/>
      <c r="R657" s="51"/>
      <c r="S657" s="51"/>
      <c r="T657" s="51"/>
      <c r="U657" s="51"/>
      <c r="V657" s="51"/>
      <c r="W657" s="51"/>
      <c r="X657" s="51"/>
      <c r="Y657" s="51"/>
      <c r="Z657" s="51"/>
      <c r="AA657" s="51"/>
      <c r="AB657" s="51"/>
    </row>
    <row r="658" customFormat="false" ht="15.75" hidden="false" customHeight="false" outlineLevel="0" collapsed="false">
      <c r="A658" s="51"/>
      <c r="B658" s="51"/>
      <c r="C658" s="6"/>
      <c r="D658" s="49"/>
      <c r="E658" s="51"/>
      <c r="F658" s="6"/>
      <c r="G658" s="6"/>
      <c r="H658" s="6"/>
      <c r="I658" s="6"/>
      <c r="J658" s="6"/>
      <c r="K658" s="51"/>
      <c r="L658" s="51"/>
      <c r="M658" s="51"/>
      <c r="N658" s="51"/>
      <c r="O658" s="51"/>
      <c r="P658" s="51"/>
      <c r="Q658" s="51"/>
      <c r="R658" s="51"/>
      <c r="S658" s="51"/>
      <c r="T658" s="51"/>
      <c r="U658" s="51"/>
      <c r="V658" s="51"/>
      <c r="W658" s="51"/>
      <c r="X658" s="51"/>
      <c r="Y658" s="51"/>
      <c r="Z658" s="51"/>
      <c r="AA658" s="51"/>
      <c r="AB658" s="51"/>
    </row>
    <row r="659" customFormat="false" ht="15.75" hidden="false" customHeight="false" outlineLevel="0" collapsed="false">
      <c r="A659" s="51"/>
      <c r="B659" s="51"/>
      <c r="C659" s="6"/>
      <c r="D659" s="49"/>
      <c r="E659" s="51"/>
      <c r="F659" s="6"/>
      <c r="G659" s="6"/>
      <c r="H659" s="6"/>
      <c r="I659" s="6"/>
      <c r="J659" s="6"/>
      <c r="K659" s="51"/>
      <c r="L659" s="51"/>
      <c r="M659" s="51"/>
      <c r="N659" s="51"/>
      <c r="O659" s="51"/>
      <c r="P659" s="51"/>
      <c r="Q659" s="51"/>
      <c r="R659" s="51"/>
      <c r="S659" s="51"/>
      <c r="T659" s="51"/>
      <c r="U659" s="51"/>
      <c r="V659" s="51"/>
      <c r="W659" s="51"/>
      <c r="X659" s="51"/>
      <c r="Y659" s="51"/>
      <c r="Z659" s="51"/>
      <c r="AA659" s="51"/>
      <c r="AB659" s="51"/>
    </row>
    <row r="660" customFormat="false" ht="15.75" hidden="false" customHeight="false" outlineLevel="0" collapsed="false">
      <c r="A660" s="51"/>
      <c r="B660" s="51"/>
      <c r="C660" s="6"/>
      <c r="D660" s="49"/>
      <c r="E660" s="51"/>
      <c r="F660" s="6"/>
      <c r="G660" s="6"/>
      <c r="H660" s="6"/>
      <c r="I660" s="6"/>
      <c r="J660" s="6"/>
      <c r="K660" s="51"/>
      <c r="L660" s="51"/>
      <c r="M660" s="51"/>
      <c r="N660" s="51"/>
      <c r="O660" s="51"/>
      <c r="P660" s="51"/>
      <c r="Q660" s="51"/>
      <c r="R660" s="51"/>
      <c r="S660" s="51"/>
      <c r="T660" s="51"/>
      <c r="U660" s="51"/>
      <c r="V660" s="51"/>
      <c r="W660" s="51"/>
      <c r="X660" s="51"/>
      <c r="Y660" s="51"/>
      <c r="Z660" s="51"/>
      <c r="AA660" s="51"/>
      <c r="AB660" s="51"/>
    </row>
    <row r="661" customFormat="false" ht="15.75" hidden="false" customHeight="false" outlineLevel="0" collapsed="false">
      <c r="A661" s="51"/>
      <c r="B661" s="51"/>
      <c r="C661" s="6"/>
      <c r="D661" s="49"/>
      <c r="E661" s="51"/>
      <c r="F661" s="6"/>
      <c r="G661" s="6"/>
      <c r="H661" s="6"/>
      <c r="I661" s="6"/>
      <c r="J661" s="6"/>
      <c r="K661" s="51"/>
      <c r="L661" s="51"/>
      <c r="M661" s="51"/>
      <c r="N661" s="51"/>
      <c r="O661" s="51"/>
      <c r="P661" s="51"/>
      <c r="Q661" s="51"/>
      <c r="R661" s="51"/>
      <c r="S661" s="51"/>
      <c r="T661" s="51"/>
      <c r="U661" s="51"/>
      <c r="V661" s="51"/>
      <c r="W661" s="51"/>
      <c r="X661" s="51"/>
      <c r="Y661" s="51"/>
      <c r="Z661" s="51"/>
      <c r="AA661" s="51"/>
      <c r="AB661" s="51"/>
    </row>
    <row r="662" customFormat="false" ht="15.75" hidden="false" customHeight="false" outlineLevel="0" collapsed="false">
      <c r="A662" s="51"/>
      <c r="B662" s="51"/>
      <c r="C662" s="6"/>
      <c r="D662" s="49"/>
      <c r="E662" s="51"/>
      <c r="F662" s="6"/>
      <c r="G662" s="6"/>
      <c r="H662" s="6"/>
      <c r="I662" s="6"/>
      <c r="J662" s="6"/>
      <c r="K662" s="51"/>
      <c r="L662" s="51"/>
      <c r="M662" s="51"/>
      <c r="N662" s="51"/>
      <c r="O662" s="51"/>
      <c r="P662" s="51"/>
      <c r="Q662" s="51"/>
      <c r="R662" s="51"/>
      <c r="S662" s="51"/>
      <c r="T662" s="51"/>
      <c r="U662" s="51"/>
      <c r="V662" s="51"/>
      <c r="W662" s="51"/>
      <c r="X662" s="51"/>
      <c r="Y662" s="51"/>
      <c r="Z662" s="51"/>
      <c r="AA662" s="51"/>
      <c r="AB662" s="51"/>
    </row>
    <row r="663" customFormat="false" ht="15.75" hidden="false" customHeight="false" outlineLevel="0" collapsed="false">
      <c r="A663" s="51"/>
      <c r="B663" s="51"/>
      <c r="C663" s="6"/>
      <c r="D663" s="49"/>
      <c r="E663" s="51"/>
      <c r="F663" s="6"/>
      <c r="G663" s="6"/>
      <c r="H663" s="6"/>
      <c r="I663" s="6"/>
      <c r="J663" s="6"/>
      <c r="K663" s="51"/>
      <c r="L663" s="51"/>
      <c r="M663" s="51"/>
      <c r="N663" s="51"/>
      <c r="O663" s="51"/>
      <c r="P663" s="51"/>
      <c r="Q663" s="51"/>
      <c r="R663" s="51"/>
      <c r="S663" s="51"/>
      <c r="T663" s="51"/>
      <c r="U663" s="51"/>
      <c r="V663" s="51"/>
      <c r="W663" s="51"/>
      <c r="X663" s="51"/>
      <c r="Y663" s="51"/>
      <c r="Z663" s="51"/>
      <c r="AA663" s="51"/>
      <c r="AB663" s="51"/>
    </row>
    <row r="664" customFormat="false" ht="15.75" hidden="false" customHeight="false" outlineLevel="0" collapsed="false">
      <c r="A664" s="51"/>
      <c r="B664" s="51"/>
      <c r="C664" s="6"/>
      <c r="D664" s="49"/>
      <c r="E664" s="51"/>
      <c r="F664" s="6"/>
      <c r="G664" s="6"/>
      <c r="H664" s="6"/>
      <c r="I664" s="6"/>
      <c r="J664" s="6"/>
      <c r="K664" s="51"/>
      <c r="L664" s="51"/>
      <c r="M664" s="51"/>
      <c r="N664" s="51"/>
      <c r="O664" s="51"/>
      <c r="P664" s="51"/>
      <c r="Q664" s="51"/>
      <c r="R664" s="51"/>
      <c r="S664" s="51"/>
      <c r="T664" s="51"/>
      <c r="U664" s="51"/>
      <c r="V664" s="51"/>
      <c r="W664" s="51"/>
      <c r="X664" s="51"/>
      <c r="Y664" s="51"/>
      <c r="Z664" s="51"/>
      <c r="AA664" s="51"/>
      <c r="AB664" s="51"/>
    </row>
    <row r="665" customFormat="false" ht="15.75" hidden="false" customHeight="false" outlineLevel="0" collapsed="false">
      <c r="A665" s="51"/>
      <c r="B665" s="51"/>
      <c r="C665" s="6"/>
      <c r="D665" s="49"/>
      <c r="E665" s="51"/>
      <c r="F665" s="6"/>
      <c r="G665" s="6"/>
      <c r="H665" s="6"/>
      <c r="I665" s="6"/>
      <c r="J665" s="6"/>
      <c r="K665" s="51"/>
      <c r="L665" s="51"/>
      <c r="M665" s="51"/>
      <c r="N665" s="51"/>
      <c r="O665" s="51"/>
      <c r="P665" s="51"/>
      <c r="Q665" s="51"/>
      <c r="R665" s="51"/>
      <c r="S665" s="51"/>
      <c r="T665" s="51"/>
      <c r="U665" s="51"/>
      <c r="V665" s="51"/>
      <c r="W665" s="51"/>
      <c r="X665" s="51"/>
      <c r="Y665" s="51"/>
      <c r="Z665" s="51"/>
      <c r="AA665" s="51"/>
      <c r="AB665" s="51"/>
    </row>
    <row r="666" customFormat="false" ht="15.75" hidden="false" customHeight="false" outlineLevel="0" collapsed="false">
      <c r="A666" s="51"/>
      <c r="B666" s="51"/>
      <c r="C666" s="6"/>
      <c r="D666" s="49"/>
      <c r="E666" s="51"/>
      <c r="F666" s="6"/>
      <c r="G666" s="6"/>
      <c r="H666" s="6"/>
      <c r="I666" s="6"/>
      <c r="J666" s="6"/>
      <c r="K666" s="51"/>
      <c r="L666" s="51"/>
      <c r="M666" s="51"/>
      <c r="N666" s="51"/>
      <c r="O666" s="51"/>
      <c r="P666" s="51"/>
      <c r="Q666" s="51"/>
      <c r="R666" s="51"/>
      <c r="S666" s="51"/>
      <c r="T666" s="51"/>
      <c r="U666" s="51"/>
      <c r="V666" s="51"/>
      <c r="W666" s="51"/>
      <c r="X666" s="51"/>
      <c r="Y666" s="51"/>
      <c r="Z666" s="51"/>
      <c r="AA666" s="51"/>
      <c r="AB666" s="51"/>
    </row>
    <row r="667" customFormat="false" ht="15.75" hidden="false" customHeight="false" outlineLevel="0" collapsed="false">
      <c r="A667" s="51"/>
      <c r="B667" s="51"/>
      <c r="C667" s="6"/>
      <c r="D667" s="49"/>
      <c r="E667" s="51"/>
      <c r="F667" s="6"/>
      <c r="G667" s="6"/>
      <c r="H667" s="6"/>
      <c r="I667" s="6"/>
      <c r="J667" s="6"/>
      <c r="K667" s="51"/>
      <c r="L667" s="51"/>
      <c r="M667" s="51"/>
      <c r="N667" s="51"/>
      <c r="O667" s="51"/>
      <c r="P667" s="51"/>
      <c r="Q667" s="51"/>
      <c r="R667" s="51"/>
      <c r="S667" s="51"/>
      <c r="T667" s="51"/>
      <c r="U667" s="51"/>
      <c r="V667" s="51"/>
      <c r="W667" s="51"/>
      <c r="X667" s="51"/>
      <c r="Y667" s="51"/>
      <c r="Z667" s="51"/>
      <c r="AA667" s="51"/>
      <c r="AB667" s="51"/>
    </row>
    <row r="668" customFormat="false" ht="15.75" hidden="false" customHeight="false" outlineLevel="0" collapsed="false">
      <c r="A668" s="51"/>
      <c r="B668" s="51"/>
      <c r="C668" s="6"/>
      <c r="D668" s="49"/>
      <c r="E668" s="51"/>
      <c r="F668" s="6"/>
      <c r="G668" s="6"/>
      <c r="H668" s="6"/>
      <c r="I668" s="6"/>
      <c r="J668" s="6"/>
      <c r="K668" s="51"/>
      <c r="L668" s="51"/>
      <c r="M668" s="51"/>
      <c r="N668" s="51"/>
      <c r="O668" s="51"/>
      <c r="P668" s="51"/>
      <c r="Q668" s="51"/>
      <c r="R668" s="51"/>
      <c r="S668" s="51"/>
      <c r="T668" s="51"/>
      <c r="U668" s="51"/>
      <c r="V668" s="51"/>
      <c r="W668" s="51"/>
      <c r="X668" s="51"/>
      <c r="Y668" s="51"/>
      <c r="Z668" s="51"/>
      <c r="AA668" s="51"/>
      <c r="AB668" s="51"/>
    </row>
    <row r="669" customFormat="false" ht="15.75" hidden="false" customHeight="false" outlineLevel="0" collapsed="false">
      <c r="A669" s="51"/>
      <c r="B669" s="51"/>
      <c r="C669" s="6"/>
      <c r="D669" s="49"/>
      <c r="E669" s="51"/>
      <c r="F669" s="6"/>
      <c r="G669" s="6"/>
      <c r="H669" s="6"/>
      <c r="I669" s="6"/>
      <c r="J669" s="6"/>
      <c r="K669" s="51"/>
      <c r="L669" s="51"/>
      <c r="M669" s="51"/>
      <c r="N669" s="51"/>
      <c r="O669" s="51"/>
      <c r="P669" s="51"/>
      <c r="Q669" s="51"/>
      <c r="R669" s="51"/>
      <c r="S669" s="51"/>
      <c r="T669" s="51"/>
      <c r="U669" s="51"/>
      <c r="V669" s="51"/>
      <c r="W669" s="51"/>
      <c r="X669" s="51"/>
      <c r="Y669" s="51"/>
      <c r="Z669" s="51"/>
      <c r="AA669" s="51"/>
      <c r="AB669" s="51"/>
    </row>
    <row r="670" customFormat="false" ht="15.75" hidden="false" customHeight="false" outlineLevel="0" collapsed="false">
      <c r="A670" s="51"/>
      <c r="B670" s="51"/>
      <c r="C670" s="6"/>
      <c r="D670" s="49"/>
      <c r="E670" s="51"/>
      <c r="F670" s="6"/>
      <c r="G670" s="6"/>
      <c r="H670" s="6"/>
      <c r="I670" s="6"/>
      <c r="J670" s="6"/>
      <c r="K670" s="51"/>
      <c r="L670" s="51"/>
      <c r="M670" s="51"/>
      <c r="N670" s="51"/>
      <c r="O670" s="51"/>
      <c r="P670" s="51"/>
      <c r="Q670" s="51"/>
      <c r="R670" s="51"/>
      <c r="S670" s="51"/>
      <c r="T670" s="51"/>
      <c r="U670" s="51"/>
      <c r="V670" s="51"/>
      <c r="W670" s="51"/>
      <c r="X670" s="51"/>
      <c r="Y670" s="51"/>
      <c r="Z670" s="51"/>
      <c r="AA670" s="51"/>
      <c r="AB670" s="51"/>
    </row>
    <row r="671" customFormat="false" ht="15.75" hidden="false" customHeight="false" outlineLevel="0" collapsed="false">
      <c r="A671" s="51"/>
      <c r="B671" s="51"/>
      <c r="C671" s="6"/>
      <c r="D671" s="49"/>
      <c r="E671" s="51"/>
      <c r="F671" s="6"/>
      <c r="G671" s="6"/>
      <c r="H671" s="6"/>
      <c r="I671" s="6"/>
      <c r="J671" s="6"/>
      <c r="K671" s="51"/>
      <c r="L671" s="51"/>
      <c r="M671" s="51"/>
      <c r="N671" s="51"/>
      <c r="O671" s="51"/>
      <c r="P671" s="51"/>
      <c r="Q671" s="51"/>
      <c r="R671" s="51"/>
      <c r="S671" s="51"/>
      <c r="T671" s="51"/>
      <c r="U671" s="51"/>
      <c r="V671" s="51"/>
      <c r="W671" s="51"/>
      <c r="X671" s="51"/>
      <c r="Y671" s="51"/>
      <c r="Z671" s="51"/>
      <c r="AA671" s="51"/>
      <c r="AB671" s="51"/>
    </row>
    <row r="672" customFormat="false" ht="15.75" hidden="false" customHeight="false" outlineLevel="0" collapsed="false">
      <c r="A672" s="51"/>
      <c r="B672" s="51"/>
      <c r="C672" s="6"/>
      <c r="D672" s="49"/>
      <c r="E672" s="51"/>
      <c r="F672" s="6"/>
      <c r="G672" s="6"/>
      <c r="H672" s="6"/>
      <c r="I672" s="6"/>
      <c r="J672" s="6"/>
      <c r="K672" s="51"/>
      <c r="L672" s="51"/>
      <c r="M672" s="51"/>
      <c r="N672" s="51"/>
      <c r="O672" s="51"/>
      <c r="P672" s="51"/>
      <c r="Q672" s="51"/>
      <c r="R672" s="51"/>
      <c r="S672" s="51"/>
      <c r="T672" s="51"/>
      <c r="U672" s="51"/>
      <c r="V672" s="51"/>
      <c r="W672" s="51"/>
      <c r="X672" s="51"/>
      <c r="Y672" s="51"/>
      <c r="Z672" s="51"/>
      <c r="AA672" s="51"/>
      <c r="AB672" s="51"/>
    </row>
    <row r="673" customFormat="false" ht="15.75" hidden="false" customHeight="false" outlineLevel="0" collapsed="false">
      <c r="A673" s="51"/>
      <c r="B673" s="51"/>
      <c r="C673" s="6"/>
      <c r="D673" s="49"/>
      <c r="E673" s="51"/>
      <c r="F673" s="6"/>
      <c r="G673" s="6"/>
      <c r="H673" s="6"/>
      <c r="I673" s="6"/>
      <c r="J673" s="6"/>
      <c r="K673" s="51"/>
      <c r="L673" s="51"/>
      <c r="M673" s="51"/>
      <c r="N673" s="51"/>
      <c r="O673" s="51"/>
      <c r="P673" s="51"/>
      <c r="Q673" s="51"/>
      <c r="R673" s="51"/>
      <c r="S673" s="51"/>
      <c r="T673" s="51"/>
      <c r="U673" s="51"/>
      <c r="V673" s="51"/>
      <c r="W673" s="51"/>
      <c r="X673" s="51"/>
      <c r="Y673" s="51"/>
      <c r="Z673" s="51"/>
      <c r="AA673" s="51"/>
      <c r="AB673" s="51"/>
    </row>
    <row r="674" customFormat="false" ht="15.75" hidden="false" customHeight="false" outlineLevel="0" collapsed="false">
      <c r="A674" s="51"/>
      <c r="B674" s="51"/>
      <c r="C674" s="6"/>
      <c r="D674" s="49"/>
      <c r="E674" s="51"/>
      <c r="F674" s="6"/>
      <c r="G674" s="6"/>
      <c r="H674" s="6"/>
      <c r="I674" s="6"/>
      <c r="J674" s="6"/>
      <c r="K674" s="51"/>
      <c r="L674" s="51"/>
      <c r="M674" s="51"/>
      <c r="N674" s="51"/>
      <c r="O674" s="51"/>
      <c r="P674" s="51"/>
      <c r="Q674" s="51"/>
      <c r="R674" s="51"/>
      <c r="S674" s="51"/>
      <c r="T674" s="51"/>
      <c r="U674" s="51"/>
      <c r="V674" s="51"/>
      <c r="W674" s="51"/>
      <c r="X674" s="51"/>
      <c r="Y674" s="51"/>
      <c r="Z674" s="51"/>
      <c r="AA674" s="51"/>
      <c r="AB674" s="51"/>
    </row>
    <row r="675" customFormat="false" ht="15.75" hidden="false" customHeight="false" outlineLevel="0" collapsed="false">
      <c r="A675" s="51"/>
      <c r="B675" s="51"/>
      <c r="C675" s="6"/>
      <c r="D675" s="49"/>
      <c r="E675" s="51"/>
      <c r="F675" s="6"/>
      <c r="G675" s="6"/>
      <c r="H675" s="6"/>
      <c r="I675" s="6"/>
      <c r="J675" s="6"/>
      <c r="K675" s="51"/>
      <c r="L675" s="51"/>
      <c r="M675" s="51"/>
      <c r="N675" s="51"/>
      <c r="O675" s="51"/>
      <c r="P675" s="51"/>
      <c r="Q675" s="51"/>
      <c r="R675" s="51"/>
      <c r="S675" s="51"/>
      <c r="T675" s="51"/>
      <c r="U675" s="51"/>
      <c r="V675" s="51"/>
      <c r="W675" s="51"/>
      <c r="X675" s="51"/>
      <c r="Y675" s="51"/>
      <c r="Z675" s="51"/>
      <c r="AA675" s="51"/>
      <c r="AB675" s="51"/>
    </row>
    <row r="676" customFormat="false" ht="15.75" hidden="false" customHeight="false" outlineLevel="0" collapsed="false">
      <c r="A676" s="51"/>
      <c r="B676" s="51"/>
      <c r="C676" s="6"/>
      <c r="D676" s="49"/>
      <c r="E676" s="51"/>
      <c r="F676" s="6"/>
      <c r="G676" s="6"/>
      <c r="H676" s="6"/>
      <c r="I676" s="6"/>
      <c r="J676" s="6"/>
      <c r="K676" s="51"/>
      <c r="L676" s="51"/>
      <c r="M676" s="51"/>
      <c r="N676" s="51"/>
      <c r="O676" s="51"/>
      <c r="P676" s="51"/>
      <c r="Q676" s="51"/>
      <c r="R676" s="51"/>
      <c r="S676" s="51"/>
      <c r="T676" s="51"/>
      <c r="U676" s="51"/>
      <c r="V676" s="51"/>
      <c r="W676" s="51"/>
      <c r="X676" s="51"/>
      <c r="Y676" s="51"/>
      <c r="Z676" s="51"/>
      <c r="AA676" s="51"/>
      <c r="AB676" s="51"/>
    </row>
    <row r="677" customFormat="false" ht="15.75" hidden="false" customHeight="false" outlineLevel="0" collapsed="false">
      <c r="A677" s="51"/>
      <c r="B677" s="51"/>
      <c r="C677" s="6"/>
      <c r="D677" s="49"/>
      <c r="E677" s="51"/>
      <c r="F677" s="6"/>
      <c r="G677" s="6"/>
      <c r="H677" s="6"/>
      <c r="I677" s="6"/>
      <c r="J677" s="6"/>
      <c r="K677" s="51"/>
      <c r="L677" s="51"/>
      <c r="M677" s="51"/>
      <c r="N677" s="51"/>
      <c r="O677" s="51"/>
      <c r="P677" s="51"/>
      <c r="Q677" s="51"/>
      <c r="R677" s="51"/>
      <c r="S677" s="51"/>
      <c r="T677" s="51"/>
      <c r="U677" s="51"/>
      <c r="V677" s="51"/>
      <c r="W677" s="51"/>
      <c r="X677" s="51"/>
      <c r="Y677" s="51"/>
      <c r="Z677" s="51"/>
      <c r="AA677" s="51"/>
      <c r="AB677" s="51"/>
    </row>
    <row r="678" customFormat="false" ht="15.75" hidden="false" customHeight="false" outlineLevel="0" collapsed="false">
      <c r="A678" s="51"/>
      <c r="B678" s="51"/>
      <c r="C678" s="6"/>
      <c r="D678" s="49"/>
      <c r="E678" s="51"/>
      <c r="F678" s="6"/>
      <c r="G678" s="6"/>
      <c r="H678" s="6"/>
      <c r="I678" s="6"/>
      <c r="J678" s="6"/>
      <c r="K678" s="51"/>
      <c r="L678" s="51"/>
      <c r="M678" s="51"/>
      <c r="N678" s="51"/>
      <c r="O678" s="51"/>
      <c r="P678" s="51"/>
      <c r="Q678" s="51"/>
      <c r="R678" s="51"/>
      <c r="S678" s="51"/>
      <c r="T678" s="51"/>
      <c r="U678" s="51"/>
      <c r="V678" s="51"/>
      <c r="W678" s="51"/>
      <c r="X678" s="51"/>
      <c r="Y678" s="51"/>
      <c r="Z678" s="51"/>
      <c r="AA678" s="51"/>
      <c r="AB678" s="51"/>
    </row>
    <row r="679" customFormat="false" ht="15.75" hidden="false" customHeight="false" outlineLevel="0" collapsed="false">
      <c r="A679" s="51"/>
      <c r="B679" s="51"/>
      <c r="C679" s="6"/>
      <c r="D679" s="49"/>
      <c r="E679" s="51"/>
      <c r="F679" s="6"/>
      <c r="G679" s="6"/>
      <c r="H679" s="6"/>
      <c r="I679" s="6"/>
      <c r="J679" s="6"/>
      <c r="K679" s="51"/>
      <c r="L679" s="51"/>
      <c r="M679" s="51"/>
      <c r="N679" s="51"/>
      <c r="O679" s="51"/>
      <c r="P679" s="51"/>
      <c r="Q679" s="51"/>
      <c r="R679" s="51"/>
      <c r="S679" s="51"/>
      <c r="T679" s="51"/>
      <c r="U679" s="51"/>
      <c r="V679" s="51"/>
      <c r="W679" s="51"/>
      <c r="X679" s="51"/>
      <c r="Y679" s="51"/>
      <c r="Z679" s="51"/>
      <c r="AA679" s="51"/>
      <c r="AB679" s="51"/>
    </row>
    <row r="680" customFormat="false" ht="15.75" hidden="false" customHeight="false" outlineLevel="0" collapsed="false">
      <c r="A680" s="51"/>
      <c r="B680" s="51"/>
      <c r="C680" s="6"/>
      <c r="D680" s="49"/>
      <c r="E680" s="51"/>
      <c r="F680" s="6"/>
      <c r="G680" s="6"/>
      <c r="H680" s="6"/>
      <c r="I680" s="6"/>
      <c r="J680" s="6"/>
      <c r="K680" s="51"/>
      <c r="L680" s="51"/>
      <c r="M680" s="51"/>
      <c r="N680" s="51"/>
      <c r="O680" s="51"/>
      <c r="P680" s="51"/>
      <c r="Q680" s="51"/>
      <c r="R680" s="51"/>
      <c r="S680" s="51"/>
      <c r="T680" s="51"/>
      <c r="U680" s="51"/>
      <c r="V680" s="51"/>
      <c r="W680" s="51"/>
      <c r="X680" s="51"/>
      <c r="Y680" s="51"/>
      <c r="Z680" s="51"/>
      <c r="AA680" s="51"/>
      <c r="AB680" s="51"/>
    </row>
    <row r="681" customFormat="false" ht="15.75" hidden="false" customHeight="false" outlineLevel="0" collapsed="false">
      <c r="A681" s="51"/>
      <c r="B681" s="51"/>
      <c r="C681" s="6"/>
      <c r="D681" s="49"/>
      <c r="E681" s="51"/>
      <c r="F681" s="6"/>
      <c r="G681" s="6"/>
      <c r="H681" s="6"/>
      <c r="I681" s="6"/>
      <c r="J681" s="6"/>
      <c r="K681" s="51"/>
      <c r="L681" s="51"/>
      <c r="M681" s="51"/>
      <c r="N681" s="51"/>
      <c r="O681" s="51"/>
      <c r="P681" s="51"/>
      <c r="Q681" s="51"/>
      <c r="R681" s="51"/>
      <c r="S681" s="51"/>
      <c r="T681" s="51"/>
      <c r="U681" s="51"/>
      <c r="V681" s="51"/>
      <c r="W681" s="51"/>
      <c r="X681" s="51"/>
      <c r="Y681" s="51"/>
      <c r="Z681" s="51"/>
      <c r="AA681" s="51"/>
      <c r="AB681" s="51"/>
    </row>
    <row r="682" customFormat="false" ht="15.75" hidden="false" customHeight="false" outlineLevel="0" collapsed="false">
      <c r="A682" s="51"/>
      <c r="B682" s="51"/>
      <c r="C682" s="6"/>
      <c r="D682" s="49"/>
      <c r="E682" s="51"/>
      <c r="F682" s="6"/>
      <c r="G682" s="6"/>
      <c r="H682" s="6"/>
      <c r="I682" s="6"/>
      <c r="J682" s="6"/>
      <c r="K682" s="51"/>
      <c r="L682" s="51"/>
      <c r="M682" s="51"/>
      <c r="N682" s="51"/>
      <c r="O682" s="51"/>
      <c r="P682" s="51"/>
      <c r="Q682" s="51"/>
      <c r="R682" s="51"/>
      <c r="S682" s="51"/>
      <c r="T682" s="51"/>
      <c r="U682" s="51"/>
      <c r="V682" s="51"/>
      <c r="W682" s="51"/>
      <c r="X682" s="51"/>
      <c r="Y682" s="51"/>
      <c r="Z682" s="51"/>
      <c r="AA682" s="51"/>
      <c r="AB682" s="51"/>
    </row>
    <row r="683" customFormat="false" ht="15.75" hidden="false" customHeight="false" outlineLevel="0" collapsed="false">
      <c r="A683" s="51"/>
      <c r="B683" s="51"/>
      <c r="C683" s="6"/>
      <c r="D683" s="49"/>
      <c r="E683" s="51"/>
      <c r="F683" s="6"/>
      <c r="G683" s="6"/>
      <c r="H683" s="6"/>
      <c r="I683" s="6"/>
      <c r="J683" s="6"/>
      <c r="K683" s="51"/>
      <c r="L683" s="51"/>
      <c r="M683" s="51"/>
      <c r="N683" s="51"/>
      <c r="O683" s="51"/>
      <c r="P683" s="51"/>
      <c r="Q683" s="51"/>
      <c r="R683" s="51"/>
      <c r="S683" s="51"/>
      <c r="T683" s="51"/>
      <c r="U683" s="51"/>
      <c r="V683" s="51"/>
      <c r="W683" s="51"/>
      <c r="X683" s="51"/>
      <c r="Y683" s="51"/>
      <c r="Z683" s="51"/>
      <c r="AA683" s="51"/>
      <c r="AB683" s="51"/>
    </row>
    <row r="684" customFormat="false" ht="15.75" hidden="false" customHeight="false" outlineLevel="0" collapsed="false">
      <c r="A684" s="51"/>
      <c r="B684" s="51"/>
      <c r="C684" s="6"/>
      <c r="D684" s="49"/>
      <c r="E684" s="51"/>
      <c r="F684" s="6"/>
      <c r="G684" s="6"/>
      <c r="H684" s="6"/>
      <c r="I684" s="6"/>
      <c r="J684" s="6"/>
      <c r="K684" s="51"/>
      <c r="L684" s="51"/>
      <c r="M684" s="51"/>
      <c r="N684" s="51"/>
      <c r="O684" s="51"/>
      <c r="P684" s="51"/>
      <c r="Q684" s="51"/>
      <c r="R684" s="51"/>
      <c r="S684" s="51"/>
      <c r="T684" s="51"/>
      <c r="U684" s="51"/>
      <c r="V684" s="51"/>
      <c r="W684" s="51"/>
      <c r="X684" s="51"/>
      <c r="Y684" s="51"/>
      <c r="Z684" s="51"/>
      <c r="AA684" s="51"/>
      <c r="AB684" s="51"/>
    </row>
    <row r="685" customFormat="false" ht="15.75" hidden="false" customHeight="false" outlineLevel="0" collapsed="false">
      <c r="A685" s="51"/>
      <c r="B685" s="51"/>
      <c r="C685" s="6"/>
      <c r="D685" s="49"/>
      <c r="E685" s="51"/>
      <c r="F685" s="6"/>
      <c r="G685" s="6"/>
      <c r="H685" s="6"/>
      <c r="I685" s="6"/>
      <c r="J685" s="6"/>
      <c r="K685" s="51"/>
      <c r="L685" s="51"/>
      <c r="M685" s="51"/>
      <c r="N685" s="51"/>
      <c r="O685" s="51"/>
      <c r="P685" s="51"/>
      <c r="Q685" s="51"/>
      <c r="R685" s="51"/>
      <c r="S685" s="51"/>
      <c r="T685" s="51"/>
      <c r="U685" s="51"/>
      <c r="V685" s="51"/>
      <c r="W685" s="51"/>
      <c r="X685" s="51"/>
      <c r="Y685" s="51"/>
      <c r="Z685" s="51"/>
      <c r="AA685" s="51"/>
      <c r="AB685" s="51"/>
    </row>
    <row r="686" customFormat="false" ht="15.75" hidden="false" customHeight="false" outlineLevel="0" collapsed="false">
      <c r="A686" s="51"/>
      <c r="B686" s="51"/>
      <c r="C686" s="6"/>
      <c r="D686" s="49"/>
      <c r="E686" s="51"/>
      <c r="F686" s="6"/>
      <c r="G686" s="6"/>
      <c r="H686" s="6"/>
      <c r="I686" s="6"/>
      <c r="J686" s="6"/>
      <c r="K686" s="51"/>
      <c r="L686" s="51"/>
      <c r="M686" s="51"/>
      <c r="N686" s="51"/>
      <c r="O686" s="51"/>
      <c r="P686" s="51"/>
      <c r="Q686" s="51"/>
      <c r="R686" s="51"/>
      <c r="S686" s="51"/>
      <c r="T686" s="51"/>
      <c r="U686" s="51"/>
      <c r="V686" s="51"/>
      <c r="W686" s="51"/>
      <c r="X686" s="51"/>
      <c r="Y686" s="51"/>
      <c r="Z686" s="51"/>
      <c r="AA686" s="51"/>
      <c r="AB686" s="51"/>
    </row>
    <row r="687" customFormat="false" ht="15.75" hidden="false" customHeight="false" outlineLevel="0" collapsed="false">
      <c r="A687" s="51"/>
      <c r="B687" s="51"/>
      <c r="C687" s="6"/>
      <c r="D687" s="49"/>
      <c r="E687" s="51"/>
      <c r="F687" s="6"/>
      <c r="G687" s="6"/>
      <c r="H687" s="6"/>
      <c r="I687" s="6"/>
      <c r="J687" s="6"/>
      <c r="K687" s="51"/>
      <c r="L687" s="51"/>
      <c r="M687" s="51"/>
      <c r="N687" s="51"/>
      <c r="O687" s="51"/>
      <c r="P687" s="51"/>
      <c r="Q687" s="51"/>
      <c r="R687" s="51"/>
      <c r="S687" s="51"/>
      <c r="T687" s="51"/>
      <c r="U687" s="51"/>
      <c r="V687" s="51"/>
      <c r="W687" s="51"/>
      <c r="X687" s="51"/>
      <c r="Y687" s="51"/>
      <c r="Z687" s="51"/>
      <c r="AA687" s="51"/>
      <c r="AB687" s="51"/>
    </row>
    <row r="688" customFormat="false" ht="15.75" hidden="false" customHeight="false" outlineLevel="0" collapsed="false">
      <c r="A688" s="51"/>
      <c r="B688" s="51"/>
      <c r="C688" s="6"/>
      <c r="D688" s="49"/>
      <c r="E688" s="51"/>
      <c r="F688" s="6"/>
      <c r="G688" s="6"/>
      <c r="H688" s="6"/>
      <c r="I688" s="6"/>
      <c r="J688" s="6"/>
      <c r="K688" s="51"/>
      <c r="L688" s="51"/>
      <c r="M688" s="51"/>
      <c r="N688" s="51"/>
      <c r="O688" s="51"/>
      <c r="P688" s="51"/>
      <c r="Q688" s="51"/>
      <c r="R688" s="51"/>
      <c r="S688" s="51"/>
      <c r="T688" s="51"/>
      <c r="U688" s="51"/>
      <c r="V688" s="51"/>
      <c r="W688" s="51"/>
      <c r="X688" s="51"/>
      <c r="Y688" s="51"/>
      <c r="Z688" s="51"/>
      <c r="AA688" s="51"/>
      <c r="AB688" s="51"/>
    </row>
    <row r="689" customFormat="false" ht="15.75" hidden="false" customHeight="false" outlineLevel="0" collapsed="false">
      <c r="A689" s="51"/>
      <c r="B689" s="51"/>
      <c r="C689" s="6"/>
      <c r="D689" s="49"/>
      <c r="E689" s="51"/>
      <c r="F689" s="6"/>
      <c r="G689" s="6"/>
      <c r="H689" s="6"/>
      <c r="I689" s="6"/>
      <c r="J689" s="6"/>
      <c r="K689" s="51"/>
      <c r="L689" s="51"/>
      <c r="M689" s="51"/>
      <c r="N689" s="51"/>
      <c r="O689" s="51"/>
      <c r="P689" s="51"/>
      <c r="Q689" s="51"/>
      <c r="R689" s="51"/>
      <c r="S689" s="51"/>
      <c r="T689" s="51"/>
      <c r="U689" s="51"/>
      <c r="V689" s="51"/>
      <c r="W689" s="51"/>
      <c r="X689" s="51"/>
      <c r="Y689" s="51"/>
      <c r="Z689" s="51"/>
      <c r="AA689" s="51"/>
      <c r="AB689" s="51"/>
    </row>
    <row r="690" customFormat="false" ht="15.75" hidden="false" customHeight="false" outlineLevel="0" collapsed="false">
      <c r="A690" s="51"/>
      <c r="B690" s="51"/>
      <c r="C690" s="6"/>
      <c r="D690" s="49"/>
      <c r="E690" s="51"/>
      <c r="F690" s="6"/>
      <c r="G690" s="6"/>
      <c r="H690" s="6"/>
      <c r="I690" s="6"/>
      <c r="J690" s="6"/>
      <c r="K690" s="51"/>
      <c r="L690" s="51"/>
      <c r="M690" s="51"/>
      <c r="N690" s="51"/>
      <c r="O690" s="51"/>
      <c r="P690" s="51"/>
      <c r="Q690" s="51"/>
      <c r="R690" s="51"/>
      <c r="S690" s="51"/>
      <c r="T690" s="51"/>
      <c r="U690" s="51"/>
      <c r="V690" s="51"/>
      <c r="W690" s="51"/>
      <c r="X690" s="51"/>
      <c r="Y690" s="51"/>
      <c r="Z690" s="51"/>
      <c r="AA690" s="51"/>
      <c r="AB690" s="51"/>
    </row>
    <row r="691" customFormat="false" ht="15.75" hidden="false" customHeight="false" outlineLevel="0" collapsed="false">
      <c r="A691" s="51"/>
      <c r="B691" s="51"/>
      <c r="C691" s="6"/>
      <c r="D691" s="49"/>
      <c r="E691" s="51"/>
      <c r="F691" s="6"/>
      <c r="G691" s="6"/>
      <c r="H691" s="6"/>
      <c r="I691" s="6"/>
      <c r="J691" s="6"/>
      <c r="K691" s="51"/>
      <c r="L691" s="51"/>
      <c r="M691" s="51"/>
      <c r="N691" s="51"/>
      <c r="O691" s="51"/>
      <c r="P691" s="51"/>
      <c r="Q691" s="51"/>
      <c r="R691" s="51"/>
      <c r="S691" s="51"/>
      <c r="T691" s="51"/>
      <c r="U691" s="51"/>
      <c r="V691" s="51"/>
      <c r="W691" s="51"/>
      <c r="X691" s="51"/>
      <c r="Y691" s="51"/>
      <c r="Z691" s="51"/>
      <c r="AA691" s="51"/>
      <c r="AB691" s="51"/>
    </row>
    <row r="692" customFormat="false" ht="15.75" hidden="false" customHeight="false" outlineLevel="0" collapsed="false">
      <c r="A692" s="51"/>
      <c r="B692" s="51"/>
      <c r="C692" s="6"/>
      <c r="D692" s="49"/>
      <c r="E692" s="51"/>
      <c r="F692" s="6"/>
      <c r="G692" s="6"/>
      <c r="H692" s="6"/>
      <c r="I692" s="6"/>
      <c r="J692" s="6"/>
      <c r="K692" s="51"/>
      <c r="L692" s="51"/>
      <c r="M692" s="51"/>
      <c r="N692" s="51"/>
      <c r="O692" s="51"/>
      <c r="P692" s="51"/>
      <c r="Q692" s="51"/>
      <c r="R692" s="51"/>
      <c r="S692" s="51"/>
      <c r="T692" s="51"/>
      <c r="U692" s="51"/>
      <c r="V692" s="51"/>
      <c r="W692" s="51"/>
      <c r="X692" s="51"/>
      <c r="Y692" s="51"/>
      <c r="Z692" s="51"/>
      <c r="AA692" s="51"/>
      <c r="AB692" s="51"/>
    </row>
    <row r="693" customFormat="false" ht="15.75" hidden="false" customHeight="false" outlineLevel="0" collapsed="false">
      <c r="A693" s="51"/>
      <c r="B693" s="51"/>
      <c r="C693" s="6"/>
      <c r="D693" s="49"/>
      <c r="E693" s="51"/>
      <c r="F693" s="6"/>
      <c r="G693" s="6"/>
      <c r="H693" s="6"/>
      <c r="I693" s="6"/>
      <c r="J693" s="6"/>
      <c r="K693" s="51"/>
      <c r="L693" s="51"/>
      <c r="M693" s="51"/>
      <c r="N693" s="51"/>
      <c r="O693" s="51"/>
      <c r="P693" s="51"/>
      <c r="Q693" s="51"/>
      <c r="R693" s="51"/>
      <c r="S693" s="51"/>
      <c r="T693" s="51"/>
      <c r="U693" s="51"/>
      <c r="V693" s="51"/>
      <c r="W693" s="51"/>
      <c r="X693" s="51"/>
      <c r="Y693" s="51"/>
      <c r="Z693" s="51"/>
      <c r="AA693" s="51"/>
      <c r="AB693" s="51"/>
    </row>
    <row r="694" customFormat="false" ht="15.75" hidden="false" customHeight="false" outlineLevel="0" collapsed="false">
      <c r="A694" s="51"/>
      <c r="B694" s="51"/>
      <c r="C694" s="6"/>
      <c r="D694" s="49"/>
      <c r="E694" s="51"/>
      <c r="F694" s="6"/>
      <c r="G694" s="6"/>
      <c r="H694" s="6"/>
      <c r="I694" s="6"/>
      <c r="J694" s="6"/>
      <c r="K694" s="51"/>
      <c r="L694" s="51"/>
      <c r="M694" s="51"/>
      <c r="N694" s="51"/>
      <c r="O694" s="51"/>
      <c r="P694" s="51"/>
      <c r="Q694" s="51"/>
      <c r="R694" s="51"/>
      <c r="S694" s="51"/>
      <c r="T694" s="51"/>
      <c r="U694" s="51"/>
      <c r="V694" s="51"/>
      <c r="W694" s="51"/>
      <c r="X694" s="51"/>
      <c r="Y694" s="51"/>
      <c r="Z694" s="51"/>
      <c r="AA694" s="51"/>
      <c r="AB694" s="51"/>
    </row>
    <row r="695" customFormat="false" ht="15.75" hidden="false" customHeight="false" outlineLevel="0" collapsed="false">
      <c r="A695" s="51"/>
      <c r="B695" s="51"/>
      <c r="C695" s="6"/>
      <c r="D695" s="49"/>
      <c r="E695" s="51"/>
      <c r="F695" s="6"/>
      <c r="G695" s="6"/>
      <c r="H695" s="6"/>
      <c r="I695" s="6"/>
      <c r="J695" s="6"/>
      <c r="K695" s="51"/>
      <c r="L695" s="51"/>
      <c r="M695" s="51"/>
      <c r="N695" s="51"/>
      <c r="O695" s="51"/>
      <c r="P695" s="51"/>
      <c r="Q695" s="51"/>
      <c r="R695" s="51"/>
      <c r="S695" s="51"/>
      <c r="T695" s="51"/>
      <c r="U695" s="51"/>
      <c r="V695" s="51"/>
      <c r="W695" s="51"/>
      <c r="X695" s="51"/>
      <c r="Y695" s="51"/>
      <c r="Z695" s="51"/>
      <c r="AA695" s="51"/>
      <c r="AB695" s="51"/>
    </row>
    <row r="696" customFormat="false" ht="15.75" hidden="false" customHeight="false" outlineLevel="0" collapsed="false">
      <c r="A696" s="51"/>
      <c r="B696" s="51"/>
      <c r="C696" s="6"/>
      <c r="D696" s="49"/>
      <c r="E696" s="51"/>
      <c r="F696" s="6"/>
      <c r="G696" s="6"/>
      <c r="H696" s="6"/>
      <c r="I696" s="6"/>
      <c r="J696" s="6"/>
      <c r="K696" s="51"/>
      <c r="L696" s="51"/>
      <c r="M696" s="51"/>
      <c r="N696" s="51"/>
      <c r="O696" s="51"/>
      <c r="P696" s="51"/>
      <c r="Q696" s="51"/>
      <c r="R696" s="51"/>
      <c r="S696" s="51"/>
      <c r="T696" s="51"/>
      <c r="U696" s="51"/>
      <c r="V696" s="51"/>
      <c r="W696" s="51"/>
      <c r="X696" s="51"/>
      <c r="Y696" s="51"/>
      <c r="Z696" s="51"/>
      <c r="AA696" s="51"/>
      <c r="AB696" s="51"/>
    </row>
    <row r="697" customFormat="false" ht="15.75" hidden="false" customHeight="false" outlineLevel="0" collapsed="false">
      <c r="A697" s="51"/>
      <c r="B697" s="51"/>
      <c r="C697" s="6"/>
      <c r="D697" s="49"/>
      <c r="E697" s="51"/>
      <c r="F697" s="6"/>
      <c r="G697" s="6"/>
      <c r="H697" s="6"/>
      <c r="I697" s="6"/>
      <c r="J697" s="6"/>
      <c r="K697" s="51"/>
      <c r="L697" s="51"/>
      <c r="M697" s="51"/>
      <c r="N697" s="51"/>
      <c r="O697" s="51"/>
      <c r="P697" s="51"/>
      <c r="Q697" s="51"/>
      <c r="R697" s="51"/>
      <c r="S697" s="51"/>
      <c r="T697" s="51"/>
      <c r="U697" s="51"/>
      <c r="V697" s="51"/>
      <c r="W697" s="51"/>
      <c r="X697" s="51"/>
      <c r="Y697" s="51"/>
      <c r="Z697" s="51"/>
      <c r="AA697" s="51"/>
      <c r="AB697" s="51"/>
    </row>
    <row r="698" customFormat="false" ht="15.75" hidden="false" customHeight="false" outlineLevel="0" collapsed="false">
      <c r="A698" s="51"/>
      <c r="B698" s="51"/>
      <c r="C698" s="6"/>
      <c r="D698" s="49"/>
      <c r="E698" s="51"/>
      <c r="F698" s="6"/>
      <c r="G698" s="6"/>
      <c r="H698" s="6"/>
      <c r="I698" s="6"/>
      <c r="J698" s="6"/>
      <c r="K698" s="51"/>
      <c r="L698" s="51"/>
      <c r="M698" s="51"/>
      <c r="N698" s="51"/>
      <c r="O698" s="51"/>
      <c r="P698" s="51"/>
      <c r="Q698" s="51"/>
      <c r="R698" s="51"/>
      <c r="S698" s="51"/>
      <c r="T698" s="51"/>
      <c r="U698" s="51"/>
      <c r="V698" s="51"/>
      <c r="W698" s="51"/>
      <c r="X698" s="51"/>
      <c r="Y698" s="51"/>
      <c r="Z698" s="51"/>
      <c r="AA698" s="51"/>
      <c r="AB698" s="51"/>
    </row>
    <row r="699" customFormat="false" ht="15.75" hidden="false" customHeight="false" outlineLevel="0" collapsed="false">
      <c r="A699" s="51"/>
      <c r="B699" s="51"/>
      <c r="C699" s="6"/>
      <c r="D699" s="49"/>
      <c r="E699" s="51"/>
      <c r="F699" s="6"/>
      <c r="G699" s="6"/>
      <c r="H699" s="6"/>
      <c r="I699" s="6"/>
      <c r="J699" s="6"/>
      <c r="K699" s="51"/>
      <c r="L699" s="51"/>
      <c r="M699" s="51"/>
      <c r="N699" s="51"/>
      <c r="O699" s="51"/>
      <c r="P699" s="51"/>
      <c r="Q699" s="51"/>
      <c r="R699" s="51"/>
      <c r="S699" s="51"/>
      <c r="T699" s="51"/>
      <c r="U699" s="51"/>
      <c r="V699" s="51"/>
      <c r="W699" s="51"/>
      <c r="X699" s="51"/>
      <c r="Y699" s="51"/>
      <c r="Z699" s="51"/>
      <c r="AA699" s="51"/>
      <c r="AB699" s="51"/>
    </row>
    <row r="700" customFormat="false" ht="15.75" hidden="false" customHeight="false" outlineLevel="0" collapsed="false">
      <c r="A700" s="51"/>
      <c r="B700" s="51"/>
      <c r="C700" s="6"/>
      <c r="D700" s="49"/>
      <c r="E700" s="51"/>
      <c r="F700" s="6"/>
      <c r="G700" s="6"/>
      <c r="H700" s="6"/>
      <c r="I700" s="6"/>
      <c r="J700" s="6"/>
      <c r="K700" s="51"/>
      <c r="L700" s="51"/>
      <c r="M700" s="51"/>
      <c r="N700" s="51"/>
      <c r="O700" s="51"/>
      <c r="P700" s="51"/>
      <c r="Q700" s="51"/>
      <c r="R700" s="51"/>
      <c r="S700" s="51"/>
      <c r="T700" s="51"/>
      <c r="U700" s="51"/>
      <c r="V700" s="51"/>
      <c r="W700" s="51"/>
      <c r="X700" s="51"/>
      <c r="Y700" s="51"/>
      <c r="Z700" s="51"/>
      <c r="AA700" s="51"/>
      <c r="AB700" s="51"/>
    </row>
    <row r="701" customFormat="false" ht="15.75" hidden="false" customHeight="false" outlineLevel="0" collapsed="false">
      <c r="A701" s="51"/>
      <c r="B701" s="51"/>
      <c r="C701" s="6"/>
      <c r="D701" s="49"/>
      <c r="E701" s="51"/>
      <c r="F701" s="6"/>
      <c r="G701" s="6"/>
      <c r="H701" s="6"/>
      <c r="I701" s="6"/>
      <c r="J701" s="6"/>
      <c r="K701" s="51"/>
      <c r="L701" s="51"/>
      <c r="M701" s="51"/>
      <c r="N701" s="51"/>
      <c r="O701" s="51"/>
      <c r="P701" s="51"/>
      <c r="Q701" s="51"/>
      <c r="R701" s="51"/>
      <c r="S701" s="51"/>
      <c r="T701" s="51"/>
      <c r="U701" s="51"/>
      <c r="V701" s="51"/>
      <c r="W701" s="51"/>
      <c r="X701" s="51"/>
      <c r="Y701" s="51"/>
      <c r="Z701" s="51"/>
      <c r="AA701" s="51"/>
      <c r="AB701" s="51"/>
    </row>
    <row r="702" customFormat="false" ht="15.75" hidden="false" customHeight="false" outlineLevel="0" collapsed="false">
      <c r="A702" s="51"/>
      <c r="B702" s="51"/>
      <c r="C702" s="6"/>
      <c r="D702" s="49"/>
      <c r="E702" s="51"/>
      <c r="F702" s="6"/>
      <c r="G702" s="6"/>
      <c r="H702" s="6"/>
      <c r="I702" s="6"/>
      <c r="J702" s="6"/>
      <c r="K702" s="51"/>
      <c r="L702" s="51"/>
      <c r="M702" s="51"/>
      <c r="N702" s="51"/>
      <c r="O702" s="51"/>
      <c r="P702" s="51"/>
      <c r="Q702" s="51"/>
      <c r="R702" s="51"/>
      <c r="S702" s="51"/>
      <c r="T702" s="51"/>
      <c r="U702" s="51"/>
      <c r="V702" s="51"/>
      <c r="W702" s="51"/>
      <c r="X702" s="51"/>
      <c r="Y702" s="51"/>
      <c r="Z702" s="51"/>
      <c r="AA702" s="51"/>
      <c r="AB702" s="51"/>
    </row>
    <row r="703" customFormat="false" ht="15.75" hidden="false" customHeight="false" outlineLevel="0" collapsed="false">
      <c r="A703" s="51"/>
      <c r="B703" s="51"/>
      <c r="C703" s="6"/>
      <c r="D703" s="49"/>
      <c r="E703" s="51"/>
      <c r="F703" s="6"/>
      <c r="G703" s="6"/>
      <c r="H703" s="6"/>
      <c r="I703" s="6"/>
      <c r="J703" s="6"/>
      <c r="K703" s="51"/>
      <c r="L703" s="51"/>
      <c r="M703" s="51"/>
      <c r="N703" s="51"/>
      <c r="O703" s="51"/>
      <c r="P703" s="51"/>
      <c r="Q703" s="51"/>
      <c r="R703" s="51"/>
      <c r="S703" s="51"/>
      <c r="T703" s="51"/>
      <c r="U703" s="51"/>
      <c r="V703" s="51"/>
      <c r="W703" s="51"/>
      <c r="X703" s="51"/>
      <c r="Y703" s="51"/>
      <c r="Z703" s="51"/>
      <c r="AA703" s="51"/>
      <c r="AB703" s="51"/>
    </row>
    <row r="704" customFormat="false" ht="15.75" hidden="false" customHeight="false" outlineLevel="0" collapsed="false">
      <c r="A704" s="51"/>
      <c r="B704" s="51"/>
      <c r="C704" s="6"/>
      <c r="D704" s="49"/>
      <c r="E704" s="51"/>
      <c r="F704" s="6"/>
      <c r="G704" s="6"/>
      <c r="H704" s="6"/>
      <c r="I704" s="6"/>
      <c r="J704" s="6"/>
      <c r="K704" s="51"/>
      <c r="L704" s="51"/>
      <c r="M704" s="51"/>
      <c r="N704" s="51"/>
      <c r="O704" s="51"/>
      <c r="P704" s="51"/>
      <c r="Q704" s="51"/>
      <c r="R704" s="51"/>
      <c r="S704" s="51"/>
      <c r="T704" s="51"/>
      <c r="U704" s="51"/>
      <c r="V704" s="51"/>
      <c r="W704" s="51"/>
      <c r="X704" s="51"/>
      <c r="Y704" s="51"/>
      <c r="Z704" s="51"/>
      <c r="AA704" s="51"/>
      <c r="AB704" s="51"/>
    </row>
    <row r="705" customFormat="false" ht="15.75" hidden="false" customHeight="false" outlineLevel="0" collapsed="false">
      <c r="A705" s="51"/>
      <c r="B705" s="51"/>
      <c r="C705" s="6"/>
      <c r="D705" s="49"/>
      <c r="E705" s="51"/>
      <c r="F705" s="6"/>
      <c r="G705" s="6"/>
      <c r="H705" s="6"/>
      <c r="I705" s="6"/>
      <c r="J705" s="6"/>
      <c r="K705" s="51"/>
      <c r="L705" s="51"/>
      <c r="M705" s="51"/>
      <c r="N705" s="51"/>
      <c r="O705" s="51"/>
      <c r="P705" s="51"/>
      <c r="Q705" s="51"/>
      <c r="R705" s="51"/>
      <c r="S705" s="51"/>
      <c r="T705" s="51"/>
      <c r="U705" s="51"/>
      <c r="V705" s="51"/>
      <c r="W705" s="51"/>
      <c r="X705" s="51"/>
      <c r="Y705" s="51"/>
      <c r="Z705" s="51"/>
      <c r="AA705" s="51"/>
      <c r="AB705" s="51"/>
    </row>
    <row r="706" customFormat="false" ht="15.75" hidden="false" customHeight="false" outlineLevel="0" collapsed="false">
      <c r="A706" s="51"/>
      <c r="B706" s="51"/>
      <c r="C706" s="6"/>
      <c r="D706" s="49"/>
      <c r="E706" s="51"/>
      <c r="F706" s="6"/>
      <c r="G706" s="6"/>
      <c r="H706" s="6"/>
      <c r="I706" s="6"/>
      <c r="J706" s="6"/>
      <c r="K706" s="51"/>
      <c r="L706" s="51"/>
      <c r="M706" s="51"/>
      <c r="N706" s="51"/>
      <c r="O706" s="51"/>
      <c r="P706" s="51"/>
      <c r="Q706" s="51"/>
      <c r="R706" s="51"/>
      <c r="S706" s="51"/>
      <c r="T706" s="51"/>
      <c r="U706" s="51"/>
      <c r="V706" s="51"/>
      <c r="W706" s="51"/>
      <c r="X706" s="51"/>
      <c r="Y706" s="51"/>
      <c r="Z706" s="51"/>
      <c r="AA706" s="51"/>
      <c r="AB706" s="51"/>
    </row>
    <row r="707" customFormat="false" ht="15.75" hidden="false" customHeight="false" outlineLevel="0" collapsed="false">
      <c r="A707" s="51"/>
      <c r="B707" s="51"/>
      <c r="C707" s="6"/>
      <c r="D707" s="49"/>
      <c r="E707" s="51"/>
      <c r="F707" s="6"/>
      <c r="G707" s="6"/>
      <c r="H707" s="6"/>
      <c r="I707" s="6"/>
      <c r="J707" s="6"/>
      <c r="K707" s="51"/>
      <c r="L707" s="51"/>
      <c r="M707" s="51"/>
      <c r="N707" s="51"/>
      <c r="O707" s="51"/>
      <c r="P707" s="51"/>
      <c r="Q707" s="51"/>
      <c r="R707" s="51"/>
      <c r="S707" s="51"/>
      <c r="T707" s="51"/>
      <c r="U707" s="51"/>
      <c r="V707" s="51"/>
      <c r="W707" s="51"/>
      <c r="X707" s="51"/>
      <c r="Y707" s="51"/>
      <c r="Z707" s="51"/>
      <c r="AA707" s="51"/>
      <c r="AB707" s="51"/>
    </row>
    <row r="708" customFormat="false" ht="15.75" hidden="false" customHeight="false" outlineLevel="0" collapsed="false">
      <c r="A708" s="51"/>
      <c r="B708" s="51"/>
      <c r="C708" s="6"/>
      <c r="D708" s="49"/>
      <c r="E708" s="51"/>
      <c r="F708" s="6"/>
      <c r="G708" s="6"/>
      <c r="H708" s="6"/>
      <c r="I708" s="6"/>
      <c r="J708" s="6"/>
      <c r="K708" s="51"/>
      <c r="L708" s="51"/>
      <c r="M708" s="51"/>
      <c r="N708" s="51"/>
      <c r="O708" s="51"/>
      <c r="P708" s="51"/>
      <c r="Q708" s="51"/>
      <c r="R708" s="51"/>
      <c r="S708" s="51"/>
      <c r="T708" s="51"/>
      <c r="U708" s="51"/>
      <c r="V708" s="51"/>
      <c r="W708" s="51"/>
      <c r="X708" s="51"/>
      <c r="Y708" s="51"/>
      <c r="Z708" s="51"/>
      <c r="AA708" s="51"/>
      <c r="AB708" s="51"/>
    </row>
    <row r="709" customFormat="false" ht="15.75" hidden="false" customHeight="false" outlineLevel="0" collapsed="false">
      <c r="A709" s="51"/>
      <c r="B709" s="51"/>
      <c r="C709" s="6"/>
      <c r="D709" s="49"/>
      <c r="E709" s="51"/>
      <c r="F709" s="6"/>
      <c r="G709" s="6"/>
      <c r="H709" s="6"/>
      <c r="I709" s="6"/>
      <c r="J709" s="6"/>
      <c r="K709" s="51"/>
      <c r="L709" s="51"/>
      <c r="M709" s="51"/>
      <c r="N709" s="51"/>
      <c r="O709" s="51"/>
      <c r="P709" s="51"/>
      <c r="Q709" s="51"/>
      <c r="R709" s="51"/>
      <c r="S709" s="51"/>
      <c r="T709" s="51"/>
      <c r="U709" s="51"/>
      <c r="V709" s="51"/>
      <c r="W709" s="51"/>
      <c r="X709" s="51"/>
      <c r="Y709" s="51"/>
      <c r="Z709" s="51"/>
      <c r="AA709" s="51"/>
      <c r="AB709" s="51"/>
    </row>
    <row r="710" customFormat="false" ht="15.75" hidden="false" customHeight="false" outlineLevel="0" collapsed="false">
      <c r="A710" s="51"/>
      <c r="B710" s="51"/>
      <c r="C710" s="6"/>
      <c r="D710" s="49"/>
      <c r="E710" s="51"/>
      <c r="F710" s="6"/>
      <c r="G710" s="6"/>
      <c r="H710" s="6"/>
      <c r="I710" s="6"/>
      <c r="J710" s="6"/>
      <c r="K710" s="51"/>
      <c r="L710" s="51"/>
      <c r="M710" s="51"/>
      <c r="N710" s="51"/>
      <c r="O710" s="51"/>
      <c r="P710" s="51"/>
      <c r="Q710" s="51"/>
      <c r="R710" s="51"/>
      <c r="S710" s="51"/>
      <c r="T710" s="51"/>
      <c r="U710" s="51"/>
      <c r="V710" s="51"/>
      <c r="W710" s="51"/>
      <c r="X710" s="51"/>
      <c r="Y710" s="51"/>
      <c r="Z710" s="51"/>
      <c r="AA710" s="51"/>
      <c r="AB710" s="51"/>
    </row>
    <row r="711" customFormat="false" ht="15.75" hidden="false" customHeight="false" outlineLevel="0" collapsed="false">
      <c r="A711" s="51"/>
      <c r="B711" s="51"/>
      <c r="C711" s="6"/>
      <c r="D711" s="49"/>
      <c r="E711" s="51"/>
      <c r="F711" s="6"/>
      <c r="G711" s="6"/>
      <c r="H711" s="6"/>
      <c r="I711" s="6"/>
      <c r="J711" s="6"/>
      <c r="K711" s="51"/>
      <c r="L711" s="51"/>
      <c r="M711" s="51"/>
      <c r="N711" s="51"/>
      <c r="O711" s="51"/>
      <c r="P711" s="51"/>
      <c r="Q711" s="51"/>
      <c r="R711" s="51"/>
      <c r="S711" s="51"/>
      <c r="T711" s="51"/>
      <c r="U711" s="51"/>
      <c r="V711" s="51"/>
      <c r="W711" s="51"/>
      <c r="X711" s="51"/>
      <c r="Y711" s="51"/>
      <c r="Z711" s="51"/>
      <c r="AA711" s="51"/>
      <c r="AB711" s="51"/>
    </row>
    <row r="712" customFormat="false" ht="15.75" hidden="false" customHeight="false" outlineLevel="0" collapsed="false">
      <c r="A712" s="51"/>
      <c r="B712" s="51"/>
      <c r="C712" s="6"/>
      <c r="D712" s="49"/>
      <c r="E712" s="51"/>
      <c r="F712" s="6"/>
      <c r="G712" s="6"/>
      <c r="H712" s="6"/>
      <c r="I712" s="6"/>
      <c r="J712" s="6"/>
      <c r="K712" s="51"/>
      <c r="L712" s="51"/>
      <c r="M712" s="51"/>
      <c r="N712" s="51"/>
      <c r="O712" s="51"/>
      <c r="P712" s="51"/>
      <c r="Q712" s="51"/>
      <c r="R712" s="51"/>
      <c r="S712" s="51"/>
      <c r="T712" s="51"/>
      <c r="U712" s="51"/>
      <c r="V712" s="51"/>
      <c r="W712" s="51"/>
      <c r="X712" s="51"/>
      <c r="Y712" s="51"/>
      <c r="Z712" s="51"/>
      <c r="AA712" s="51"/>
      <c r="AB712" s="51"/>
    </row>
    <row r="713" customFormat="false" ht="15.75" hidden="false" customHeight="false" outlineLevel="0" collapsed="false">
      <c r="A713" s="51"/>
      <c r="B713" s="51"/>
      <c r="C713" s="6"/>
      <c r="D713" s="49"/>
      <c r="E713" s="51"/>
      <c r="F713" s="6"/>
      <c r="G713" s="6"/>
      <c r="H713" s="6"/>
      <c r="I713" s="6"/>
      <c r="J713" s="6"/>
      <c r="K713" s="51"/>
      <c r="L713" s="51"/>
      <c r="M713" s="51"/>
      <c r="N713" s="51"/>
      <c r="O713" s="51"/>
      <c r="P713" s="51"/>
      <c r="Q713" s="51"/>
      <c r="R713" s="51"/>
      <c r="S713" s="51"/>
      <c r="T713" s="51"/>
      <c r="U713" s="51"/>
      <c r="V713" s="51"/>
      <c r="W713" s="51"/>
      <c r="X713" s="51"/>
      <c r="Y713" s="51"/>
      <c r="Z713" s="51"/>
      <c r="AA713" s="51"/>
      <c r="AB713" s="51"/>
    </row>
    <row r="714" customFormat="false" ht="15.75" hidden="false" customHeight="false" outlineLevel="0" collapsed="false">
      <c r="A714" s="51"/>
      <c r="B714" s="51"/>
      <c r="C714" s="6"/>
      <c r="D714" s="49"/>
      <c r="E714" s="51"/>
      <c r="F714" s="6"/>
      <c r="G714" s="6"/>
      <c r="H714" s="6"/>
      <c r="I714" s="6"/>
      <c r="J714" s="6"/>
      <c r="K714" s="51"/>
      <c r="L714" s="51"/>
      <c r="M714" s="51"/>
      <c r="N714" s="51"/>
      <c r="O714" s="51"/>
      <c r="P714" s="51"/>
      <c r="Q714" s="51"/>
      <c r="R714" s="51"/>
      <c r="S714" s="51"/>
      <c r="T714" s="51"/>
      <c r="U714" s="51"/>
      <c r="V714" s="51"/>
      <c r="W714" s="51"/>
      <c r="X714" s="51"/>
      <c r="Y714" s="51"/>
      <c r="Z714" s="51"/>
      <c r="AA714" s="51"/>
      <c r="AB714" s="51"/>
    </row>
    <row r="715" customFormat="false" ht="15.75" hidden="false" customHeight="false" outlineLevel="0" collapsed="false">
      <c r="A715" s="51"/>
      <c r="B715" s="51"/>
      <c r="C715" s="6"/>
      <c r="D715" s="49"/>
      <c r="E715" s="51"/>
      <c r="F715" s="6"/>
      <c r="G715" s="6"/>
      <c r="H715" s="6"/>
      <c r="I715" s="6"/>
      <c r="J715" s="6"/>
      <c r="K715" s="51"/>
      <c r="L715" s="51"/>
      <c r="M715" s="51"/>
      <c r="N715" s="51"/>
      <c r="O715" s="51"/>
      <c r="P715" s="51"/>
      <c r="Q715" s="51"/>
      <c r="R715" s="51"/>
      <c r="S715" s="51"/>
      <c r="T715" s="51"/>
      <c r="U715" s="51"/>
      <c r="V715" s="51"/>
      <c r="W715" s="51"/>
      <c r="X715" s="51"/>
      <c r="Y715" s="51"/>
      <c r="Z715" s="51"/>
      <c r="AA715" s="51"/>
      <c r="AB715" s="51"/>
    </row>
    <row r="716" customFormat="false" ht="15.75" hidden="false" customHeight="false" outlineLevel="0" collapsed="false">
      <c r="A716" s="51"/>
      <c r="B716" s="51"/>
      <c r="C716" s="6"/>
      <c r="D716" s="49"/>
      <c r="E716" s="51"/>
      <c r="F716" s="6"/>
      <c r="G716" s="6"/>
      <c r="H716" s="6"/>
      <c r="I716" s="6"/>
      <c r="J716" s="6"/>
      <c r="K716" s="51"/>
      <c r="L716" s="51"/>
      <c r="M716" s="51"/>
      <c r="N716" s="51"/>
      <c r="O716" s="51"/>
      <c r="P716" s="51"/>
      <c r="Q716" s="51"/>
      <c r="R716" s="51"/>
      <c r="S716" s="51"/>
      <c r="T716" s="51"/>
      <c r="U716" s="51"/>
      <c r="V716" s="51"/>
      <c r="W716" s="51"/>
      <c r="X716" s="51"/>
      <c r="Y716" s="51"/>
      <c r="Z716" s="51"/>
      <c r="AA716" s="51"/>
      <c r="AB716" s="51"/>
    </row>
    <row r="717" customFormat="false" ht="15.75" hidden="false" customHeight="false" outlineLevel="0" collapsed="false">
      <c r="A717" s="51"/>
      <c r="B717" s="51"/>
      <c r="C717" s="6"/>
      <c r="D717" s="49"/>
      <c r="E717" s="51"/>
      <c r="F717" s="6"/>
      <c r="G717" s="6"/>
      <c r="H717" s="6"/>
      <c r="I717" s="6"/>
      <c r="J717" s="6"/>
      <c r="K717" s="51"/>
      <c r="L717" s="51"/>
      <c r="M717" s="51"/>
      <c r="N717" s="51"/>
      <c r="O717" s="51"/>
      <c r="P717" s="51"/>
      <c r="Q717" s="51"/>
      <c r="R717" s="51"/>
      <c r="S717" s="51"/>
      <c r="T717" s="51"/>
      <c r="U717" s="51"/>
      <c r="V717" s="51"/>
      <c r="W717" s="51"/>
      <c r="X717" s="51"/>
      <c r="Y717" s="51"/>
      <c r="Z717" s="51"/>
      <c r="AA717" s="51"/>
      <c r="AB717" s="51"/>
    </row>
    <row r="718" customFormat="false" ht="15.75" hidden="false" customHeight="false" outlineLevel="0" collapsed="false">
      <c r="A718" s="51"/>
      <c r="B718" s="51"/>
      <c r="C718" s="6"/>
      <c r="D718" s="49"/>
      <c r="E718" s="51"/>
      <c r="F718" s="6"/>
      <c r="G718" s="6"/>
      <c r="H718" s="6"/>
      <c r="I718" s="6"/>
      <c r="J718" s="6"/>
      <c r="K718" s="51"/>
      <c r="L718" s="51"/>
      <c r="M718" s="51"/>
      <c r="N718" s="51"/>
      <c r="O718" s="51"/>
      <c r="P718" s="51"/>
      <c r="Q718" s="51"/>
      <c r="R718" s="51"/>
      <c r="S718" s="51"/>
      <c r="T718" s="51"/>
      <c r="U718" s="51"/>
      <c r="V718" s="51"/>
      <c r="W718" s="51"/>
      <c r="X718" s="51"/>
      <c r="Y718" s="51"/>
      <c r="Z718" s="51"/>
      <c r="AA718" s="51"/>
      <c r="AB718" s="51"/>
    </row>
    <row r="719" customFormat="false" ht="15.75" hidden="false" customHeight="false" outlineLevel="0" collapsed="false">
      <c r="A719" s="51"/>
      <c r="B719" s="51"/>
      <c r="C719" s="6"/>
      <c r="D719" s="49"/>
      <c r="E719" s="51"/>
      <c r="F719" s="6"/>
      <c r="G719" s="6"/>
      <c r="H719" s="6"/>
      <c r="I719" s="6"/>
      <c r="J719" s="6"/>
      <c r="K719" s="51"/>
      <c r="L719" s="51"/>
      <c r="M719" s="51"/>
      <c r="N719" s="51"/>
      <c r="O719" s="51"/>
      <c r="P719" s="51"/>
      <c r="Q719" s="51"/>
      <c r="R719" s="51"/>
      <c r="S719" s="51"/>
      <c r="T719" s="51"/>
      <c r="U719" s="51"/>
      <c r="V719" s="51"/>
      <c r="W719" s="51"/>
      <c r="X719" s="51"/>
      <c r="Y719" s="51"/>
      <c r="Z719" s="51"/>
      <c r="AA719" s="51"/>
      <c r="AB719" s="51"/>
    </row>
    <row r="720" customFormat="false" ht="15.75" hidden="false" customHeight="false" outlineLevel="0" collapsed="false">
      <c r="A720" s="51"/>
      <c r="B720" s="51"/>
      <c r="C720" s="6"/>
      <c r="D720" s="49"/>
      <c r="E720" s="51"/>
      <c r="F720" s="6"/>
      <c r="G720" s="6"/>
      <c r="H720" s="6"/>
      <c r="I720" s="6"/>
      <c r="J720" s="6"/>
      <c r="K720" s="51"/>
      <c r="L720" s="51"/>
      <c r="M720" s="51"/>
      <c r="N720" s="51"/>
      <c r="O720" s="51"/>
      <c r="P720" s="51"/>
      <c r="Q720" s="51"/>
      <c r="R720" s="51"/>
      <c r="S720" s="51"/>
      <c r="T720" s="51"/>
      <c r="U720" s="51"/>
      <c r="V720" s="51"/>
      <c r="W720" s="51"/>
      <c r="X720" s="51"/>
      <c r="Y720" s="51"/>
      <c r="Z720" s="51"/>
      <c r="AA720" s="51"/>
      <c r="AB720" s="51"/>
    </row>
    <row r="721" customFormat="false" ht="15.75" hidden="false" customHeight="false" outlineLevel="0" collapsed="false">
      <c r="A721" s="51"/>
      <c r="B721" s="51"/>
      <c r="C721" s="6"/>
      <c r="D721" s="49"/>
      <c r="E721" s="51"/>
      <c r="F721" s="6"/>
      <c r="G721" s="6"/>
      <c r="H721" s="6"/>
      <c r="I721" s="6"/>
      <c r="J721" s="6"/>
      <c r="K721" s="51"/>
      <c r="L721" s="51"/>
      <c r="M721" s="51"/>
      <c r="N721" s="51"/>
      <c r="O721" s="51"/>
      <c r="P721" s="51"/>
      <c r="Q721" s="51"/>
      <c r="R721" s="51"/>
      <c r="S721" s="51"/>
      <c r="T721" s="51"/>
      <c r="U721" s="51"/>
      <c r="V721" s="51"/>
      <c r="W721" s="51"/>
      <c r="X721" s="51"/>
      <c r="Y721" s="51"/>
      <c r="Z721" s="51"/>
      <c r="AA721" s="51"/>
      <c r="AB721" s="51"/>
    </row>
    <row r="722" customFormat="false" ht="15.75" hidden="false" customHeight="false" outlineLevel="0" collapsed="false">
      <c r="A722" s="51"/>
      <c r="B722" s="51"/>
      <c r="C722" s="6"/>
      <c r="D722" s="49"/>
      <c r="E722" s="51"/>
      <c r="F722" s="6"/>
      <c r="G722" s="6"/>
      <c r="H722" s="6"/>
      <c r="I722" s="6"/>
      <c r="J722" s="6"/>
      <c r="K722" s="51"/>
      <c r="L722" s="51"/>
      <c r="M722" s="51"/>
      <c r="N722" s="51"/>
      <c r="O722" s="51"/>
      <c r="P722" s="51"/>
      <c r="Q722" s="51"/>
      <c r="R722" s="51"/>
      <c r="S722" s="51"/>
      <c r="T722" s="51"/>
      <c r="U722" s="51"/>
      <c r="V722" s="51"/>
      <c r="W722" s="51"/>
      <c r="X722" s="51"/>
      <c r="Y722" s="51"/>
      <c r="Z722" s="51"/>
      <c r="AA722" s="51"/>
      <c r="AB722" s="51"/>
    </row>
    <row r="723" customFormat="false" ht="15.75" hidden="false" customHeight="false" outlineLevel="0" collapsed="false">
      <c r="A723" s="51"/>
      <c r="B723" s="51"/>
      <c r="C723" s="6"/>
      <c r="D723" s="49"/>
      <c r="E723" s="51"/>
      <c r="F723" s="6"/>
      <c r="G723" s="6"/>
      <c r="H723" s="6"/>
      <c r="I723" s="6"/>
      <c r="J723" s="6"/>
      <c r="K723" s="51"/>
      <c r="L723" s="51"/>
      <c r="M723" s="51"/>
      <c r="N723" s="51"/>
      <c r="O723" s="51"/>
      <c r="P723" s="51"/>
      <c r="Q723" s="51"/>
      <c r="R723" s="51"/>
      <c r="S723" s="51"/>
      <c r="T723" s="51"/>
      <c r="U723" s="51"/>
      <c r="V723" s="51"/>
      <c r="W723" s="51"/>
      <c r="X723" s="51"/>
      <c r="Y723" s="51"/>
      <c r="Z723" s="51"/>
      <c r="AA723" s="51"/>
      <c r="AB723" s="51"/>
    </row>
    <row r="724" customFormat="false" ht="15.75" hidden="false" customHeight="false" outlineLevel="0" collapsed="false">
      <c r="A724" s="51"/>
      <c r="B724" s="51"/>
      <c r="C724" s="6"/>
      <c r="D724" s="49"/>
      <c r="E724" s="51"/>
      <c r="F724" s="6"/>
      <c r="G724" s="6"/>
      <c r="H724" s="6"/>
      <c r="I724" s="6"/>
      <c r="J724" s="6"/>
      <c r="K724" s="51"/>
      <c r="L724" s="51"/>
      <c r="M724" s="51"/>
      <c r="N724" s="51"/>
      <c r="O724" s="51"/>
      <c r="P724" s="51"/>
      <c r="Q724" s="51"/>
      <c r="R724" s="51"/>
      <c r="S724" s="51"/>
      <c r="T724" s="51"/>
      <c r="U724" s="51"/>
      <c r="V724" s="51"/>
      <c r="W724" s="51"/>
      <c r="X724" s="51"/>
      <c r="Y724" s="51"/>
      <c r="Z724" s="51"/>
      <c r="AA724" s="51"/>
      <c r="AB724" s="51"/>
    </row>
    <row r="725" customFormat="false" ht="15.75" hidden="false" customHeight="false" outlineLevel="0" collapsed="false">
      <c r="A725" s="51"/>
      <c r="B725" s="51"/>
      <c r="C725" s="6"/>
      <c r="D725" s="49"/>
      <c r="E725" s="51"/>
      <c r="F725" s="6"/>
      <c r="G725" s="6"/>
      <c r="H725" s="6"/>
      <c r="I725" s="6"/>
      <c r="J725" s="6"/>
      <c r="K725" s="51"/>
      <c r="L725" s="51"/>
      <c r="M725" s="51"/>
      <c r="N725" s="51"/>
      <c r="O725" s="51"/>
      <c r="P725" s="51"/>
      <c r="Q725" s="51"/>
      <c r="R725" s="51"/>
      <c r="S725" s="51"/>
      <c r="T725" s="51"/>
      <c r="U725" s="51"/>
      <c r="V725" s="51"/>
      <c r="W725" s="51"/>
      <c r="X725" s="51"/>
      <c r="Y725" s="51"/>
      <c r="Z725" s="51"/>
      <c r="AA725" s="51"/>
      <c r="AB725" s="51"/>
    </row>
    <row r="726" customFormat="false" ht="15.75" hidden="false" customHeight="false" outlineLevel="0" collapsed="false">
      <c r="A726" s="51"/>
      <c r="B726" s="51"/>
      <c r="C726" s="6"/>
      <c r="D726" s="49"/>
      <c r="E726" s="51"/>
      <c r="F726" s="6"/>
      <c r="G726" s="6"/>
      <c r="H726" s="6"/>
      <c r="I726" s="6"/>
      <c r="J726" s="6"/>
      <c r="K726" s="51"/>
      <c r="L726" s="51"/>
      <c r="M726" s="51"/>
      <c r="N726" s="51"/>
      <c r="O726" s="51"/>
      <c r="P726" s="51"/>
      <c r="Q726" s="51"/>
      <c r="R726" s="51"/>
      <c r="S726" s="51"/>
      <c r="T726" s="51"/>
      <c r="U726" s="51"/>
      <c r="V726" s="51"/>
      <c r="W726" s="51"/>
      <c r="X726" s="51"/>
      <c r="Y726" s="51"/>
      <c r="Z726" s="51"/>
      <c r="AA726" s="51"/>
      <c r="AB726" s="51"/>
    </row>
    <row r="727" customFormat="false" ht="15.75" hidden="false" customHeight="false" outlineLevel="0" collapsed="false">
      <c r="A727" s="51"/>
      <c r="B727" s="51"/>
      <c r="C727" s="6"/>
      <c r="D727" s="49"/>
      <c r="E727" s="51"/>
      <c r="F727" s="6"/>
      <c r="G727" s="6"/>
      <c r="H727" s="6"/>
      <c r="I727" s="6"/>
      <c r="J727" s="6"/>
      <c r="K727" s="51"/>
      <c r="L727" s="51"/>
      <c r="M727" s="51"/>
      <c r="N727" s="51"/>
      <c r="O727" s="51"/>
      <c r="P727" s="51"/>
      <c r="Q727" s="51"/>
      <c r="R727" s="51"/>
      <c r="S727" s="51"/>
      <c r="T727" s="51"/>
      <c r="U727" s="51"/>
      <c r="V727" s="51"/>
      <c r="W727" s="51"/>
      <c r="X727" s="51"/>
      <c r="Y727" s="51"/>
      <c r="Z727" s="51"/>
      <c r="AA727" s="51"/>
      <c r="AB727" s="51"/>
    </row>
    <row r="728" customFormat="false" ht="15.75" hidden="false" customHeight="false" outlineLevel="0" collapsed="false">
      <c r="A728" s="51"/>
      <c r="B728" s="51"/>
      <c r="C728" s="6"/>
      <c r="D728" s="49"/>
      <c r="E728" s="51"/>
      <c r="F728" s="6"/>
      <c r="G728" s="6"/>
      <c r="H728" s="6"/>
      <c r="I728" s="6"/>
      <c r="J728" s="6"/>
      <c r="K728" s="51"/>
      <c r="L728" s="51"/>
      <c r="M728" s="51"/>
      <c r="N728" s="51"/>
      <c r="O728" s="51"/>
      <c r="P728" s="51"/>
      <c r="Q728" s="51"/>
      <c r="R728" s="51"/>
      <c r="S728" s="51"/>
      <c r="T728" s="51"/>
      <c r="U728" s="51"/>
      <c r="V728" s="51"/>
      <c r="W728" s="51"/>
      <c r="X728" s="51"/>
      <c r="Y728" s="51"/>
      <c r="Z728" s="51"/>
      <c r="AA728" s="51"/>
      <c r="AB728" s="51"/>
    </row>
    <row r="729" customFormat="false" ht="15.75" hidden="false" customHeight="false" outlineLevel="0" collapsed="false">
      <c r="A729" s="51"/>
      <c r="B729" s="51"/>
      <c r="C729" s="6"/>
      <c r="D729" s="49"/>
      <c r="E729" s="51"/>
      <c r="F729" s="6"/>
      <c r="G729" s="6"/>
      <c r="H729" s="6"/>
      <c r="I729" s="6"/>
      <c r="J729" s="6"/>
      <c r="K729" s="51"/>
      <c r="L729" s="51"/>
      <c r="M729" s="51"/>
      <c r="N729" s="51"/>
      <c r="O729" s="51"/>
      <c r="P729" s="51"/>
      <c r="Q729" s="51"/>
      <c r="R729" s="51"/>
      <c r="S729" s="51"/>
      <c r="T729" s="51"/>
      <c r="U729" s="51"/>
      <c r="V729" s="51"/>
      <c r="W729" s="51"/>
      <c r="X729" s="51"/>
      <c r="Y729" s="51"/>
      <c r="Z729" s="51"/>
      <c r="AA729" s="51"/>
      <c r="AB729" s="51"/>
    </row>
    <row r="730" customFormat="false" ht="15.75" hidden="false" customHeight="false" outlineLevel="0" collapsed="false">
      <c r="A730" s="51"/>
      <c r="B730" s="51"/>
      <c r="C730" s="6"/>
      <c r="D730" s="49"/>
      <c r="E730" s="51"/>
      <c r="F730" s="6"/>
      <c r="G730" s="6"/>
      <c r="H730" s="6"/>
      <c r="I730" s="6"/>
      <c r="J730" s="6"/>
      <c r="K730" s="51"/>
      <c r="L730" s="51"/>
      <c r="M730" s="51"/>
      <c r="N730" s="51"/>
      <c r="O730" s="51"/>
      <c r="P730" s="51"/>
      <c r="Q730" s="51"/>
      <c r="R730" s="51"/>
      <c r="S730" s="51"/>
      <c r="T730" s="51"/>
      <c r="U730" s="51"/>
      <c r="V730" s="51"/>
      <c r="W730" s="51"/>
      <c r="X730" s="51"/>
      <c r="Y730" s="51"/>
      <c r="Z730" s="51"/>
      <c r="AA730" s="51"/>
      <c r="AB730" s="51"/>
    </row>
    <row r="731" customFormat="false" ht="15.75" hidden="false" customHeight="false" outlineLevel="0" collapsed="false">
      <c r="A731" s="51"/>
      <c r="B731" s="51"/>
      <c r="C731" s="6"/>
      <c r="D731" s="49"/>
      <c r="E731" s="51"/>
      <c r="F731" s="6"/>
      <c r="G731" s="6"/>
      <c r="H731" s="6"/>
      <c r="I731" s="6"/>
      <c r="J731" s="6"/>
      <c r="K731" s="51"/>
      <c r="L731" s="51"/>
      <c r="M731" s="51"/>
      <c r="N731" s="51"/>
      <c r="O731" s="51"/>
      <c r="P731" s="51"/>
      <c r="Q731" s="51"/>
      <c r="R731" s="51"/>
      <c r="S731" s="51"/>
      <c r="T731" s="51"/>
      <c r="U731" s="51"/>
      <c r="V731" s="51"/>
      <c r="W731" s="51"/>
      <c r="X731" s="51"/>
      <c r="Y731" s="51"/>
      <c r="Z731" s="51"/>
      <c r="AA731" s="51"/>
      <c r="AB731" s="51"/>
    </row>
    <row r="732" customFormat="false" ht="15.75" hidden="false" customHeight="false" outlineLevel="0" collapsed="false">
      <c r="A732" s="51"/>
      <c r="B732" s="51"/>
      <c r="C732" s="6"/>
      <c r="D732" s="49"/>
      <c r="E732" s="51"/>
      <c r="F732" s="6"/>
      <c r="G732" s="6"/>
      <c r="H732" s="6"/>
      <c r="I732" s="6"/>
      <c r="J732" s="6"/>
      <c r="K732" s="51"/>
      <c r="L732" s="51"/>
      <c r="M732" s="51"/>
      <c r="N732" s="51"/>
      <c r="O732" s="51"/>
      <c r="P732" s="51"/>
      <c r="Q732" s="51"/>
      <c r="R732" s="51"/>
      <c r="S732" s="51"/>
      <c r="T732" s="51"/>
      <c r="U732" s="51"/>
      <c r="V732" s="51"/>
      <c r="W732" s="51"/>
      <c r="X732" s="51"/>
      <c r="Y732" s="51"/>
      <c r="Z732" s="51"/>
      <c r="AA732" s="51"/>
      <c r="AB732" s="51"/>
    </row>
    <row r="733" customFormat="false" ht="15.75" hidden="false" customHeight="false" outlineLevel="0" collapsed="false">
      <c r="A733" s="51"/>
      <c r="B733" s="51"/>
      <c r="C733" s="6"/>
      <c r="D733" s="49"/>
      <c r="E733" s="51"/>
      <c r="F733" s="6"/>
      <c r="G733" s="6"/>
      <c r="H733" s="6"/>
      <c r="I733" s="6"/>
      <c r="J733" s="6"/>
      <c r="K733" s="51"/>
      <c r="L733" s="51"/>
      <c r="M733" s="51"/>
      <c r="N733" s="51"/>
      <c r="O733" s="51"/>
      <c r="P733" s="51"/>
      <c r="Q733" s="51"/>
      <c r="R733" s="51"/>
      <c r="S733" s="51"/>
      <c r="T733" s="51"/>
      <c r="U733" s="51"/>
      <c r="V733" s="51"/>
      <c r="W733" s="51"/>
      <c r="X733" s="51"/>
      <c r="Y733" s="51"/>
      <c r="Z733" s="51"/>
      <c r="AA733" s="51"/>
      <c r="AB733" s="51"/>
    </row>
    <row r="734" customFormat="false" ht="15.75" hidden="false" customHeight="false" outlineLevel="0" collapsed="false">
      <c r="A734" s="51"/>
      <c r="B734" s="51"/>
      <c r="C734" s="6"/>
      <c r="D734" s="49"/>
      <c r="E734" s="51"/>
      <c r="F734" s="6"/>
      <c r="G734" s="6"/>
      <c r="H734" s="6"/>
      <c r="I734" s="6"/>
      <c r="J734" s="6"/>
      <c r="K734" s="51"/>
      <c r="L734" s="51"/>
      <c r="M734" s="51"/>
      <c r="N734" s="51"/>
      <c r="O734" s="51"/>
      <c r="P734" s="51"/>
      <c r="Q734" s="51"/>
      <c r="R734" s="51"/>
      <c r="S734" s="51"/>
      <c r="T734" s="51"/>
      <c r="U734" s="51"/>
      <c r="V734" s="51"/>
      <c r="W734" s="51"/>
      <c r="X734" s="51"/>
      <c r="Y734" s="51"/>
      <c r="Z734" s="51"/>
      <c r="AA734" s="51"/>
      <c r="AB734" s="51"/>
    </row>
    <row r="735" customFormat="false" ht="15.75" hidden="false" customHeight="false" outlineLevel="0" collapsed="false">
      <c r="A735" s="51"/>
      <c r="B735" s="51"/>
      <c r="C735" s="6"/>
      <c r="D735" s="49"/>
      <c r="E735" s="51"/>
      <c r="F735" s="6"/>
      <c r="G735" s="6"/>
      <c r="H735" s="6"/>
      <c r="I735" s="6"/>
      <c r="J735" s="6"/>
      <c r="K735" s="51"/>
      <c r="L735" s="51"/>
      <c r="M735" s="51"/>
      <c r="N735" s="51"/>
      <c r="O735" s="51"/>
      <c r="P735" s="51"/>
      <c r="Q735" s="51"/>
      <c r="R735" s="51"/>
      <c r="S735" s="51"/>
      <c r="T735" s="51"/>
      <c r="U735" s="51"/>
      <c r="V735" s="51"/>
      <c r="W735" s="51"/>
      <c r="X735" s="51"/>
      <c r="Y735" s="51"/>
      <c r="Z735" s="51"/>
      <c r="AA735" s="51"/>
      <c r="AB735" s="51"/>
    </row>
    <row r="736" customFormat="false" ht="15.75" hidden="false" customHeight="false" outlineLevel="0" collapsed="false">
      <c r="A736" s="51"/>
      <c r="B736" s="51"/>
      <c r="C736" s="6"/>
      <c r="D736" s="49"/>
      <c r="E736" s="51"/>
      <c r="F736" s="6"/>
      <c r="G736" s="6"/>
      <c r="H736" s="6"/>
      <c r="I736" s="6"/>
      <c r="J736" s="6"/>
      <c r="K736" s="51"/>
      <c r="L736" s="51"/>
      <c r="M736" s="51"/>
      <c r="N736" s="51"/>
      <c r="O736" s="51"/>
      <c r="P736" s="51"/>
      <c r="Q736" s="51"/>
      <c r="R736" s="51"/>
      <c r="S736" s="51"/>
      <c r="T736" s="51"/>
      <c r="U736" s="51"/>
      <c r="V736" s="51"/>
      <c r="W736" s="51"/>
      <c r="X736" s="51"/>
      <c r="Y736" s="51"/>
      <c r="Z736" s="51"/>
      <c r="AA736" s="51"/>
      <c r="AB736" s="51"/>
    </row>
    <row r="737" customFormat="false" ht="15.75" hidden="false" customHeight="false" outlineLevel="0" collapsed="false">
      <c r="A737" s="51"/>
      <c r="B737" s="51"/>
      <c r="C737" s="6"/>
      <c r="D737" s="49"/>
      <c r="E737" s="51"/>
      <c r="F737" s="6"/>
      <c r="G737" s="6"/>
      <c r="H737" s="6"/>
      <c r="I737" s="6"/>
      <c r="J737" s="6"/>
      <c r="K737" s="51"/>
      <c r="L737" s="51"/>
      <c r="M737" s="51"/>
      <c r="N737" s="51"/>
      <c r="O737" s="51"/>
      <c r="P737" s="51"/>
      <c r="Q737" s="51"/>
      <c r="R737" s="51"/>
      <c r="S737" s="51"/>
      <c r="T737" s="51"/>
      <c r="U737" s="51"/>
      <c r="V737" s="51"/>
      <c r="W737" s="51"/>
      <c r="X737" s="51"/>
      <c r="Y737" s="51"/>
      <c r="Z737" s="51"/>
      <c r="AA737" s="51"/>
      <c r="AB737" s="51"/>
    </row>
    <row r="738" customFormat="false" ht="15.75" hidden="false" customHeight="false" outlineLevel="0" collapsed="false">
      <c r="A738" s="51"/>
      <c r="B738" s="51"/>
      <c r="C738" s="6"/>
      <c r="D738" s="49"/>
      <c r="E738" s="51"/>
      <c r="F738" s="6"/>
      <c r="G738" s="6"/>
      <c r="H738" s="6"/>
      <c r="I738" s="6"/>
      <c r="J738" s="6"/>
      <c r="K738" s="51"/>
      <c r="L738" s="51"/>
      <c r="M738" s="51"/>
      <c r="N738" s="51"/>
      <c r="O738" s="51"/>
      <c r="P738" s="51"/>
      <c r="Q738" s="51"/>
      <c r="R738" s="51"/>
      <c r="S738" s="51"/>
      <c r="T738" s="51"/>
      <c r="U738" s="51"/>
      <c r="V738" s="51"/>
      <c r="W738" s="51"/>
      <c r="X738" s="51"/>
      <c r="Y738" s="51"/>
      <c r="Z738" s="51"/>
      <c r="AA738" s="51"/>
      <c r="AB738" s="51"/>
    </row>
    <row r="739" customFormat="false" ht="15.75" hidden="false" customHeight="false" outlineLevel="0" collapsed="false">
      <c r="A739" s="51"/>
      <c r="B739" s="51"/>
      <c r="C739" s="6"/>
      <c r="D739" s="49"/>
      <c r="E739" s="51"/>
      <c r="F739" s="6"/>
      <c r="G739" s="6"/>
      <c r="H739" s="6"/>
      <c r="I739" s="6"/>
      <c r="J739" s="6"/>
      <c r="K739" s="51"/>
      <c r="L739" s="51"/>
      <c r="M739" s="51"/>
      <c r="N739" s="51"/>
      <c r="O739" s="51"/>
      <c r="P739" s="51"/>
      <c r="Q739" s="51"/>
      <c r="R739" s="51"/>
      <c r="S739" s="51"/>
      <c r="T739" s="51"/>
      <c r="U739" s="51"/>
      <c r="V739" s="51"/>
      <c r="W739" s="51"/>
      <c r="X739" s="51"/>
      <c r="Y739" s="51"/>
      <c r="Z739" s="51"/>
      <c r="AA739" s="51"/>
      <c r="AB739" s="51"/>
    </row>
    <row r="740" customFormat="false" ht="15.75" hidden="false" customHeight="false" outlineLevel="0" collapsed="false">
      <c r="A740" s="51"/>
      <c r="B740" s="51"/>
      <c r="C740" s="6"/>
      <c r="D740" s="49"/>
      <c r="E740" s="51"/>
      <c r="F740" s="6"/>
      <c r="G740" s="6"/>
      <c r="H740" s="6"/>
      <c r="I740" s="6"/>
      <c r="J740" s="6"/>
      <c r="K740" s="51"/>
      <c r="L740" s="51"/>
      <c r="M740" s="51"/>
      <c r="N740" s="51"/>
      <c r="O740" s="51"/>
      <c r="P740" s="51"/>
      <c r="Q740" s="51"/>
      <c r="R740" s="51"/>
      <c r="S740" s="51"/>
      <c r="T740" s="51"/>
      <c r="U740" s="51"/>
      <c r="V740" s="51"/>
      <c r="W740" s="51"/>
      <c r="X740" s="51"/>
      <c r="Y740" s="51"/>
      <c r="Z740" s="51"/>
      <c r="AA740" s="51"/>
      <c r="AB740" s="51"/>
    </row>
    <row r="741" customFormat="false" ht="15.75" hidden="false" customHeight="false" outlineLevel="0" collapsed="false">
      <c r="A741" s="51"/>
      <c r="B741" s="51"/>
      <c r="C741" s="6"/>
      <c r="D741" s="49"/>
      <c r="E741" s="51"/>
      <c r="F741" s="6"/>
      <c r="G741" s="6"/>
      <c r="H741" s="6"/>
      <c r="I741" s="6"/>
      <c r="J741" s="6"/>
      <c r="K741" s="51"/>
      <c r="L741" s="51"/>
      <c r="M741" s="51"/>
      <c r="N741" s="51"/>
      <c r="O741" s="51"/>
      <c r="P741" s="51"/>
      <c r="Q741" s="51"/>
      <c r="R741" s="51"/>
      <c r="S741" s="51"/>
      <c r="T741" s="51"/>
      <c r="U741" s="51"/>
      <c r="V741" s="51"/>
      <c r="W741" s="51"/>
      <c r="X741" s="51"/>
      <c r="Y741" s="51"/>
      <c r="Z741" s="51"/>
      <c r="AA741" s="51"/>
      <c r="AB741" s="51"/>
    </row>
    <row r="742" customFormat="false" ht="15.75" hidden="false" customHeight="false" outlineLevel="0" collapsed="false">
      <c r="A742" s="51"/>
      <c r="B742" s="51"/>
      <c r="C742" s="6"/>
      <c r="D742" s="49"/>
      <c r="E742" s="51"/>
      <c r="F742" s="6"/>
      <c r="G742" s="6"/>
      <c r="H742" s="6"/>
      <c r="I742" s="6"/>
      <c r="J742" s="6"/>
      <c r="K742" s="51"/>
      <c r="L742" s="51"/>
      <c r="M742" s="51"/>
      <c r="N742" s="51"/>
      <c r="O742" s="51"/>
      <c r="P742" s="51"/>
      <c r="Q742" s="51"/>
      <c r="R742" s="51"/>
      <c r="S742" s="51"/>
      <c r="T742" s="51"/>
      <c r="U742" s="51"/>
      <c r="V742" s="51"/>
      <c r="W742" s="51"/>
      <c r="X742" s="51"/>
      <c r="Y742" s="51"/>
      <c r="Z742" s="51"/>
      <c r="AA742" s="51"/>
      <c r="AB742" s="51"/>
    </row>
    <row r="743" customFormat="false" ht="15.75" hidden="false" customHeight="false" outlineLevel="0" collapsed="false">
      <c r="A743" s="51"/>
      <c r="B743" s="51"/>
      <c r="C743" s="6"/>
      <c r="D743" s="49"/>
      <c r="E743" s="51"/>
      <c r="F743" s="6"/>
      <c r="G743" s="6"/>
      <c r="H743" s="6"/>
      <c r="I743" s="6"/>
      <c r="J743" s="6"/>
      <c r="K743" s="51"/>
      <c r="L743" s="51"/>
      <c r="M743" s="51"/>
      <c r="N743" s="51"/>
      <c r="O743" s="51"/>
      <c r="P743" s="51"/>
      <c r="Q743" s="51"/>
      <c r="R743" s="51"/>
      <c r="S743" s="51"/>
      <c r="T743" s="51"/>
      <c r="U743" s="51"/>
      <c r="V743" s="51"/>
      <c r="W743" s="51"/>
      <c r="X743" s="51"/>
      <c r="Y743" s="51"/>
      <c r="Z743" s="51"/>
      <c r="AA743" s="51"/>
      <c r="AB743" s="51"/>
    </row>
    <row r="744" customFormat="false" ht="15.75" hidden="false" customHeight="false" outlineLevel="0" collapsed="false">
      <c r="A744" s="51"/>
      <c r="B744" s="51"/>
      <c r="C744" s="6"/>
      <c r="D744" s="49"/>
      <c r="E744" s="51"/>
      <c r="F744" s="6"/>
      <c r="G744" s="6"/>
      <c r="H744" s="6"/>
      <c r="I744" s="6"/>
      <c r="J744" s="6"/>
      <c r="K744" s="51"/>
      <c r="L744" s="51"/>
      <c r="M744" s="51"/>
      <c r="N744" s="51"/>
      <c r="O744" s="51"/>
      <c r="P744" s="51"/>
      <c r="Q744" s="51"/>
      <c r="R744" s="51"/>
      <c r="S744" s="51"/>
      <c r="T744" s="51"/>
      <c r="U744" s="51"/>
      <c r="V744" s="51"/>
      <c r="W744" s="51"/>
      <c r="X744" s="51"/>
      <c r="Y744" s="51"/>
      <c r="Z744" s="51"/>
      <c r="AA744" s="51"/>
      <c r="AB744" s="51"/>
    </row>
    <row r="745" customFormat="false" ht="15.75" hidden="false" customHeight="false" outlineLevel="0" collapsed="false">
      <c r="A745" s="51"/>
      <c r="B745" s="51"/>
      <c r="C745" s="6"/>
      <c r="D745" s="49"/>
      <c r="E745" s="51"/>
      <c r="F745" s="6"/>
      <c r="G745" s="6"/>
      <c r="H745" s="6"/>
      <c r="I745" s="6"/>
      <c r="J745" s="6"/>
      <c r="K745" s="51"/>
      <c r="L745" s="51"/>
      <c r="M745" s="51"/>
      <c r="N745" s="51"/>
      <c r="O745" s="51"/>
      <c r="P745" s="51"/>
      <c r="Q745" s="51"/>
      <c r="R745" s="51"/>
      <c r="S745" s="51"/>
      <c r="T745" s="51"/>
      <c r="U745" s="51"/>
      <c r="V745" s="51"/>
      <c r="W745" s="51"/>
      <c r="X745" s="51"/>
      <c r="Y745" s="51"/>
      <c r="Z745" s="51"/>
      <c r="AA745" s="51"/>
      <c r="AB745" s="51"/>
    </row>
    <row r="746" customFormat="false" ht="15.75" hidden="false" customHeight="false" outlineLevel="0" collapsed="false">
      <c r="A746" s="51"/>
      <c r="B746" s="51"/>
      <c r="C746" s="6"/>
      <c r="D746" s="49"/>
      <c r="E746" s="51"/>
      <c r="F746" s="6"/>
      <c r="G746" s="6"/>
      <c r="H746" s="6"/>
      <c r="I746" s="6"/>
      <c r="J746" s="6"/>
      <c r="K746" s="51"/>
      <c r="L746" s="51"/>
      <c r="M746" s="51"/>
      <c r="N746" s="51"/>
      <c r="O746" s="51"/>
      <c r="P746" s="51"/>
      <c r="Q746" s="51"/>
      <c r="R746" s="51"/>
      <c r="S746" s="51"/>
      <c r="T746" s="51"/>
      <c r="U746" s="51"/>
      <c r="V746" s="51"/>
      <c r="W746" s="51"/>
      <c r="X746" s="51"/>
      <c r="Y746" s="51"/>
      <c r="Z746" s="51"/>
      <c r="AA746" s="51"/>
      <c r="AB746" s="51"/>
    </row>
    <row r="747" customFormat="false" ht="15.75" hidden="false" customHeight="false" outlineLevel="0" collapsed="false">
      <c r="A747" s="51"/>
      <c r="B747" s="51"/>
      <c r="C747" s="6"/>
      <c r="D747" s="49"/>
      <c r="E747" s="51"/>
      <c r="F747" s="6"/>
      <c r="G747" s="6"/>
      <c r="H747" s="6"/>
      <c r="I747" s="6"/>
      <c r="J747" s="6"/>
      <c r="K747" s="51"/>
      <c r="L747" s="51"/>
      <c r="M747" s="51"/>
      <c r="N747" s="51"/>
      <c r="O747" s="51"/>
      <c r="P747" s="51"/>
      <c r="Q747" s="51"/>
      <c r="R747" s="51"/>
      <c r="S747" s="51"/>
      <c r="T747" s="51"/>
      <c r="U747" s="51"/>
      <c r="V747" s="51"/>
      <c r="W747" s="51"/>
      <c r="X747" s="51"/>
      <c r="Y747" s="51"/>
      <c r="Z747" s="51"/>
      <c r="AA747" s="51"/>
      <c r="AB747" s="51"/>
    </row>
    <row r="748" customFormat="false" ht="15.75" hidden="false" customHeight="false" outlineLevel="0" collapsed="false">
      <c r="A748" s="51"/>
      <c r="B748" s="51"/>
      <c r="C748" s="6"/>
      <c r="D748" s="49"/>
      <c r="E748" s="51"/>
      <c r="F748" s="6"/>
      <c r="G748" s="6"/>
      <c r="H748" s="6"/>
      <c r="I748" s="6"/>
      <c r="J748" s="6"/>
      <c r="K748" s="51"/>
      <c r="L748" s="51"/>
      <c r="M748" s="51"/>
      <c r="N748" s="51"/>
      <c r="O748" s="51"/>
      <c r="P748" s="51"/>
      <c r="Q748" s="51"/>
      <c r="R748" s="51"/>
      <c r="S748" s="51"/>
      <c r="T748" s="51"/>
      <c r="U748" s="51"/>
      <c r="V748" s="51"/>
      <c r="W748" s="51"/>
      <c r="X748" s="51"/>
      <c r="Y748" s="51"/>
      <c r="Z748" s="51"/>
      <c r="AA748" s="51"/>
      <c r="AB748" s="51"/>
    </row>
    <row r="749" customFormat="false" ht="15.75" hidden="false" customHeight="false" outlineLevel="0" collapsed="false">
      <c r="A749" s="51"/>
      <c r="B749" s="51"/>
      <c r="C749" s="6"/>
      <c r="D749" s="49"/>
      <c r="E749" s="51"/>
      <c r="F749" s="6"/>
      <c r="G749" s="6"/>
      <c r="H749" s="6"/>
      <c r="I749" s="6"/>
      <c r="J749" s="6"/>
      <c r="K749" s="51"/>
      <c r="L749" s="51"/>
      <c r="M749" s="51"/>
      <c r="N749" s="51"/>
      <c r="O749" s="51"/>
      <c r="P749" s="51"/>
      <c r="Q749" s="51"/>
      <c r="R749" s="51"/>
      <c r="S749" s="51"/>
      <c r="T749" s="51"/>
      <c r="U749" s="51"/>
      <c r="V749" s="51"/>
      <c r="W749" s="51"/>
      <c r="X749" s="51"/>
      <c r="Y749" s="51"/>
      <c r="Z749" s="51"/>
      <c r="AA749" s="51"/>
      <c r="AB749" s="51"/>
    </row>
    <row r="750" customFormat="false" ht="15.75" hidden="false" customHeight="false" outlineLevel="0" collapsed="false">
      <c r="A750" s="51"/>
      <c r="B750" s="51"/>
      <c r="C750" s="6"/>
      <c r="D750" s="49"/>
      <c r="E750" s="51"/>
      <c r="F750" s="6"/>
      <c r="G750" s="6"/>
      <c r="H750" s="6"/>
      <c r="I750" s="6"/>
      <c r="J750" s="6"/>
      <c r="K750" s="51"/>
      <c r="L750" s="51"/>
      <c r="M750" s="51"/>
      <c r="N750" s="51"/>
      <c r="O750" s="51"/>
      <c r="P750" s="51"/>
      <c r="Q750" s="51"/>
      <c r="R750" s="51"/>
      <c r="S750" s="51"/>
      <c r="T750" s="51"/>
      <c r="U750" s="51"/>
      <c r="V750" s="51"/>
      <c r="W750" s="51"/>
      <c r="X750" s="51"/>
      <c r="Y750" s="51"/>
      <c r="Z750" s="51"/>
      <c r="AA750" s="51"/>
      <c r="AB750" s="51"/>
    </row>
    <row r="751" customFormat="false" ht="15.75" hidden="false" customHeight="false" outlineLevel="0" collapsed="false">
      <c r="A751" s="51"/>
      <c r="B751" s="51"/>
      <c r="C751" s="6"/>
      <c r="D751" s="49"/>
      <c r="E751" s="51"/>
      <c r="F751" s="6"/>
      <c r="G751" s="6"/>
      <c r="H751" s="6"/>
      <c r="I751" s="6"/>
      <c r="J751" s="6"/>
      <c r="K751" s="51"/>
      <c r="L751" s="51"/>
      <c r="M751" s="51"/>
      <c r="N751" s="51"/>
      <c r="O751" s="51"/>
      <c r="P751" s="51"/>
      <c r="Q751" s="51"/>
      <c r="R751" s="51"/>
      <c r="S751" s="51"/>
      <c r="T751" s="51"/>
      <c r="U751" s="51"/>
      <c r="V751" s="51"/>
      <c r="W751" s="51"/>
      <c r="X751" s="51"/>
      <c r="Y751" s="51"/>
      <c r="Z751" s="51"/>
      <c r="AA751" s="51"/>
      <c r="AB751" s="51"/>
    </row>
    <row r="752" customFormat="false" ht="15.75" hidden="false" customHeight="false" outlineLevel="0" collapsed="false">
      <c r="A752" s="51"/>
      <c r="B752" s="51"/>
      <c r="C752" s="6"/>
      <c r="D752" s="49"/>
      <c r="E752" s="51"/>
      <c r="F752" s="6"/>
      <c r="G752" s="6"/>
      <c r="H752" s="6"/>
      <c r="I752" s="6"/>
      <c r="J752" s="6"/>
      <c r="K752" s="51"/>
      <c r="L752" s="51"/>
      <c r="M752" s="51"/>
      <c r="N752" s="51"/>
      <c r="O752" s="51"/>
      <c r="P752" s="51"/>
      <c r="Q752" s="51"/>
      <c r="R752" s="51"/>
      <c r="S752" s="51"/>
      <c r="T752" s="51"/>
      <c r="U752" s="51"/>
      <c r="V752" s="51"/>
      <c r="W752" s="51"/>
      <c r="X752" s="51"/>
      <c r="Y752" s="51"/>
      <c r="Z752" s="51"/>
      <c r="AA752" s="51"/>
      <c r="AB752" s="51"/>
    </row>
    <row r="753" customFormat="false" ht="15.75" hidden="false" customHeight="false" outlineLevel="0" collapsed="false">
      <c r="A753" s="51"/>
      <c r="B753" s="51"/>
      <c r="C753" s="6"/>
      <c r="D753" s="49"/>
      <c r="E753" s="51"/>
      <c r="F753" s="6"/>
      <c r="G753" s="6"/>
      <c r="H753" s="6"/>
      <c r="I753" s="6"/>
      <c r="J753" s="6"/>
      <c r="K753" s="51"/>
      <c r="L753" s="51"/>
      <c r="M753" s="51"/>
      <c r="N753" s="51"/>
      <c r="O753" s="51"/>
      <c r="P753" s="51"/>
      <c r="Q753" s="51"/>
      <c r="R753" s="51"/>
      <c r="S753" s="51"/>
      <c r="T753" s="51"/>
      <c r="U753" s="51"/>
      <c r="V753" s="51"/>
      <c r="W753" s="51"/>
      <c r="X753" s="51"/>
      <c r="Y753" s="51"/>
      <c r="Z753" s="51"/>
      <c r="AA753" s="51"/>
      <c r="AB753" s="51"/>
    </row>
    <row r="754" customFormat="false" ht="15.75" hidden="false" customHeight="false" outlineLevel="0" collapsed="false">
      <c r="A754" s="51"/>
      <c r="B754" s="51"/>
      <c r="C754" s="6"/>
      <c r="D754" s="49"/>
      <c r="E754" s="51"/>
      <c r="F754" s="6"/>
      <c r="G754" s="6"/>
      <c r="H754" s="6"/>
      <c r="I754" s="6"/>
      <c r="J754" s="6"/>
      <c r="K754" s="51"/>
      <c r="L754" s="51"/>
      <c r="M754" s="51"/>
      <c r="N754" s="51"/>
      <c r="O754" s="51"/>
      <c r="P754" s="51"/>
      <c r="Q754" s="51"/>
      <c r="R754" s="51"/>
      <c r="S754" s="51"/>
      <c r="T754" s="51"/>
      <c r="U754" s="51"/>
      <c r="V754" s="51"/>
      <c r="W754" s="51"/>
      <c r="X754" s="51"/>
      <c r="Y754" s="51"/>
      <c r="Z754" s="51"/>
      <c r="AA754" s="51"/>
      <c r="AB754" s="51"/>
    </row>
    <row r="755" customFormat="false" ht="15.75" hidden="false" customHeight="false" outlineLevel="0" collapsed="false">
      <c r="A755" s="51"/>
      <c r="B755" s="51"/>
      <c r="C755" s="6"/>
      <c r="D755" s="49"/>
      <c r="E755" s="51"/>
      <c r="F755" s="6"/>
      <c r="G755" s="6"/>
      <c r="H755" s="6"/>
      <c r="I755" s="6"/>
      <c r="J755" s="6"/>
      <c r="K755" s="51"/>
      <c r="L755" s="51"/>
      <c r="M755" s="51"/>
      <c r="N755" s="51"/>
      <c r="O755" s="51"/>
      <c r="P755" s="51"/>
      <c r="Q755" s="51"/>
      <c r="R755" s="51"/>
      <c r="S755" s="51"/>
      <c r="T755" s="51"/>
      <c r="U755" s="51"/>
      <c r="V755" s="51"/>
      <c r="W755" s="51"/>
      <c r="X755" s="51"/>
      <c r="Y755" s="51"/>
      <c r="Z755" s="51"/>
      <c r="AA755" s="51"/>
      <c r="AB755" s="51"/>
    </row>
    <row r="756" customFormat="false" ht="15.75" hidden="false" customHeight="false" outlineLevel="0" collapsed="false">
      <c r="A756" s="51"/>
      <c r="B756" s="51"/>
      <c r="C756" s="6"/>
      <c r="D756" s="49"/>
      <c r="E756" s="51"/>
      <c r="F756" s="6"/>
      <c r="G756" s="6"/>
      <c r="H756" s="6"/>
      <c r="I756" s="6"/>
      <c r="J756" s="6"/>
      <c r="K756" s="51"/>
      <c r="L756" s="51"/>
      <c r="M756" s="51"/>
      <c r="N756" s="51"/>
      <c r="O756" s="51"/>
      <c r="P756" s="51"/>
      <c r="Q756" s="51"/>
      <c r="R756" s="51"/>
      <c r="S756" s="51"/>
      <c r="T756" s="51"/>
      <c r="U756" s="51"/>
      <c r="V756" s="51"/>
      <c r="W756" s="51"/>
      <c r="X756" s="51"/>
      <c r="Y756" s="51"/>
      <c r="Z756" s="51"/>
      <c r="AA756" s="51"/>
      <c r="AB756" s="51"/>
    </row>
    <row r="757" customFormat="false" ht="15.75" hidden="false" customHeight="false" outlineLevel="0" collapsed="false">
      <c r="A757" s="51"/>
      <c r="B757" s="51"/>
      <c r="C757" s="6"/>
      <c r="D757" s="49"/>
      <c r="E757" s="51"/>
      <c r="F757" s="6"/>
      <c r="G757" s="6"/>
      <c r="H757" s="6"/>
      <c r="I757" s="6"/>
      <c r="J757" s="6"/>
      <c r="K757" s="51"/>
      <c r="L757" s="51"/>
      <c r="M757" s="51"/>
      <c r="N757" s="51"/>
      <c r="O757" s="51"/>
      <c r="P757" s="51"/>
      <c r="Q757" s="51"/>
      <c r="R757" s="51"/>
      <c r="S757" s="51"/>
      <c r="T757" s="51"/>
      <c r="U757" s="51"/>
      <c r="V757" s="51"/>
      <c r="W757" s="51"/>
      <c r="X757" s="51"/>
      <c r="Y757" s="51"/>
      <c r="Z757" s="51"/>
      <c r="AA757" s="51"/>
      <c r="AB757" s="51"/>
    </row>
    <row r="758" customFormat="false" ht="15.75" hidden="false" customHeight="false" outlineLevel="0" collapsed="false">
      <c r="A758" s="51"/>
      <c r="B758" s="51"/>
      <c r="C758" s="6"/>
      <c r="D758" s="49"/>
      <c r="E758" s="51"/>
      <c r="F758" s="6"/>
      <c r="G758" s="6"/>
      <c r="H758" s="6"/>
      <c r="I758" s="6"/>
      <c r="J758" s="6"/>
      <c r="K758" s="51"/>
      <c r="L758" s="51"/>
      <c r="M758" s="51"/>
      <c r="N758" s="51"/>
      <c r="O758" s="51"/>
      <c r="P758" s="51"/>
      <c r="Q758" s="51"/>
      <c r="R758" s="51"/>
      <c r="S758" s="51"/>
      <c r="T758" s="51"/>
      <c r="U758" s="51"/>
      <c r="V758" s="51"/>
      <c r="W758" s="51"/>
      <c r="X758" s="51"/>
      <c r="Y758" s="51"/>
      <c r="Z758" s="51"/>
      <c r="AA758" s="51"/>
      <c r="AB758" s="51"/>
    </row>
    <row r="759" customFormat="false" ht="15.75" hidden="false" customHeight="false" outlineLevel="0" collapsed="false">
      <c r="A759" s="51"/>
      <c r="B759" s="51"/>
      <c r="C759" s="6"/>
      <c r="D759" s="49"/>
      <c r="E759" s="51"/>
      <c r="F759" s="6"/>
      <c r="G759" s="6"/>
      <c r="H759" s="6"/>
      <c r="I759" s="6"/>
      <c r="J759" s="6"/>
      <c r="K759" s="51"/>
      <c r="L759" s="51"/>
      <c r="M759" s="51"/>
      <c r="N759" s="51"/>
      <c r="O759" s="51"/>
      <c r="P759" s="51"/>
      <c r="Q759" s="51"/>
      <c r="R759" s="51"/>
      <c r="S759" s="51"/>
      <c r="T759" s="51"/>
      <c r="U759" s="51"/>
      <c r="V759" s="51"/>
      <c r="W759" s="51"/>
      <c r="X759" s="51"/>
      <c r="Y759" s="51"/>
      <c r="Z759" s="51"/>
      <c r="AA759" s="51"/>
      <c r="AB759" s="51"/>
    </row>
    <row r="760" customFormat="false" ht="15.75" hidden="false" customHeight="false" outlineLevel="0" collapsed="false">
      <c r="A760" s="51"/>
      <c r="B760" s="51"/>
      <c r="C760" s="6"/>
      <c r="D760" s="49"/>
      <c r="E760" s="51"/>
      <c r="F760" s="6"/>
      <c r="G760" s="6"/>
      <c r="H760" s="6"/>
      <c r="I760" s="6"/>
      <c r="J760" s="6"/>
      <c r="K760" s="51"/>
      <c r="L760" s="51"/>
      <c r="M760" s="51"/>
      <c r="N760" s="51"/>
      <c r="O760" s="51"/>
      <c r="P760" s="51"/>
      <c r="Q760" s="51"/>
      <c r="R760" s="51"/>
      <c r="S760" s="51"/>
      <c r="T760" s="51"/>
      <c r="U760" s="51"/>
      <c r="V760" s="51"/>
      <c r="W760" s="51"/>
      <c r="X760" s="51"/>
      <c r="Y760" s="51"/>
      <c r="Z760" s="51"/>
      <c r="AA760" s="51"/>
      <c r="AB760" s="51"/>
    </row>
    <row r="761" customFormat="false" ht="15.75" hidden="false" customHeight="false" outlineLevel="0" collapsed="false">
      <c r="A761" s="51"/>
      <c r="B761" s="51"/>
      <c r="C761" s="6"/>
      <c r="D761" s="49"/>
      <c r="E761" s="51"/>
      <c r="F761" s="6"/>
      <c r="G761" s="6"/>
      <c r="H761" s="6"/>
      <c r="I761" s="6"/>
      <c r="J761" s="6"/>
      <c r="K761" s="51"/>
      <c r="L761" s="51"/>
      <c r="M761" s="51"/>
      <c r="N761" s="51"/>
      <c r="O761" s="51"/>
      <c r="P761" s="51"/>
      <c r="Q761" s="51"/>
      <c r="R761" s="51"/>
      <c r="S761" s="51"/>
      <c r="T761" s="51"/>
      <c r="U761" s="51"/>
      <c r="V761" s="51"/>
      <c r="W761" s="51"/>
      <c r="X761" s="51"/>
      <c r="Y761" s="51"/>
      <c r="Z761" s="51"/>
      <c r="AA761" s="51"/>
      <c r="AB761" s="51"/>
    </row>
    <row r="762" customFormat="false" ht="15.75" hidden="false" customHeight="false" outlineLevel="0" collapsed="false">
      <c r="A762" s="51"/>
      <c r="B762" s="51"/>
      <c r="C762" s="6"/>
      <c r="D762" s="49"/>
      <c r="E762" s="51"/>
      <c r="F762" s="6"/>
      <c r="G762" s="6"/>
      <c r="H762" s="6"/>
      <c r="I762" s="6"/>
      <c r="J762" s="6"/>
      <c r="K762" s="51"/>
      <c r="L762" s="51"/>
      <c r="M762" s="51"/>
      <c r="N762" s="51"/>
      <c r="O762" s="51"/>
      <c r="P762" s="51"/>
      <c r="Q762" s="51"/>
      <c r="R762" s="51"/>
      <c r="S762" s="51"/>
      <c r="T762" s="51"/>
      <c r="U762" s="51"/>
      <c r="V762" s="51"/>
      <c r="W762" s="51"/>
      <c r="X762" s="51"/>
      <c r="Y762" s="51"/>
      <c r="Z762" s="51"/>
      <c r="AA762" s="51"/>
      <c r="AB762" s="51"/>
    </row>
    <row r="763" customFormat="false" ht="15.75" hidden="false" customHeight="false" outlineLevel="0" collapsed="false">
      <c r="A763" s="51"/>
      <c r="B763" s="51"/>
      <c r="C763" s="6"/>
      <c r="D763" s="49"/>
      <c r="E763" s="51"/>
      <c r="F763" s="6"/>
      <c r="G763" s="6"/>
      <c r="H763" s="6"/>
      <c r="I763" s="6"/>
      <c r="J763" s="6"/>
      <c r="K763" s="51"/>
      <c r="L763" s="51"/>
      <c r="M763" s="51"/>
      <c r="N763" s="51"/>
      <c r="O763" s="51"/>
      <c r="P763" s="51"/>
      <c r="Q763" s="51"/>
      <c r="R763" s="51"/>
      <c r="S763" s="51"/>
      <c r="T763" s="51"/>
      <c r="U763" s="51"/>
      <c r="V763" s="51"/>
      <c r="W763" s="51"/>
      <c r="X763" s="51"/>
      <c r="Y763" s="51"/>
      <c r="Z763" s="51"/>
      <c r="AA763" s="51"/>
      <c r="AB763" s="51"/>
    </row>
    <row r="764" customFormat="false" ht="15.75" hidden="false" customHeight="false" outlineLevel="0" collapsed="false">
      <c r="A764" s="51"/>
      <c r="B764" s="51"/>
      <c r="C764" s="6"/>
      <c r="D764" s="49"/>
      <c r="E764" s="51"/>
      <c r="F764" s="6"/>
      <c r="G764" s="6"/>
      <c r="H764" s="6"/>
      <c r="I764" s="6"/>
      <c r="J764" s="6"/>
      <c r="K764" s="51"/>
      <c r="L764" s="51"/>
      <c r="M764" s="51"/>
      <c r="N764" s="51"/>
      <c r="O764" s="51"/>
      <c r="P764" s="51"/>
      <c r="Q764" s="51"/>
      <c r="R764" s="51"/>
      <c r="S764" s="51"/>
      <c r="T764" s="51"/>
      <c r="U764" s="51"/>
      <c r="V764" s="51"/>
      <c r="W764" s="51"/>
      <c r="X764" s="51"/>
      <c r="Y764" s="51"/>
      <c r="Z764" s="51"/>
      <c r="AA764" s="51"/>
      <c r="AB764" s="51"/>
    </row>
    <row r="765" customFormat="false" ht="15.75" hidden="false" customHeight="false" outlineLevel="0" collapsed="false">
      <c r="A765" s="51"/>
      <c r="B765" s="51"/>
      <c r="C765" s="6"/>
      <c r="D765" s="49"/>
      <c r="E765" s="51"/>
      <c r="F765" s="6"/>
      <c r="G765" s="6"/>
      <c r="H765" s="6"/>
      <c r="I765" s="6"/>
      <c r="J765" s="6"/>
      <c r="K765" s="51"/>
      <c r="L765" s="51"/>
      <c r="M765" s="51"/>
      <c r="N765" s="51"/>
      <c r="O765" s="51"/>
      <c r="P765" s="51"/>
      <c r="Q765" s="51"/>
      <c r="R765" s="51"/>
      <c r="S765" s="51"/>
      <c r="T765" s="51"/>
      <c r="U765" s="51"/>
      <c r="V765" s="51"/>
      <c r="W765" s="51"/>
      <c r="X765" s="51"/>
      <c r="Y765" s="51"/>
      <c r="Z765" s="51"/>
      <c r="AA765" s="51"/>
      <c r="AB765" s="51"/>
    </row>
    <row r="766" customFormat="false" ht="15.75" hidden="false" customHeight="false" outlineLevel="0" collapsed="false">
      <c r="A766" s="51"/>
      <c r="B766" s="51"/>
      <c r="C766" s="6"/>
      <c r="D766" s="49"/>
      <c r="E766" s="51"/>
      <c r="F766" s="6"/>
      <c r="G766" s="6"/>
      <c r="H766" s="6"/>
      <c r="I766" s="6"/>
      <c r="J766" s="6"/>
      <c r="K766" s="51"/>
      <c r="L766" s="51"/>
      <c r="M766" s="51"/>
      <c r="N766" s="51"/>
      <c r="O766" s="51"/>
      <c r="P766" s="51"/>
      <c r="Q766" s="51"/>
      <c r="R766" s="51"/>
      <c r="S766" s="51"/>
      <c r="T766" s="51"/>
      <c r="U766" s="51"/>
      <c r="V766" s="51"/>
      <c r="W766" s="51"/>
      <c r="X766" s="51"/>
      <c r="Y766" s="51"/>
      <c r="Z766" s="51"/>
      <c r="AA766" s="51"/>
      <c r="AB766" s="51"/>
    </row>
    <row r="767" customFormat="false" ht="15.75" hidden="false" customHeight="false" outlineLevel="0" collapsed="false">
      <c r="A767" s="51"/>
      <c r="B767" s="51"/>
      <c r="C767" s="6"/>
      <c r="D767" s="49"/>
      <c r="E767" s="51"/>
      <c r="F767" s="6"/>
      <c r="G767" s="6"/>
      <c r="H767" s="6"/>
      <c r="I767" s="6"/>
      <c r="J767" s="6"/>
      <c r="K767" s="51"/>
      <c r="L767" s="51"/>
      <c r="M767" s="51"/>
      <c r="N767" s="51"/>
      <c r="O767" s="51"/>
      <c r="P767" s="51"/>
      <c r="Q767" s="51"/>
      <c r="R767" s="51"/>
      <c r="S767" s="51"/>
      <c r="T767" s="51"/>
      <c r="U767" s="51"/>
      <c r="V767" s="51"/>
      <c r="W767" s="51"/>
      <c r="X767" s="51"/>
      <c r="Y767" s="51"/>
      <c r="Z767" s="51"/>
      <c r="AA767" s="51"/>
      <c r="AB767" s="51"/>
    </row>
    <row r="768" customFormat="false" ht="15.75" hidden="false" customHeight="false" outlineLevel="0" collapsed="false">
      <c r="A768" s="51"/>
      <c r="B768" s="51"/>
      <c r="C768" s="6"/>
      <c r="D768" s="49"/>
      <c r="E768" s="51"/>
      <c r="F768" s="6"/>
      <c r="G768" s="6"/>
      <c r="H768" s="6"/>
      <c r="I768" s="6"/>
      <c r="J768" s="6"/>
      <c r="K768" s="51"/>
      <c r="L768" s="51"/>
      <c r="M768" s="51"/>
      <c r="N768" s="51"/>
      <c r="O768" s="51"/>
      <c r="P768" s="51"/>
      <c r="Q768" s="51"/>
      <c r="R768" s="51"/>
      <c r="S768" s="51"/>
      <c r="T768" s="51"/>
      <c r="U768" s="51"/>
      <c r="V768" s="51"/>
      <c r="W768" s="51"/>
      <c r="X768" s="51"/>
      <c r="Y768" s="51"/>
      <c r="Z768" s="51"/>
      <c r="AA768" s="51"/>
      <c r="AB768" s="51"/>
    </row>
    <row r="769" customFormat="false" ht="15.75" hidden="false" customHeight="false" outlineLevel="0" collapsed="false">
      <c r="A769" s="51"/>
      <c r="B769" s="51"/>
      <c r="C769" s="6"/>
      <c r="D769" s="49"/>
      <c r="E769" s="51"/>
      <c r="F769" s="6"/>
      <c r="G769" s="6"/>
      <c r="H769" s="6"/>
      <c r="I769" s="6"/>
      <c r="J769" s="6"/>
      <c r="K769" s="51"/>
      <c r="L769" s="51"/>
      <c r="M769" s="51"/>
      <c r="N769" s="51"/>
      <c r="O769" s="51"/>
      <c r="P769" s="51"/>
      <c r="Q769" s="51"/>
      <c r="R769" s="51"/>
      <c r="S769" s="51"/>
      <c r="T769" s="51"/>
      <c r="U769" s="51"/>
      <c r="V769" s="51"/>
      <c r="W769" s="51"/>
      <c r="X769" s="51"/>
      <c r="Y769" s="51"/>
      <c r="Z769" s="51"/>
      <c r="AA769" s="51"/>
      <c r="AB769" s="51"/>
    </row>
    <row r="770" customFormat="false" ht="15.75" hidden="false" customHeight="false" outlineLevel="0" collapsed="false">
      <c r="A770" s="51"/>
      <c r="B770" s="51"/>
      <c r="C770" s="6"/>
      <c r="D770" s="49"/>
      <c r="E770" s="51"/>
      <c r="F770" s="6"/>
      <c r="G770" s="6"/>
      <c r="H770" s="6"/>
      <c r="I770" s="6"/>
      <c r="J770" s="6"/>
      <c r="K770" s="51"/>
      <c r="L770" s="51"/>
      <c r="M770" s="51"/>
      <c r="N770" s="51"/>
      <c r="O770" s="51"/>
      <c r="P770" s="51"/>
      <c r="Q770" s="51"/>
      <c r="R770" s="51"/>
      <c r="S770" s="51"/>
      <c r="T770" s="51"/>
      <c r="U770" s="51"/>
      <c r="V770" s="51"/>
      <c r="W770" s="51"/>
      <c r="X770" s="51"/>
      <c r="Y770" s="51"/>
      <c r="Z770" s="51"/>
      <c r="AA770" s="51"/>
      <c r="AB770" s="51"/>
    </row>
    <row r="771" customFormat="false" ht="15.75" hidden="false" customHeight="false" outlineLevel="0" collapsed="false">
      <c r="A771" s="51"/>
      <c r="B771" s="51"/>
      <c r="C771" s="6"/>
      <c r="D771" s="49"/>
      <c r="E771" s="51"/>
      <c r="F771" s="6"/>
      <c r="G771" s="6"/>
      <c r="H771" s="6"/>
      <c r="I771" s="6"/>
      <c r="J771" s="6"/>
      <c r="K771" s="51"/>
      <c r="L771" s="51"/>
      <c r="M771" s="51"/>
      <c r="N771" s="51"/>
      <c r="O771" s="51"/>
      <c r="P771" s="51"/>
      <c r="Q771" s="51"/>
      <c r="R771" s="51"/>
      <c r="S771" s="51"/>
      <c r="T771" s="51"/>
      <c r="U771" s="51"/>
      <c r="V771" s="51"/>
      <c r="W771" s="51"/>
      <c r="X771" s="51"/>
      <c r="Y771" s="51"/>
      <c r="Z771" s="51"/>
      <c r="AA771" s="51"/>
      <c r="AB771" s="51"/>
    </row>
    <row r="772" customFormat="false" ht="15.75" hidden="false" customHeight="false" outlineLevel="0" collapsed="false">
      <c r="A772" s="51"/>
      <c r="B772" s="51"/>
      <c r="C772" s="6"/>
      <c r="D772" s="49"/>
      <c r="E772" s="51"/>
      <c r="F772" s="6"/>
      <c r="G772" s="6"/>
      <c r="H772" s="6"/>
      <c r="I772" s="6"/>
      <c r="J772" s="6"/>
      <c r="K772" s="51"/>
      <c r="L772" s="51"/>
      <c r="M772" s="51"/>
      <c r="N772" s="51"/>
      <c r="O772" s="51"/>
      <c r="P772" s="51"/>
      <c r="Q772" s="51"/>
      <c r="R772" s="51"/>
      <c r="S772" s="51"/>
      <c r="T772" s="51"/>
      <c r="U772" s="51"/>
      <c r="V772" s="51"/>
      <c r="W772" s="51"/>
      <c r="X772" s="51"/>
      <c r="Y772" s="51"/>
      <c r="Z772" s="51"/>
      <c r="AA772" s="51"/>
      <c r="AB772" s="51"/>
    </row>
    <row r="773" customFormat="false" ht="15.75" hidden="false" customHeight="false" outlineLevel="0" collapsed="false">
      <c r="A773" s="51"/>
      <c r="B773" s="51"/>
      <c r="C773" s="6"/>
      <c r="D773" s="49"/>
      <c r="E773" s="51"/>
      <c r="F773" s="6"/>
      <c r="G773" s="6"/>
      <c r="H773" s="6"/>
      <c r="I773" s="6"/>
      <c r="J773" s="6"/>
      <c r="K773" s="51"/>
      <c r="L773" s="51"/>
      <c r="M773" s="51"/>
      <c r="N773" s="51"/>
      <c r="O773" s="51"/>
      <c r="P773" s="51"/>
      <c r="Q773" s="51"/>
      <c r="R773" s="51"/>
      <c r="S773" s="51"/>
      <c r="T773" s="51"/>
      <c r="U773" s="51"/>
      <c r="V773" s="51"/>
      <c r="W773" s="51"/>
      <c r="X773" s="51"/>
      <c r="Y773" s="51"/>
      <c r="Z773" s="51"/>
      <c r="AA773" s="51"/>
      <c r="AB773" s="51"/>
    </row>
    <row r="774" customFormat="false" ht="15.75" hidden="false" customHeight="false" outlineLevel="0" collapsed="false">
      <c r="A774" s="51"/>
      <c r="B774" s="51"/>
      <c r="C774" s="6"/>
      <c r="D774" s="49"/>
      <c r="E774" s="51"/>
      <c r="F774" s="6"/>
      <c r="G774" s="6"/>
      <c r="H774" s="6"/>
      <c r="I774" s="6"/>
      <c r="J774" s="6"/>
      <c r="K774" s="51"/>
      <c r="L774" s="51"/>
      <c r="M774" s="51"/>
      <c r="N774" s="51"/>
      <c r="O774" s="51"/>
      <c r="P774" s="51"/>
      <c r="Q774" s="51"/>
      <c r="R774" s="51"/>
      <c r="S774" s="51"/>
      <c r="T774" s="51"/>
      <c r="U774" s="51"/>
      <c r="V774" s="51"/>
      <c r="W774" s="51"/>
      <c r="X774" s="51"/>
      <c r="Y774" s="51"/>
      <c r="Z774" s="51"/>
      <c r="AA774" s="51"/>
      <c r="AB774" s="51"/>
    </row>
    <row r="775" customFormat="false" ht="15.75" hidden="false" customHeight="false" outlineLevel="0" collapsed="false">
      <c r="A775" s="51"/>
      <c r="B775" s="51"/>
      <c r="C775" s="6"/>
      <c r="D775" s="49"/>
      <c r="E775" s="51"/>
      <c r="F775" s="6"/>
      <c r="G775" s="6"/>
      <c r="H775" s="6"/>
      <c r="I775" s="6"/>
      <c r="J775" s="6"/>
      <c r="K775" s="51"/>
      <c r="L775" s="51"/>
      <c r="M775" s="51"/>
      <c r="N775" s="51"/>
      <c r="O775" s="51"/>
      <c r="P775" s="51"/>
      <c r="Q775" s="51"/>
      <c r="R775" s="51"/>
      <c r="S775" s="51"/>
      <c r="T775" s="51"/>
      <c r="U775" s="51"/>
      <c r="V775" s="51"/>
      <c r="W775" s="51"/>
      <c r="X775" s="51"/>
      <c r="Y775" s="51"/>
      <c r="Z775" s="51"/>
      <c r="AA775" s="51"/>
      <c r="AB775" s="51"/>
    </row>
    <row r="776" customFormat="false" ht="15.75" hidden="false" customHeight="false" outlineLevel="0" collapsed="false">
      <c r="A776" s="51"/>
      <c r="B776" s="51"/>
      <c r="C776" s="6"/>
      <c r="D776" s="49"/>
      <c r="E776" s="51"/>
      <c r="F776" s="6"/>
      <c r="G776" s="6"/>
      <c r="H776" s="6"/>
      <c r="I776" s="6"/>
      <c r="J776" s="6"/>
      <c r="K776" s="51"/>
      <c r="L776" s="51"/>
      <c r="M776" s="51"/>
      <c r="N776" s="51"/>
      <c r="O776" s="51"/>
      <c r="P776" s="51"/>
      <c r="Q776" s="51"/>
      <c r="R776" s="51"/>
      <c r="S776" s="51"/>
      <c r="T776" s="51"/>
      <c r="U776" s="51"/>
      <c r="V776" s="51"/>
      <c r="W776" s="51"/>
      <c r="X776" s="51"/>
      <c r="Y776" s="51"/>
      <c r="Z776" s="51"/>
      <c r="AA776" s="51"/>
      <c r="AB776" s="51"/>
    </row>
    <row r="777" customFormat="false" ht="15.75" hidden="false" customHeight="false" outlineLevel="0" collapsed="false">
      <c r="A777" s="51"/>
      <c r="B777" s="51"/>
      <c r="C777" s="6"/>
      <c r="D777" s="49"/>
      <c r="E777" s="51"/>
      <c r="F777" s="6"/>
      <c r="G777" s="6"/>
      <c r="H777" s="6"/>
      <c r="I777" s="6"/>
      <c r="J777" s="6"/>
      <c r="K777" s="51"/>
      <c r="L777" s="51"/>
      <c r="M777" s="51"/>
      <c r="N777" s="51"/>
      <c r="O777" s="51"/>
      <c r="P777" s="51"/>
      <c r="Q777" s="51"/>
      <c r="R777" s="51"/>
      <c r="S777" s="51"/>
      <c r="T777" s="51"/>
      <c r="U777" s="51"/>
      <c r="V777" s="51"/>
      <c r="W777" s="51"/>
      <c r="X777" s="51"/>
      <c r="Y777" s="51"/>
      <c r="Z777" s="51"/>
      <c r="AA777" s="51"/>
      <c r="AB777" s="51"/>
    </row>
    <row r="778" customFormat="false" ht="15.75" hidden="false" customHeight="false" outlineLevel="0" collapsed="false">
      <c r="A778" s="51"/>
      <c r="B778" s="51"/>
      <c r="C778" s="6"/>
      <c r="D778" s="49"/>
      <c r="E778" s="51"/>
      <c r="F778" s="6"/>
      <c r="G778" s="6"/>
      <c r="H778" s="6"/>
      <c r="I778" s="6"/>
      <c r="J778" s="6"/>
      <c r="K778" s="51"/>
      <c r="L778" s="51"/>
      <c r="M778" s="51"/>
      <c r="N778" s="51"/>
      <c r="O778" s="51"/>
      <c r="P778" s="51"/>
      <c r="Q778" s="51"/>
      <c r="R778" s="51"/>
      <c r="S778" s="51"/>
      <c r="T778" s="51"/>
      <c r="U778" s="51"/>
      <c r="V778" s="51"/>
      <c r="W778" s="51"/>
      <c r="X778" s="51"/>
      <c r="Y778" s="51"/>
      <c r="Z778" s="51"/>
      <c r="AA778" s="51"/>
      <c r="AB778" s="51"/>
    </row>
    <row r="779" customFormat="false" ht="15.75" hidden="false" customHeight="false" outlineLevel="0" collapsed="false">
      <c r="A779" s="51"/>
      <c r="B779" s="51"/>
      <c r="C779" s="6"/>
      <c r="D779" s="49"/>
      <c r="E779" s="51"/>
      <c r="F779" s="6"/>
      <c r="G779" s="6"/>
      <c r="H779" s="6"/>
      <c r="I779" s="6"/>
      <c r="J779" s="6"/>
      <c r="K779" s="51"/>
      <c r="L779" s="51"/>
      <c r="M779" s="51"/>
      <c r="N779" s="51"/>
      <c r="O779" s="51"/>
      <c r="P779" s="51"/>
      <c r="Q779" s="51"/>
      <c r="R779" s="51"/>
      <c r="S779" s="51"/>
      <c r="T779" s="51"/>
      <c r="U779" s="51"/>
      <c r="V779" s="51"/>
      <c r="W779" s="51"/>
      <c r="X779" s="51"/>
      <c r="Y779" s="51"/>
      <c r="Z779" s="51"/>
      <c r="AA779" s="51"/>
      <c r="AB779" s="51"/>
    </row>
    <row r="780" customFormat="false" ht="15.75" hidden="false" customHeight="false" outlineLevel="0" collapsed="false">
      <c r="A780" s="51"/>
      <c r="B780" s="51"/>
      <c r="C780" s="6"/>
      <c r="D780" s="49"/>
      <c r="E780" s="51"/>
      <c r="F780" s="6"/>
      <c r="G780" s="6"/>
      <c r="H780" s="6"/>
      <c r="I780" s="6"/>
      <c r="J780" s="6"/>
      <c r="K780" s="51"/>
      <c r="L780" s="51"/>
      <c r="M780" s="51"/>
      <c r="N780" s="51"/>
      <c r="O780" s="51"/>
      <c r="P780" s="51"/>
      <c r="Q780" s="51"/>
      <c r="R780" s="51"/>
      <c r="S780" s="51"/>
      <c r="T780" s="51"/>
      <c r="U780" s="51"/>
      <c r="V780" s="51"/>
      <c r="W780" s="51"/>
      <c r="X780" s="51"/>
      <c r="Y780" s="51"/>
      <c r="Z780" s="51"/>
      <c r="AA780" s="51"/>
      <c r="AB780" s="51"/>
    </row>
    <row r="781" customFormat="false" ht="15.75" hidden="false" customHeight="false" outlineLevel="0" collapsed="false">
      <c r="A781" s="51"/>
      <c r="B781" s="51"/>
      <c r="C781" s="6"/>
      <c r="D781" s="49"/>
      <c r="E781" s="51"/>
      <c r="F781" s="6"/>
      <c r="G781" s="6"/>
      <c r="H781" s="6"/>
      <c r="I781" s="6"/>
      <c r="J781" s="6"/>
      <c r="K781" s="51"/>
      <c r="L781" s="51"/>
      <c r="M781" s="51"/>
      <c r="N781" s="51"/>
      <c r="O781" s="51"/>
      <c r="P781" s="51"/>
      <c r="Q781" s="51"/>
      <c r="R781" s="51"/>
      <c r="S781" s="51"/>
      <c r="T781" s="51"/>
      <c r="U781" s="51"/>
      <c r="V781" s="51"/>
      <c r="W781" s="51"/>
      <c r="X781" s="51"/>
      <c r="Y781" s="51"/>
      <c r="Z781" s="51"/>
      <c r="AA781" s="51"/>
      <c r="AB781" s="51"/>
    </row>
    <row r="782" customFormat="false" ht="15.75" hidden="false" customHeight="false" outlineLevel="0" collapsed="false">
      <c r="A782" s="51"/>
      <c r="B782" s="51"/>
      <c r="C782" s="6"/>
      <c r="D782" s="49"/>
      <c r="E782" s="51"/>
      <c r="F782" s="6"/>
      <c r="G782" s="6"/>
      <c r="H782" s="6"/>
      <c r="I782" s="6"/>
      <c r="J782" s="6"/>
      <c r="K782" s="51"/>
      <c r="L782" s="51"/>
      <c r="M782" s="51"/>
      <c r="N782" s="51"/>
      <c r="O782" s="51"/>
      <c r="P782" s="51"/>
      <c r="Q782" s="51"/>
      <c r="R782" s="51"/>
      <c r="S782" s="51"/>
      <c r="T782" s="51"/>
      <c r="U782" s="51"/>
      <c r="V782" s="51"/>
      <c r="W782" s="51"/>
      <c r="X782" s="51"/>
      <c r="Y782" s="51"/>
      <c r="Z782" s="51"/>
      <c r="AA782" s="51"/>
      <c r="AB782" s="51"/>
    </row>
    <row r="783" customFormat="false" ht="15.75" hidden="false" customHeight="false" outlineLevel="0" collapsed="false">
      <c r="A783" s="51"/>
      <c r="B783" s="51"/>
      <c r="C783" s="6"/>
      <c r="D783" s="49"/>
      <c r="E783" s="51"/>
      <c r="F783" s="6"/>
      <c r="G783" s="6"/>
      <c r="H783" s="6"/>
      <c r="I783" s="6"/>
      <c r="J783" s="6"/>
      <c r="K783" s="51"/>
      <c r="L783" s="51"/>
      <c r="M783" s="51"/>
      <c r="N783" s="51"/>
      <c r="O783" s="51"/>
      <c r="P783" s="51"/>
      <c r="Q783" s="51"/>
      <c r="R783" s="51"/>
      <c r="S783" s="51"/>
      <c r="T783" s="51"/>
      <c r="U783" s="51"/>
      <c r="V783" s="51"/>
      <c r="W783" s="51"/>
      <c r="X783" s="51"/>
      <c r="Y783" s="51"/>
      <c r="Z783" s="51"/>
      <c r="AA783" s="51"/>
      <c r="AB783" s="51"/>
    </row>
    <row r="784" customFormat="false" ht="15.75" hidden="false" customHeight="false" outlineLevel="0" collapsed="false">
      <c r="A784" s="51"/>
      <c r="B784" s="51"/>
      <c r="C784" s="6"/>
      <c r="D784" s="49"/>
      <c r="E784" s="51"/>
      <c r="F784" s="6"/>
      <c r="G784" s="6"/>
      <c r="H784" s="6"/>
      <c r="I784" s="6"/>
      <c r="J784" s="6"/>
      <c r="K784" s="51"/>
      <c r="L784" s="51"/>
      <c r="M784" s="51"/>
      <c r="N784" s="51"/>
      <c r="O784" s="51"/>
      <c r="P784" s="51"/>
      <c r="Q784" s="51"/>
      <c r="R784" s="51"/>
      <c r="S784" s="51"/>
      <c r="T784" s="51"/>
      <c r="U784" s="51"/>
      <c r="V784" s="51"/>
      <c r="W784" s="51"/>
      <c r="X784" s="51"/>
      <c r="Y784" s="51"/>
      <c r="Z784" s="51"/>
      <c r="AA784" s="51"/>
      <c r="AB784" s="51"/>
    </row>
    <row r="785" customFormat="false" ht="15.75" hidden="false" customHeight="false" outlineLevel="0" collapsed="false">
      <c r="A785" s="51"/>
      <c r="B785" s="51"/>
      <c r="C785" s="6"/>
      <c r="D785" s="49"/>
      <c r="E785" s="51"/>
      <c r="F785" s="6"/>
      <c r="G785" s="6"/>
      <c r="H785" s="6"/>
      <c r="I785" s="6"/>
      <c r="J785" s="6"/>
      <c r="K785" s="51"/>
      <c r="L785" s="51"/>
      <c r="M785" s="51"/>
      <c r="N785" s="51"/>
      <c r="O785" s="51"/>
      <c r="P785" s="51"/>
      <c r="Q785" s="51"/>
      <c r="R785" s="51"/>
      <c r="S785" s="51"/>
      <c r="T785" s="51"/>
      <c r="U785" s="51"/>
      <c r="V785" s="51"/>
      <c r="W785" s="51"/>
      <c r="X785" s="51"/>
      <c r="Y785" s="51"/>
      <c r="Z785" s="51"/>
      <c r="AA785" s="51"/>
      <c r="AB785" s="51"/>
    </row>
    <row r="786" customFormat="false" ht="15.75" hidden="false" customHeight="false" outlineLevel="0" collapsed="false">
      <c r="A786" s="51"/>
      <c r="B786" s="51"/>
      <c r="C786" s="6"/>
      <c r="D786" s="49"/>
      <c r="E786" s="51"/>
      <c r="F786" s="6"/>
      <c r="G786" s="6"/>
      <c r="H786" s="6"/>
      <c r="I786" s="6"/>
      <c r="J786" s="6"/>
      <c r="K786" s="51"/>
      <c r="L786" s="51"/>
      <c r="M786" s="51"/>
      <c r="N786" s="51"/>
      <c r="O786" s="51"/>
      <c r="P786" s="51"/>
      <c r="Q786" s="51"/>
      <c r="R786" s="51"/>
      <c r="S786" s="51"/>
      <c r="T786" s="51"/>
      <c r="U786" s="51"/>
      <c r="V786" s="51"/>
      <c r="W786" s="51"/>
      <c r="X786" s="51"/>
      <c r="Y786" s="51"/>
      <c r="Z786" s="51"/>
      <c r="AA786" s="51"/>
      <c r="AB786" s="51"/>
    </row>
    <row r="787" customFormat="false" ht="15.75" hidden="false" customHeight="false" outlineLevel="0" collapsed="false">
      <c r="A787" s="51"/>
      <c r="B787" s="51"/>
      <c r="C787" s="6"/>
      <c r="D787" s="49"/>
      <c r="E787" s="51"/>
      <c r="F787" s="6"/>
      <c r="G787" s="6"/>
      <c r="H787" s="6"/>
      <c r="I787" s="6"/>
      <c r="J787" s="6"/>
      <c r="K787" s="51"/>
      <c r="L787" s="51"/>
      <c r="M787" s="51"/>
      <c r="N787" s="51"/>
      <c r="O787" s="51"/>
      <c r="P787" s="51"/>
      <c r="Q787" s="51"/>
      <c r="R787" s="51"/>
      <c r="S787" s="51"/>
      <c r="T787" s="51"/>
      <c r="U787" s="51"/>
      <c r="V787" s="51"/>
      <c r="W787" s="51"/>
      <c r="X787" s="51"/>
      <c r="Y787" s="51"/>
      <c r="Z787" s="51"/>
      <c r="AA787" s="51"/>
      <c r="AB787" s="51"/>
    </row>
    <row r="788" customFormat="false" ht="15.75" hidden="false" customHeight="false" outlineLevel="0" collapsed="false">
      <c r="A788" s="51"/>
      <c r="B788" s="51"/>
      <c r="C788" s="6"/>
      <c r="D788" s="49"/>
      <c r="E788" s="51"/>
      <c r="F788" s="6"/>
      <c r="G788" s="6"/>
      <c r="H788" s="6"/>
      <c r="I788" s="6"/>
      <c r="J788" s="6"/>
      <c r="K788" s="51"/>
      <c r="L788" s="51"/>
      <c r="M788" s="51"/>
      <c r="N788" s="51"/>
      <c r="O788" s="51"/>
      <c r="P788" s="51"/>
      <c r="Q788" s="51"/>
      <c r="R788" s="51"/>
      <c r="S788" s="51"/>
      <c r="T788" s="51"/>
      <c r="U788" s="51"/>
      <c r="V788" s="51"/>
      <c r="W788" s="51"/>
      <c r="X788" s="51"/>
      <c r="Y788" s="51"/>
      <c r="Z788" s="51"/>
      <c r="AA788" s="51"/>
      <c r="AB788" s="51"/>
    </row>
    <row r="789" customFormat="false" ht="15.75" hidden="false" customHeight="false" outlineLevel="0" collapsed="false">
      <c r="A789" s="51"/>
      <c r="B789" s="51"/>
      <c r="C789" s="6"/>
      <c r="D789" s="49"/>
      <c r="E789" s="51"/>
      <c r="F789" s="6"/>
      <c r="G789" s="6"/>
      <c r="H789" s="6"/>
      <c r="I789" s="6"/>
      <c r="J789" s="6"/>
      <c r="K789" s="51"/>
      <c r="L789" s="51"/>
      <c r="M789" s="51"/>
      <c r="N789" s="51"/>
      <c r="O789" s="51"/>
      <c r="P789" s="51"/>
      <c r="Q789" s="51"/>
      <c r="R789" s="51"/>
      <c r="S789" s="51"/>
      <c r="T789" s="51"/>
      <c r="U789" s="51"/>
      <c r="V789" s="51"/>
      <c r="W789" s="51"/>
      <c r="X789" s="51"/>
      <c r="Y789" s="51"/>
      <c r="Z789" s="51"/>
      <c r="AA789" s="51"/>
      <c r="AB789" s="51"/>
    </row>
    <row r="790" customFormat="false" ht="15.75" hidden="false" customHeight="false" outlineLevel="0" collapsed="false">
      <c r="A790" s="51"/>
      <c r="B790" s="51"/>
      <c r="C790" s="6"/>
      <c r="D790" s="49"/>
      <c r="E790" s="51"/>
      <c r="F790" s="6"/>
      <c r="G790" s="6"/>
      <c r="H790" s="6"/>
      <c r="I790" s="6"/>
      <c r="J790" s="6"/>
      <c r="K790" s="51"/>
      <c r="L790" s="51"/>
      <c r="M790" s="51"/>
      <c r="N790" s="51"/>
      <c r="O790" s="51"/>
      <c r="P790" s="51"/>
      <c r="Q790" s="51"/>
      <c r="R790" s="51"/>
      <c r="S790" s="51"/>
      <c r="T790" s="51"/>
      <c r="U790" s="51"/>
      <c r="V790" s="51"/>
      <c r="W790" s="51"/>
      <c r="X790" s="51"/>
      <c r="Y790" s="51"/>
      <c r="Z790" s="51"/>
      <c r="AA790" s="51"/>
      <c r="AB790" s="51"/>
    </row>
    <row r="791" customFormat="false" ht="15.75" hidden="false" customHeight="false" outlineLevel="0" collapsed="false">
      <c r="A791" s="51"/>
      <c r="B791" s="51"/>
      <c r="C791" s="6"/>
      <c r="D791" s="49"/>
      <c r="E791" s="51"/>
      <c r="F791" s="6"/>
      <c r="G791" s="6"/>
      <c r="H791" s="6"/>
      <c r="I791" s="6"/>
      <c r="J791" s="6"/>
      <c r="K791" s="51"/>
      <c r="L791" s="51"/>
      <c r="M791" s="51"/>
      <c r="N791" s="51"/>
      <c r="O791" s="51"/>
      <c r="P791" s="51"/>
      <c r="Q791" s="51"/>
      <c r="R791" s="51"/>
      <c r="S791" s="51"/>
      <c r="T791" s="51"/>
      <c r="U791" s="51"/>
      <c r="V791" s="51"/>
      <c r="W791" s="51"/>
      <c r="X791" s="51"/>
      <c r="Y791" s="51"/>
      <c r="Z791" s="51"/>
      <c r="AA791" s="51"/>
      <c r="AB791" s="51"/>
    </row>
    <row r="792" customFormat="false" ht="15.75" hidden="false" customHeight="false" outlineLevel="0" collapsed="false">
      <c r="A792" s="51"/>
      <c r="B792" s="51"/>
      <c r="C792" s="6"/>
      <c r="D792" s="49"/>
      <c r="E792" s="51"/>
      <c r="F792" s="6"/>
      <c r="G792" s="6"/>
      <c r="H792" s="6"/>
      <c r="I792" s="6"/>
      <c r="J792" s="6"/>
      <c r="K792" s="51"/>
      <c r="L792" s="51"/>
      <c r="M792" s="51"/>
      <c r="N792" s="51"/>
      <c r="O792" s="51"/>
      <c r="P792" s="51"/>
      <c r="Q792" s="51"/>
      <c r="R792" s="51"/>
      <c r="S792" s="51"/>
      <c r="T792" s="51"/>
      <c r="U792" s="51"/>
      <c r="V792" s="51"/>
      <c r="W792" s="51"/>
      <c r="X792" s="51"/>
      <c r="Y792" s="51"/>
      <c r="Z792" s="51"/>
      <c r="AA792" s="51"/>
      <c r="AB792" s="51"/>
    </row>
    <row r="793" customFormat="false" ht="15.75" hidden="false" customHeight="false" outlineLevel="0" collapsed="false">
      <c r="A793" s="51"/>
      <c r="B793" s="51"/>
      <c r="C793" s="6"/>
      <c r="D793" s="49"/>
      <c r="E793" s="51"/>
      <c r="F793" s="6"/>
      <c r="G793" s="6"/>
      <c r="H793" s="6"/>
      <c r="I793" s="6"/>
      <c r="J793" s="6"/>
      <c r="K793" s="51"/>
      <c r="L793" s="51"/>
      <c r="M793" s="51"/>
      <c r="N793" s="51"/>
      <c r="O793" s="51"/>
      <c r="P793" s="51"/>
      <c r="Q793" s="51"/>
      <c r="R793" s="51"/>
      <c r="S793" s="51"/>
      <c r="T793" s="51"/>
      <c r="U793" s="51"/>
      <c r="V793" s="51"/>
      <c r="W793" s="51"/>
      <c r="X793" s="51"/>
      <c r="Y793" s="51"/>
      <c r="Z793" s="51"/>
      <c r="AA793" s="51"/>
      <c r="AB793" s="51"/>
    </row>
    <row r="794" customFormat="false" ht="15.75" hidden="false" customHeight="false" outlineLevel="0" collapsed="false">
      <c r="A794" s="51"/>
      <c r="B794" s="51"/>
      <c r="C794" s="6"/>
      <c r="D794" s="49"/>
      <c r="E794" s="51"/>
      <c r="F794" s="6"/>
      <c r="G794" s="6"/>
      <c r="H794" s="6"/>
      <c r="I794" s="6"/>
      <c r="J794" s="6"/>
      <c r="K794" s="51"/>
      <c r="L794" s="51"/>
      <c r="M794" s="51"/>
      <c r="N794" s="51"/>
      <c r="O794" s="51"/>
      <c r="P794" s="51"/>
      <c r="Q794" s="51"/>
      <c r="R794" s="51"/>
      <c r="S794" s="51"/>
      <c r="T794" s="51"/>
      <c r="U794" s="51"/>
      <c r="V794" s="51"/>
      <c r="W794" s="51"/>
      <c r="X794" s="51"/>
      <c r="Y794" s="51"/>
      <c r="Z794" s="51"/>
      <c r="AA794" s="51"/>
      <c r="AB794" s="51"/>
    </row>
    <row r="795" customFormat="false" ht="15.75" hidden="false" customHeight="false" outlineLevel="0" collapsed="false">
      <c r="A795" s="51"/>
      <c r="B795" s="51"/>
      <c r="C795" s="6"/>
      <c r="D795" s="49"/>
      <c r="E795" s="51"/>
      <c r="F795" s="6"/>
      <c r="G795" s="6"/>
      <c r="H795" s="6"/>
      <c r="I795" s="6"/>
      <c r="J795" s="6"/>
      <c r="K795" s="51"/>
      <c r="L795" s="51"/>
      <c r="M795" s="51"/>
      <c r="N795" s="51"/>
      <c r="O795" s="51"/>
      <c r="P795" s="51"/>
      <c r="Q795" s="51"/>
      <c r="R795" s="51"/>
      <c r="S795" s="51"/>
      <c r="T795" s="51"/>
      <c r="U795" s="51"/>
      <c r="V795" s="51"/>
      <c r="W795" s="51"/>
      <c r="X795" s="51"/>
      <c r="Y795" s="51"/>
      <c r="Z795" s="51"/>
      <c r="AA795" s="51"/>
      <c r="AB795" s="51"/>
    </row>
    <row r="796" customFormat="false" ht="15.75" hidden="false" customHeight="false" outlineLevel="0" collapsed="false">
      <c r="A796" s="51"/>
      <c r="B796" s="51"/>
      <c r="C796" s="6"/>
      <c r="D796" s="49"/>
      <c r="E796" s="51"/>
      <c r="F796" s="6"/>
      <c r="G796" s="6"/>
      <c r="H796" s="6"/>
      <c r="I796" s="6"/>
      <c r="J796" s="6"/>
      <c r="K796" s="51"/>
      <c r="L796" s="51"/>
      <c r="M796" s="51"/>
      <c r="N796" s="51"/>
      <c r="O796" s="51"/>
      <c r="P796" s="51"/>
      <c r="Q796" s="51"/>
      <c r="R796" s="51"/>
      <c r="S796" s="51"/>
      <c r="T796" s="51"/>
      <c r="U796" s="51"/>
      <c r="V796" s="51"/>
      <c r="W796" s="51"/>
      <c r="X796" s="51"/>
      <c r="Y796" s="51"/>
      <c r="Z796" s="51"/>
      <c r="AA796" s="51"/>
      <c r="AB796" s="51"/>
    </row>
    <row r="797" customFormat="false" ht="15.75" hidden="false" customHeight="false" outlineLevel="0" collapsed="false">
      <c r="A797" s="51"/>
      <c r="B797" s="51"/>
      <c r="C797" s="6"/>
      <c r="D797" s="49"/>
      <c r="E797" s="51"/>
      <c r="F797" s="6"/>
      <c r="G797" s="6"/>
      <c r="H797" s="6"/>
      <c r="I797" s="6"/>
      <c r="J797" s="6"/>
      <c r="K797" s="51"/>
      <c r="L797" s="51"/>
      <c r="M797" s="51"/>
      <c r="N797" s="51"/>
      <c r="O797" s="51"/>
      <c r="P797" s="51"/>
      <c r="Q797" s="51"/>
      <c r="R797" s="51"/>
      <c r="S797" s="51"/>
      <c r="T797" s="51"/>
      <c r="U797" s="51"/>
      <c r="V797" s="51"/>
      <c r="W797" s="51"/>
      <c r="X797" s="51"/>
      <c r="Y797" s="51"/>
      <c r="Z797" s="51"/>
      <c r="AA797" s="51"/>
      <c r="AB797" s="51"/>
    </row>
    <row r="798" customFormat="false" ht="15.75" hidden="false" customHeight="false" outlineLevel="0" collapsed="false">
      <c r="A798" s="51"/>
      <c r="B798" s="51"/>
      <c r="C798" s="6"/>
      <c r="D798" s="49"/>
      <c r="E798" s="51"/>
      <c r="F798" s="6"/>
      <c r="G798" s="6"/>
      <c r="H798" s="6"/>
      <c r="I798" s="6"/>
      <c r="J798" s="6"/>
      <c r="K798" s="51"/>
      <c r="L798" s="51"/>
      <c r="M798" s="51"/>
      <c r="N798" s="51"/>
      <c r="O798" s="51"/>
      <c r="P798" s="51"/>
      <c r="Q798" s="51"/>
      <c r="R798" s="51"/>
      <c r="S798" s="51"/>
      <c r="T798" s="51"/>
      <c r="U798" s="51"/>
      <c r="V798" s="51"/>
      <c r="W798" s="51"/>
      <c r="X798" s="51"/>
      <c r="Y798" s="51"/>
      <c r="Z798" s="51"/>
      <c r="AA798" s="51"/>
      <c r="AB798" s="51"/>
    </row>
    <row r="799" customFormat="false" ht="15.75" hidden="false" customHeight="false" outlineLevel="0" collapsed="false">
      <c r="A799" s="51"/>
      <c r="B799" s="51"/>
      <c r="C799" s="6"/>
      <c r="D799" s="49"/>
      <c r="E799" s="51"/>
      <c r="F799" s="6"/>
      <c r="G799" s="6"/>
      <c r="H799" s="6"/>
      <c r="I799" s="6"/>
      <c r="J799" s="6"/>
      <c r="K799" s="51"/>
      <c r="L799" s="51"/>
      <c r="M799" s="51"/>
      <c r="N799" s="51"/>
      <c r="O799" s="51"/>
      <c r="P799" s="51"/>
      <c r="Q799" s="51"/>
      <c r="R799" s="51"/>
      <c r="S799" s="51"/>
      <c r="T799" s="51"/>
      <c r="U799" s="51"/>
      <c r="V799" s="51"/>
      <c r="W799" s="51"/>
      <c r="X799" s="51"/>
      <c r="Y799" s="51"/>
      <c r="Z799" s="51"/>
      <c r="AA799" s="51"/>
      <c r="AB799" s="51"/>
    </row>
    <row r="800" customFormat="false" ht="15.75" hidden="false" customHeight="false" outlineLevel="0" collapsed="false">
      <c r="A800" s="51"/>
      <c r="B800" s="51"/>
      <c r="C800" s="6"/>
      <c r="D800" s="49"/>
      <c r="E800" s="51"/>
      <c r="F800" s="6"/>
      <c r="G800" s="6"/>
      <c r="H800" s="6"/>
      <c r="I800" s="6"/>
      <c r="J800" s="6"/>
      <c r="K800" s="51"/>
      <c r="L800" s="51"/>
      <c r="M800" s="51"/>
      <c r="N800" s="51"/>
      <c r="O800" s="51"/>
      <c r="P800" s="51"/>
      <c r="Q800" s="51"/>
      <c r="R800" s="51"/>
      <c r="S800" s="51"/>
      <c r="T800" s="51"/>
      <c r="U800" s="51"/>
      <c r="V800" s="51"/>
      <c r="W800" s="51"/>
      <c r="X800" s="51"/>
      <c r="Y800" s="51"/>
      <c r="Z800" s="51"/>
      <c r="AA800" s="51"/>
      <c r="AB800" s="51"/>
    </row>
    <row r="801" customFormat="false" ht="15.75" hidden="false" customHeight="false" outlineLevel="0" collapsed="false">
      <c r="A801" s="51"/>
      <c r="B801" s="51"/>
      <c r="C801" s="6"/>
      <c r="D801" s="49"/>
      <c r="E801" s="51"/>
      <c r="F801" s="6"/>
      <c r="G801" s="6"/>
      <c r="H801" s="6"/>
      <c r="I801" s="6"/>
      <c r="J801" s="6"/>
      <c r="K801" s="51"/>
      <c r="L801" s="51"/>
      <c r="M801" s="51"/>
      <c r="N801" s="51"/>
      <c r="O801" s="51"/>
      <c r="P801" s="51"/>
      <c r="Q801" s="51"/>
      <c r="R801" s="51"/>
      <c r="S801" s="51"/>
      <c r="T801" s="51"/>
      <c r="U801" s="51"/>
      <c r="V801" s="51"/>
      <c r="W801" s="51"/>
      <c r="X801" s="51"/>
      <c r="Y801" s="51"/>
      <c r="Z801" s="51"/>
      <c r="AA801" s="51"/>
      <c r="AB801" s="51"/>
    </row>
    <row r="802" customFormat="false" ht="15.75" hidden="false" customHeight="false" outlineLevel="0" collapsed="false">
      <c r="A802" s="51"/>
      <c r="B802" s="51"/>
      <c r="C802" s="6"/>
      <c r="D802" s="49"/>
      <c r="E802" s="51"/>
      <c r="F802" s="6"/>
      <c r="G802" s="6"/>
      <c r="H802" s="6"/>
      <c r="I802" s="6"/>
      <c r="J802" s="6"/>
      <c r="K802" s="51"/>
      <c r="L802" s="51"/>
      <c r="M802" s="51"/>
      <c r="N802" s="51"/>
      <c r="O802" s="51"/>
      <c r="P802" s="51"/>
      <c r="Q802" s="51"/>
      <c r="R802" s="51"/>
      <c r="S802" s="51"/>
      <c r="T802" s="51"/>
      <c r="U802" s="51"/>
      <c r="V802" s="51"/>
      <c r="W802" s="51"/>
      <c r="X802" s="51"/>
      <c r="Y802" s="51"/>
      <c r="Z802" s="51"/>
      <c r="AA802" s="51"/>
      <c r="AB802" s="51"/>
    </row>
    <row r="803" customFormat="false" ht="15.75" hidden="false" customHeight="false" outlineLevel="0" collapsed="false">
      <c r="A803" s="51"/>
      <c r="B803" s="51"/>
      <c r="C803" s="6"/>
      <c r="D803" s="49"/>
      <c r="E803" s="51"/>
      <c r="F803" s="6"/>
      <c r="G803" s="6"/>
      <c r="H803" s="6"/>
      <c r="I803" s="6"/>
      <c r="J803" s="6"/>
      <c r="K803" s="51"/>
      <c r="L803" s="51"/>
      <c r="M803" s="51"/>
      <c r="N803" s="51"/>
      <c r="O803" s="51"/>
      <c r="P803" s="51"/>
      <c r="Q803" s="51"/>
      <c r="R803" s="51"/>
      <c r="S803" s="51"/>
      <c r="T803" s="51"/>
      <c r="U803" s="51"/>
      <c r="V803" s="51"/>
      <c r="W803" s="51"/>
      <c r="X803" s="51"/>
      <c r="Y803" s="51"/>
      <c r="Z803" s="51"/>
      <c r="AA803" s="51"/>
      <c r="AB803" s="51"/>
    </row>
    <row r="804" customFormat="false" ht="15.75" hidden="false" customHeight="false" outlineLevel="0" collapsed="false">
      <c r="A804" s="51"/>
      <c r="B804" s="51"/>
      <c r="C804" s="6"/>
      <c r="D804" s="49"/>
      <c r="E804" s="51"/>
      <c r="F804" s="6"/>
      <c r="G804" s="6"/>
      <c r="H804" s="6"/>
      <c r="I804" s="6"/>
      <c r="J804" s="6"/>
      <c r="K804" s="51"/>
      <c r="L804" s="51"/>
      <c r="M804" s="51"/>
      <c r="N804" s="51"/>
      <c r="O804" s="51"/>
      <c r="P804" s="51"/>
      <c r="Q804" s="51"/>
      <c r="R804" s="51"/>
      <c r="S804" s="51"/>
      <c r="T804" s="51"/>
      <c r="U804" s="51"/>
      <c r="V804" s="51"/>
      <c r="W804" s="51"/>
      <c r="X804" s="51"/>
      <c r="Y804" s="51"/>
      <c r="Z804" s="51"/>
      <c r="AA804" s="51"/>
      <c r="AB804" s="51"/>
    </row>
    <row r="805" customFormat="false" ht="15.75" hidden="false" customHeight="false" outlineLevel="0" collapsed="false">
      <c r="A805" s="51"/>
      <c r="B805" s="51"/>
      <c r="C805" s="6"/>
      <c r="D805" s="49"/>
      <c r="E805" s="51"/>
      <c r="F805" s="6"/>
      <c r="G805" s="6"/>
      <c r="H805" s="6"/>
      <c r="I805" s="6"/>
      <c r="J805" s="6"/>
      <c r="K805" s="51"/>
      <c r="L805" s="51"/>
      <c r="M805" s="51"/>
      <c r="N805" s="51"/>
      <c r="O805" s="51"/>
      <c r="P805" s="51"/>
      <c r="Q805" s="51"/>
      <c r="R805" s="51"/>
      <c r="S805" s="51"/>
      <c r="T805" s="51"/>
      <c r="U805" s="51"/>
      <c r="V805" s="51"/>
      <c r="W805" s="51"/>
      <c r="X805" s="51"/>
      <c r="Y805" s="51"/>
      <c r="Z805" s="51"/>
      <c r="AA805" s="51"/>
      <c r="AB805" s="51"/>
    </row>
    <row r="806" customFormat="false" ht="15.75" hidden="false" customHeight="false" outlineLevel="0" collapsed="false">
      <c r="A806" s="51"/>
      <c r="B806" s="51"/>
      <c r="C806" s="6"/>
      <c r="D806" s="49"/>
      <c r="E806" s="51"/>
      <c r="F806" s="6"/>
      <c r="G806" s="6"/>
      <c r="H806" s="6"/>
      <c r="I806" s="6"/>
      <c r="J806" s="6"/>
      <c r="K806" s="51"/>
      <c r="L806" s="51"/>
      <c r="M806" s="51"/>
      <c r="N806" s="51"/>
      <c r="O806" s="51"/>
      <c r="P806" s="51"/>
      <c r="Q806" s="51"/>
      <c r="R806" s="51"/>
      <c r="S806" s="51"/>
      <c r="T806" s="51"/>
      <c r="U806" s="51"/>
      <c r="V806" s="51"/>
      <c r="W806" s="51"/>
      <c r="X806" s="51"/>
      <c r="Y806" s="51"/>
      <c r="Z806" s="51"/>
      <c r="AA806" s="51"/>
      <c r="AB806" s="51"/>
    </row>
    <row r="807" customFormat="false" ht="15.75" hidden="false" customHeight="false" outlineLevel="0" collapsed="false">
      <c r="A807" s="51"/>
      <c r="B807" s="51"/>
      <c r="C807" s="6"/>
      <c r="D807" s="49"/>
      <c r="E807" s="51"/>
      <c r="F807" s="6"/>
      <c r="G807" s="6"/>
      <c r="H807" s="6"/>
      <c r="I807" s="6"/>
      <c r="J807" s="6"/>
      <c r="K807" s="51"/>
      <c r="L807" s="51"/>
      <c r="M807" s="51"/>
      <c r="N807" s="51"/>
      <c r="O807" s="51"/>
      <c r="P807" s="51"/>
      <c r="Q807" s="51"/>
      <c r="R807" s="51"/>
      <c r="S807" s="51"/>
      <c r="T807" s="51"/>
      <c r="U807" s="51"/>
      <c r="V807" s="51"/>
      <c r="W807" s="51"/>
      <c r="X807" s="51"/>
      <c r="Y807" s="51"/>
      <c r="Z807" s="51"/>
      <c r="AA807" s="51"/>
      <c r="AB807" s="51"/>
    </row>
    <row r="808" customFormat="false" ht="15.75" hidden="false" customHeight="false" outlineLevel="0" collapsed="false">
      <c r="A808" s="51"/>
      <c r="B808" s="51"/>
      <c r="C808" s="6"/>
      <c r="D808" s="49"/>
      <c r="E808" s="51"/>
      <c r="F808" s="6"/>
      <c r="G808" s="6"/>
      <c r="H808" s="6"/>
      <c r="I808" s="6"/>
      <c r="J808" s="6"/>
      <c r="K808" s="51"/>
      <c r="L808" s="51"/>
      <c r="M808" s="51"/>
      <c r="N808" s="51"/>
      <c r="O808" s="51"/>
      <c r="P808" s="51"/>
      <c r="Q808" s="51"/>
      <c r="R808" s="51"/>
      <c r="S808" s="51"/>
      <c r="T808" s="51"/>
      <c r="U808" s="51"/>
      <c r="V808" s="51"/>
      <c r="W808" s="51"/>
      <c r="X808" s="51"/>
      <c r="Y808" s="51"/>
      <c r="Z808" s="51"/>
      <c r="AA808" s="51"/>
      <c r="AB808" s="51"/>
    </row>
    <row r="809" customFormat="false" ht="15.75" hidden="false" customHeight="false" outlineLevel="0" collapsed="false">
      <c r="A809" s="51"/>
      <c r="B809" s="51"/>
      <c r="C809" s="6"/>
      <c r="D809" s="49"/>
      <c r="E809" s="51"/>
      <c r="F809" s="6"/>
      <c r="G809" s="6"/>
      <c r="H809" s="6"/>
      <c r="I809" s="6"/>
      <c r="J809" s="6"/>
      <c r="K809" s="51"/>
      <c r="L809" s="51"/>
      <c r="M809" s="51"/>
      <c r="N809" s="51"/>
      <c r="O809" s="51"/>
      <c r="P809" s="51"/>
      <c r="Q809" s="51"/>
      <c r="R809" s="51"/>
      <c r="S809" s="51"/>
      <c r="T809" s="51"/>
      <c r="U809" s="51"/>
      <c r="V809" s="51"/>
      <c r="W809" s="51"/>
      <c r="X809" s="51"/>
      <c r="Y809" s="51"/>
      <c r="Z809" s="51"/>
      <c r="AA809" s="51"/>
      <c r="AB809" s="51"/>
    </row>
    <row r="810" customFormat="false" ht="15.75" hidden="false" customHeight="false" outlineLevel="0" collapsed="false">
      <c r="A810" s="51"/>
      <c r="B810" s="51"/>
      <c r="C810" s="6"/>
      <c r="D810" s="49"/>
      <c r="E810" s="51"/>
      <c r="F810" s="6"/>
      <c r="G810" s="6"/>
      <c r="H810" s="6"/>
      <c r="I810" s="6"/>
      <c r="J810" s="6"/>
      <c r="K810" s="51"/>
      <c r="L810" s="51"/>
      <c r="M810" s="51"/>
      <c r="N810" s="51"/>
      <c r="O810" s="51"/>
      <c r="P810" s="51"/>
      <c r="Q810" s="51"/>
      <c r="R810" s="51"/>
      <c r="S810" s="51"/>
      <c r="T810" s="51"/>
      <c r="U810" s="51"/>
      <c r="V810" s="51"/>
      <c r="W810" s="51"/>
      <c r="X810" s="51"/>
      <c r="Y810" s="51"/>
      <c r="Z810" s="51"/>
      <c r="AA810" s="51"/>
      <c r="AB810" s="51"/>
    </row>
    <row r="811" customFormat="false" ht="15.75" hidden="false" customHeight="false" outlineLevel="0" collapsed="false">
      <c r="A811" s="51"/>
      <c r="B811" s="51"/>
      <c r="C811" s="6"/>
      <c r="D811" s="49"/>
      <c r="E811" s="51"/>
      <c r="F811" s="6"/>
      <c r="G811" s="6"/>
      <c r="H811" s="6"/>
      <c r="I811" s="6"/>
      <c r="J811" s="6"/>
      <c r="K811" s="51"/>
      <c r="L811" s="51"/>
      <c r="M811" s="51"/>
      <c r="N811" s="51"/>
      <c r="O811" s="51"/>
      <c r="P811" s="51"/>
      <c r="Q811" s="51"/>
      <c r="R811" s="51"/>
      <c r="S811" s="51"/>
      <c r="T811" s="51"/>
      <c r="U811" s="51"/>
      <c r="V811" s="51"/>
      <c r="W811" s="51"/>
      <c r="X811" s="51"/>
      <c r="Y811" s="51"/>
      <c r="Z811" s="51"/>
      <c r="AA811" s="51"/>
      <c r="AB811" s="51"/>
    </row>
    <row r="812" customFormat="false" ht="15.75" hidden="false" customHeight="false" outlineLevel="0" collapsed="false">
      <c r="A812" s="51"/>
      <c r="B812" s="51"/>
      <c r="C812" s="6"/>
      <c r="D812" s="49"/>
      <c r="E812" s="51"/>
      <c r="F812" s="6"/>
      <c r="G812" s="6"/>
      <c r="H812" s="6"/>
      <c r="I812" s="6"/>
      <c r="J812" s="6"/>
      <c r="K812" s="51"/>
      <c r="L812" s="51"/>
      <c r="M812" s="51"/>
      <c r="N812" s="51"/>
      <c r="O812" s="51"/>
      <c r="P812" s="51"/>
      <c r="Q812" s="51"/>
      <c r="R812" s="51"/>
      <c r="S812" s="51"/>
      <c r="T812" s="51"/>
      <c r="U812" s="51"/>
      <c r="V812" s="51"/>
      <c r="W812" s="51"/>
      <c r="X812" s="51"/>
      <c r="Y812" s="51"/>
      <c r="Z812" s="51"/>
      <c r="AA812" s="51"/>
      <c r="AB812" s="51"/>
    </row>
    <row r="813" customFormat="false" ht="15.75" hidden="false" customHeight="false" outlineLevel="0" collapsed="false">
      <c r="A813" s="51"/>
      <c r="B813" s="51"/>
      <c r="C813" s="6"/>
      <c r="D813" s="49"/>
      <c r="E813" s="51"/>
      <c r="F813" s="6"/>
      <c r="G813" s="6"/>
      <c r="H813" s="6"/>
      <c r="I813" s="6"/>
      <c r="J813" s="6"/>
      <c r="K813" s="51"/>
      <c r="L813" s="51"/>
      <c r="M813" s="51"/>
      <c r="N813" s="51"/>
      <c r="O813" s="51"/>
      <c r="P813" s="51"/>
      <c r="Q813" s="51"/>
      <c r="R813" s="51"/>
      <c r="S813" s="51"/>
      <c r="T813" s="51"/>
      <c r="U813" s="51"/>
      <c r="V813" s="51"/>
      <c r="W813" s="51"/>
      <c r="X813" s="51"/>
      <c r="Y813" s="51"/>
      <c r="Z813" s="51"/>
      <c r="AA813" s="51"/>
      <c r="AB813" s="51"/>
    </row>
    <row r="814" customFormat="false" ht="15.75" hidden="false" customHeight="false" outlineLevel="0" collapsed="false">
      <c r="A814" s="51"/>
      <c r="B814" s="51"/>
      <c r="C814" s="6"/>
      <c r="D814" s="49"/>
      <c r="E814" s="51"/>
      <c r="F814" s="6"/>
      <c r="G814" s="6"/>
      <c r="H814" s="6"/>
      <c r="I814" s="6"/>
      <c r="J814" s="6"/>
      <c r="K814" s="51"/>
      <c r="L814" s="51"/>
      <c r="M814" s="51"/>
      <c r="N814" s="51"/>
      <c r="O814" s="51"/>
      <c r="P814" s="51"/>
      <c r="Q814" s="51"/>
      <c r="R814" s="51"/>
      <c r="S814" s="51"/>
      <c r="T814" s="51"/>
      <c r="U814" s="51"/>
      <c r="V814" s="51"/>
      <c r="W814" s="51"/>
      <c r="X814" s="51"/>
      <c r="Y814" s="51"/>
      <c r="Z814" s="51"/>
      <c r="AA814" s="51"/>
      <c r="AB814" s="51"/>
    </row>
    <row r="815" customFormat="false" ht="15.75" hidden="false" customHeight="false" outlineLevel="0" collapsed="false">
      <c r="A815" s="51"/>
      <c r="B815" s="51"/>
      <c r="C815" s="6"/>
      <c r="D815" s="49"/>
      <c r="E815" s="51"/>
      <c r="F815" s="6"/>
      <c r="G815" s="6"/>
      <c r="H815" s="6"/>
      <c r="I815" s="6"/>
      <c r="J815" s="6"/>
      <c r="K815" s="51"/>
      <c r="L815" s="51"/>
      <c r="M815" s="51"/>
      <c r="N815" s="51"/>
      <c r="O815" s="51"/>
      <c r="P815" s="51"/>
      <c r="Q815" s="51"/>
      <c r="R815" s="51"/>
      <c r="S815" s="51"/>
      <c r="T815" s="51"/>
      <c r="U815" s="51"/>
      <c r="V815" s="51"/>
      <c r="W815" s="51"/>
      <c r="X815" s="51"/>
      <c r="Y815" s="51"/>
      <c r="Z815" s="51"/>
      <c r="AA815" s="51"/>
      <c r="AB815" s="51"/>
    </row>
    <row r="816" customFormat="false" ht="15.75" hidden="false" customHeight="false" outlineLevel="0" collapsed="false">
      <c r="A816" s="51"/>
      <c r="B816" s="51"/>
      <c r="C816" s="6"/>
      <c r="D816" s="49"/>
      <c r="E816" s="51"/>
      <c r="F816" s="6"/>
      <c r="G816" s="6"/>
      <c r="H816" s="6"/>
      <c r="I816" s="6"/>
      <c r="J816" s="6"/>
      <c r="K816" s="51"/>
      <c r="L816" s="51"/>
      <c r="M816" s="51"/>
      <c r="N816" s="51"/>
      <c r="O816" s="51"/>
      <c r="P816" s="51"/>
      <c r="Q816" s="51"/>
      <c r="R816" s="51"/>
      <c r="S816" s="51"/>
      <c r="T816" s="51"/>
      <c r="U816" s="51"/>
      <c r="V816" s="51"/>
      <c r="W816" s="51"/>
      <c r="X816" s="51"/>
      <c r="Y816" s="51"/>
      <c r="Z816" s="51"/>
      <c r="AA816" s="51"/>
      <c r="AB816" s="51"/>
    </row>
    <row r="817" customFormat="false" ht="15.75" hidden="false" customHeight="false" outlineLevel="0" collapsed="false">
      <c r="A817" s="51"/>
      <c r="B817" s="51"/>
      <c r="C817" s="6"/>
      <c r="D817" s="49"/>
      <c r="E817" s="51"/>
      <c r="F817" s="6"/>
      <c r="G817" s="6"/>
      <c r="H817" s="6"/>
      <c r="I817" s="6"/>
      <c r="J817" s="6"/>
      <c r="K817" s="51"/>
      <c r="L817" s="51"/>
      <c r="M817" s="51"/>
      <c r="N817" s="51"/>
      <c r="O817" s="51"/>
      <c r="P817" s="51"/>
      <c r="Q817" s="51"/>
      <c r="R817" s="51"/>
      <c r="S817" s="51"/>
      <c r="T817" s="51"/>
      <c r="U817" s="51"/>
      <c r="V817" s="51"/>
      <c r="W817" s="51"/>
      <c r="X817" s="51"/>
      <c r="Y817" s="51"/>
      <c r="Z817" s="51"/>
      <c r="AA817" s="51"/>
      <c r="AB817" s="51"/>
    </row>
    <row r="818" customFormat="false" ht="15.75" hidden="false" customHeight="false" outlineLevel="0" collapsed="false">
      <c r="A818" s="51"/>
      <c r="B818" s="51"/>
      <c r="C818" s="6"/>
      <c r="D818" s="49"/>
      <c r="E818" s="51"/>
      <c r="F818" s="6"/>
      <c r="G818" s="6"/>
      <c r="H818" s="6"/>
      <c r="I818" s="6"/>
      <c r="J818" s="6"/>
      <c r="K818" s="51"/>
      <c r="L818" s="51"/>
      <c r="M818" s="51"/>
      <c r="N818" s="51"/>
      <c r="O818" s="51"/>
      <c r="P818" s="51"/>
      <c r="Q818" s="51"/>
      <c r="R818" s="51"/>
      <c r="S818" s="51"/>
      <c r="T818" s="51"/>
      <c r="U818" s="51"/>
      <c r="V818" s="51"/>
      <c r="W818" s="51"/>
      <c r="X818" s="51"/>
      <c r="Y818" s="51"/>
      <c r="Z818" s="51"/>
      <c r="AA818" s="51"/>
      <c r="AB818" s="51"/>
    </row>
    <row r="819" customFormat="false" ht="15.75" hidden="false" customHeight="false" outlineLevel="0" collapsed="false">
      <c r="A819" s="51"/>
      <c r="B819" s="51"/>
      <c r="C819" s="6"/>
      <c r="D819" s="49"/>
      <c r="E819" s="51"/>
      <c r="F819" s="6"/>
      <c r="G819" s="6"/>
      <c r="H819" s="6"/>
      <c r="I819" s="6"/>
      <c r="J819" s="6"/>
      <c r="K819" s="51"/>
      <c r="L819" s="51"/>
      <c r="M819" s="51"/>
      <c r="N819" s="51"/>
      <c r="O819" s="51"/>
      <c r="P819" s="51"/>
      <c r="Q819" s="51"/>
      <c r="R819" s="51"/>
      <c r="S819" s="51"/>
      <c r="T819" s="51"/>
      <c r="U819" s="51"/>
      <c r="V819" s="51"/>
      <c r="W819" s="51"/>
      <c r="X819" s="51"/>
      <c r="Y819" s="51"/>
      <c r="Z819" s="51"/>
      <c r="AA819" s="51"/>
      <c r="AB819" s="51"/>
    </row>
    <row r="820" customFormat="false" ht="15.75" hidden="false" customHeight="false" outlineLevel="0" collapsed="false">
      <c r="A820" s="51"/>
      <c r="B820" s="51"/>
      <c r="C820" s="6"/>
      <c r="D820" s="49"/>
      <c r="E820" s="51"/>
      <c r="F820" s="6"/>
      <c r="G820" s="6"/>
      <c r="H820" s="6"/>
      <c r="I820" s="6"/>
      <c r="J820" s="6"/>
      <c r="K820" s="51"/>
      <c r="L820" s="51"/>
      <c r="M820" s="51"/>
      <c r="N820" s="51"/>
      <c r="O820" s="51"/>
      <c r="P820" s="51"/>
      <c r="Q820" s="51"/>
      <c r="R820" s="51"/>
      <c r="S820" s="51"/>
      <c r="T820" s="51"/>
      <c r="U820" s="51"/>
      <c r="V820" s="51"/>
      <c r="W820" s="51"/>
      <c r="X820" s="51"/>
      <c r="Y820" s="51"/>
      <c r="Z820" s="51"/>
      <c r="AA820" s="51"/>
      <c r="AB820" s="51"/>
    </row>
    <row r="821" customFormat="false" ht="15.75" hidden="false" customHeight="false" outlineLevel="0" collapsed="false">
      <c r="A821" s="51"/>
      <c r="B821" s="51"/>
      <c r="C821" s="6"/>
      <c r="D821" s="49"/>
      <c r="E821" s="51"/>
      <c r="F821" s="6"/>
      <c r="G821" s="6"/>
      <c r="H821" s="6"/>
      <c r="I821" s="6"/>
      <c r="J821" s="6"/>
      <c r="K821" s="51"/>
      <c r="L821" s="51"/>
      <c r="M821" s="51"/>
      <c r="N821" s="51"/>
      <c r="O821" s="51"/>
      <c r="P821" s="51"/>
      <c r="Q821" s="51"/>
      <c r="R821" s="51"/>
      <c r="S821" s="51"/>
      <c r="T821" s="51"/>
      <c r="U821" s="51"/>
      <c r="V821" s="51"/>
      <c r="W821" s="51"/>
      <c r="X821" s="51"/>
      <c r="Y821" s="51"/>
      <c r="Z821" s="51"/>
      <c r="AA821" s="51"/>
      <c r="AB821" s="51"/>
    </row>
    <row r="822" customFormat="false" ht="15.75" hidden="false" customHeight="false" outlineLevel="0" collapsed="false">
      <c r="A822" s="51"/>
      <c r="B822" s="51"/>
      <c r="C822" s="6"/>
      <c r="D822" s="49"/>
      <c r="E822" s="51"/>
      <c r="F822" s="6"/>
      <c r="G822" s="6"/>
      <c r="H822" s="6"/>
      <c r="I822" s="6"/>
      <c r="J822" s="6"/>
      <c r="K822" s="51"/>
      <c r="L822" s="51"/>
      <c r="M822" s="51"/>
      <c r="N822" s="51"/>
      <c r="O822" s="51"/>
      <c r="P822" s="51"/>
      <c r="Q822" s="51"/>
      <c r="R822" s="51"/>
      <c r="S822" s="51"/>
      <c r="T822" s="51"/>
      <c r="U822" s="51"/>
      <c r="V822" s="51"/>
      <c r="W822" s="51"/>
      <c r="X822" s="51"/>
      <c r="Y822" s="51"/>
      <c r="Z822" s="51"/>
      <c r="AA822" s="51"/>
      <c r="AB822" s="51"/>
    </row>
    <row r="823" customFormat="false" ht="15.75" hidden="false" customHeight="false" outlineLevel="0" collapsed="false">
      <c r="A823" s="51"/>
      <c r="B823" s="51"/>
      <c r="C823" s="6"/>
      <c r="D823" s="49"/>
      <c r="E823" s="51"/>
      <c r="F823" s="6"/>
      <c r="G823" s="6"/>
      <c r="H823" s="6"/>
      <c r="I823" s="6"/>
      <c r="J823" s="6"/>
      <c r="K823" s="51"/>
      <c r="L823" s="51"/>
      <c r="M823" s="51"/>
      <c r="N823" s="51"/>
      <c r="O823" s="51"/>
      <c r="P823" s="51"/>
      <c r="Q823" s="51"/>
      <c r="R823" s="51"/>
      <c r="S823" s="51"/>
      <c r="T823" s="51"/>
      <c r="U823" s="51"/>
      <c r="V823" s="51"/>
      <c r="W823" s="51"/>
      <c r="X823" s="51"/>
      <c r="Y823" s="51"/>
      <c r="Z823" s="51"/>
      <c r="AA823" s="51"/>
      <c r="AB823" s="51"/>
    </row>
    <row r="824" customFormat="false" ht="15.75" hidden="false" customHeight="false" outlineLevel="0" collapsed="false">
      <c r="A824" s="51"/>
      <c r="B824" s="51"/>
      <c r="C824" s="6"/>
      <c r="D824" s="49"/>
      <c r="E824" s="51"/>
      <c r="F824" s="6"/>
      <c r="G824" s="6"/>
      <c r="H824" s="6"/>
      <c r="I824" s="6"/>
      <c r="J824" s="6"/>
      <c r="K824" s="51"/>
      <c r="L824" s="51"/>
      <c r="M824" s="51"/>
      <c r="N824" s="51"/>
      <c r="O824" s="51"/>
      <c r="P824" s="51"/>
      <c r="Q824" s="51"/>
      <c r="R824" s="51"/>
      <c r="S824" s="51"/>
      <c r="T824" s="51"/>
      <c r="U824" s="51"/>
      <c r="V824" s="51"/>
      <c r="W824" s="51"/>
      <c r="X824" s="51"/>
      <c r="Y824" s="51"/>
      <c r="Z824" s="51"/>
      <c r="AA824" s="51"/>
      <c r="AB824" s="51"/>
    </row>
    <row r="825" customFormat="false" ht="15.75" hidden="false" customHeight="false" outlineLevel="0" collapsed="false">
      <c r="A825" s="51"/>
      <c r="B825" s="51"/>
      <c r="C825" s="6"/>
      <c r="D825" s="49"/>
      <c r="E825" s="51"/>
      <c r="F825" s="6"/>
      <c r="G825" s="6"/>
      <c r="H825" s="6"/>
      <c r="I825" s="6"/>
      <c r="J825" s="6"/>
      <c r="K825" s="51"/>
      <c r="L825" s="51"/>
      <c r="M825" s="51"/>
      <c r="N825" s="51"/>
      <c r="O825" s="51"/>
      <c r="P825" s="51"/>
      <c r="Q825" s="51"/>
      <c r="R825" s="51"/>
      <c r="S825" s="51"/>
      <c r="T825" s="51"/>
      <c r="U825" s="51"/>
      <c r="V825" s="51"/>
      <c r="W825" s="51"/>
      <c r="X825" s="51"/>
      <c r="Y825" s="51"/>
      <c r="Z825" s="51"/>
      <c r="AA825" s="51"/>
      <c r="AB825" s="51"/>
    </row>
    <row r="826" customFormat="false" ht="15.75" hidden="false" customHeight="false" outlineLevel="0" collapsed="false">
      <c r="A826" s="51"/>
      <c r="B826" s="51"/>
      <c r="C826" s="6"/>
      <c r="D826" s="49"/>
      <c r="E826" s="51"/>
      <c r="F826" s="6"/>
      <c r="G826" s="6"/>
      <c r="H826" s="6"/>
      <c r="I826" s="6"/>
      <c r="J826" s="6"/>
      <c r="K826" s="51"/>
      <c r="L826" s="51"/>
      <c r="M826" s="51"/>
      <c r="N826" s="51"/>
      <c r="O826" s="51"/>
      <c r="P826" s="51"/>
      <c r="Q826" s="51"/>
      <c r="R826" s="51"/>
      <c r="S826" s="51"/>
      <c r="T826" s="51"/>
      <c r="U826" s="51"/>
      <c r="V826" s="51"/>
      <c r="W826" s="51"/>
      <c r="X826" s="51"/>
      <c r="Y826" s="51"/>
      <c r="Z826" s="51"/>
      <c r="AA826" s="51"/>
      <c r="AB826" s="51"/>
    </row>
    <row r="827" customFormat="false" ht="15.75" hidden="false" customHeight="false" outlineLevel="0" collapsed="false">
      <c r="A827" s="51"/>
      <c r="B827" s="51"/>
      <c r="C827" s="6"/>
      <c r="D827" s="49"/>
      <c r="E827" s="51"/>
      <c r="F827" s="6"/>
      <c r="G827" s="6"/>
      <c r="H827" s="6"/>
      <c r="I827" s="6"/>
      <c r="J827" s="6"/>
      <c r="K827" s="51"/>
      <c r="L827" s="51"/>
      <c r="M827" s="51"/>
      <c r="N827" s="51"/>
      <c r="O827" s="51"/>
      <c r="P827" s="51"/>
      <c r="Q827" s="51"/>
      <c r="R827" s="51"/>
      <c r="S827" s="51"/>
      <c r="T827" s="51"/>
      <c r="U827" s="51"/>
      <c r="V827" s="51"/>
      <c r="W827" s="51"/>
      <c r="X827" s="51"/>
      <c r="Y827" s="51"/>
      <c r="Z827" s="51"/>
      <c r="AA827" s="51"/>
      <c r="AB827" s="51"/>
    </row>
    <row r="828" customFormat="false" ht="15.75" hidden="false" customHeight="false" outlineLevel="0" collapsed="false">
      <c r="A828" s="51"/>
      <c r="B828" s="51"/>
      <c r="C828" s="6"/>
      <c r="D828" s="49"/>
      <c r="E828" s="51"/>
      <c r="F828" s="6"/>
      <c r="G828" s="6"/>
      <c r="H828" s="6"/>
      <c r="I828" s="6"/>
      <c r="J828" s="6"/>
      <c r="K828" s="51"/>
      <c r="L828" s="51"/>
      <c r="M828" s="51"/>
      <c r="N828" s="51"/>
      <c r="O828" s="51"/>
      <c r="P828" s="51"/>
      <c r="Q828" s="51"/>
      <c r="R828" s="51"/>
      <c r="S828" s="51"/>
      <c r="T828" s="51"/>
      <c r="U828" s="51"/>
      <c r="V828" s="51"/>
      <c r="W828" s="51"/>
      <c r="X828" s="51"/>
      <c r="Y828" s="51"/>
      <c r="Z828" s="51"/>
      <c r="AA828" s="51"/>
      <c r="AB828" s="51"/>
    </row>
    <row r="829" customFormat="false" ht="15.75" hidden="false" customHeight="false" outlineLevel="0" collapsed="false">
      <c r="A829" s="51"/>
      <c r="B829" s="51"/>
      <c r="C829" s="6"/>
      <c r="D829" s="49"/>
      <c r="E829" s="51"/>
      <c r="F829" s="6"/>
      <c r="G829" s="6"/>
      <c r="H829" s="6"/>
      <c r="I829" s="6"/>
      <c r="J829" s="6"/>
      <c r="K829" s="51"/>
      <c r="L829" s="51"/>
      <c r="M829" s="51"/>
      <c r="N829" s="51"/>
      <c r="O829" s="51"/>
      <c r="P829" s="51"/>
      <c r="Q829" s="51"/>
      <c r="R829" s="51"/>
      <c r="S829" s="51"/>
      <c r="T829" s="51"/>
      <c r="U829" s="51"/>
      <c r="V829" s="51"/>
      <c r="W829" s="51"/>
      <c r="X829" s="51"/>
      <c r="Y829" s="51"/>
      <c r="Z829" s="51"/>
      <c r="AA829" s="51"/>
      <c r="AB829" s="51"/>
    </row>
    <row r="830" customFormat="false" ht="15.75" hidden="false" customHeight="false" outlineLevel="0" collapsed="false">
      <c r="A830" s="51"/>
      <c r="B830" s="51"/>
      <c r="C830" s="6"/>
      <c r="D830" s="49"/>
      <c r="E830" s="51"/>
      <c r="F830" s="6"/>
      <c r="G830" s="6"/>
      <c r="H830" s="6"/>
      <c r="I830" s="6"/>
      <c r="J830" s="6"/>
      <c r="K830" s="51"/>
      <c r="L830" s="51"/>
      <c r="M830" s="51"/>
      <c r="N830" s="51"/>
      <c r="O830" s="51"/>
      <c r="P830" s="51"/>
      <c r="Q830" s="51"/>
      <c r="R830" s="51"/>
      <c r="S830" s="51"/>
      <c r="T830" s="51"/>
      <c r="U830" s="51"/>
      <c r="V830" s="51"/>
      <c r="W830" s="51"/>
      <c r="X830" s="51"/>
      <c r="Y830" s="51"/>
      <c r="Z830" s="51"/>
      <c r="AA830" s="51"/>
      <c r="AB830" s="51"/>
    </row>
    <row r="831" customFormat="false" ht="15.75" hidden="false" customHeight="false" outlineLevel="0" collapsed="false">
      <c r="A831" s="51"/>
      <c r="B831" s="51"/>
      <c r="C831" s="6"/>
      <c r="D831" s="49"/>
      <c r="E831" s="51"/>
      <c r="F831" s="6"/>
      <c r="G831" s="6"/>
      <c r="H831" s="6"/>
      <c r="I831" s="6"/>
      <c r="J831" s="6"/>
      <c r="K831" s="51"/>
      <c r="L831" s="51"/>
      <c r="M831" s="51"/>
      <c r="N831" s="51"/>
      <c r="O831" s="51"/>
      <c r="P831" s="51"/>
      <c r="Q831" s="51"/>
      <c r="R831" s="51"/>
      <c r="S831" s="51"/>
      <c r="T831" s="51"/>
      <c r="U831" s="51"/>
      <c r="V831" s="51"/>
      <c r="W831" s="51"/>
      <c r="X831" s="51"/>
      <c r="Y831" s="51"/>
      <c r="Z831" s="51"/>
      <c r="AA831" s="51"/>
      <c r="AB831" s="51"/>
    </row>
    <row r="832" customFormat="false" ht="15.75" hidden="false" customHeight="false" outlineLevel="0" collapsed="false">
      <c r="A832" s="51"/>
      <c r="B832" s="51"/>
      <c r="C832" s="6"/>
      <c r="D832" s="49"/>
      <c r="E832" s="51"/>
      <c r="F832" s="6"/>
      <c r="G832" s="6"/>
      <c r="H832" s="6"/>
      <c r="I832" s="6"/>
      <c r="J832" s="6"/>
      <c r="K832" s="51"/>
      <c r="L832" s="51"/>
      <c r="M832" s="51"/>
      <c r="N832" s="51"/>
      <c r="O832" s="51"/>
      <c r="P832" s="51"/>
      <c r="Q832" s="51"/>
      <c r="R832" s="51"/>
      <c r="S832" s="51"/>
      <c r="T832" s="51"/>
      <c r="U832" s="51"/>
      <c r="V832" s="51"/>
      <c r="W832" s="51"/>
      <c r="X832" s="51"/>
      <c r="Y832" s="51"/>
      <c r="Z832" s="51"/>
      <c r="AA832" s="51"/>
      <c r="AB832" s="51"/>
    </row>
    <row r="833" customFormat="false" ht="15.75" hidden="false" customHeight="false" outlineLevel="0" collapsed="false">
      <c r="A833" s="51"/>
      <c r="B833" s="51"/>
      <c r="C833" s="6"/>
      <c r="D833" s="49"/>
      <c r="E833" s="51"/>
      <c r="F833" s="6"/>
      <c r="G833" s="6"/>
      <c r="H833" s="6"/>
      <c r="I833" s="6"/>
      <c r="J833" s="6"/>
      <c r="K833" s="51"/>
      <c r="L833" s="51"/>
      <c r="M833" s="51"/>
      <c r="N833" s="51"/>
      <c r="O833" s="51"/>
      <c r="P833" s="51"/>
      <c r="Q833" s="51"/>
      <c r="R833" s="51"/>
      <c r="S833" s="51"/>
      <c r="T833" s="51"/>
      <c r="U833" s="51"/>
      <c r="V833" s="51"/>
      <c r="W833" s="51"/>
      <c r="X833" s="51"/>
      <c r="Y833" s="51"/>
      <c r="Z833" s="51"/>
      <c r="AA833" s="51"/>
      <c r="AB833" s="51"/>
    </row>
    <row r="834" customFormat="false" ht="15.75" hidden="false" customHeight="false" outlineLevel="0" collapsed="false">
      <c r="A834" s="51"/>
      <c r="B834" s="51"/>
      <c r="C834" s="6"/>
      <c r="D834" s="49"/>
      <c r="E834" s="51"/>
      <c r="F834" s="6"/>
      <c r="G834" s="6"/>
      <c r="H834" s="6"/>
      <c r="I834" s="6"/>
      <c r="J834" s="6"/>
      <c r="K834" s="51"/>
      <c r="L834" s="51"/>
      <c r="M834" s="51"/>
      <c r="N834" s="51"/>
      <c r="O834" s="51"/>
      <c r="P834" s="51"/>
      <c r="Q834" s="51"/>
      <c r="R834" s="51"/>
      <c r="S834" s="51"/>
      <c r="T834" s="51"/>
      <c r="U834" s="51"/>
      <c r="V834" s="51"/>
      <c r="W834" s="51"/>
      <c r="X834" s="51"/>
      <c r="Y834" s="51"/>
      <c r="Z834" s="51"/>
      <c r="AA834" s="51"/>
      <c r="AB834" s="51"/>
    </row>
    <row r="835" customFormat="false" ht="15.75" hidden="false" customHeight="false" outlineLevel="0" collapsed="false">
      <c r="A835" s="51"/>
      <c r="B835" s="51"/>
      <c r="C835" s="6"/>
      <c r="D835" s="49"/>
      <c r="E835" s="51"/>
      <c r="F835" s="6"/>
      <c r="G835" s="6"/>
      <c r="H835" s="6"/>
      <c r="I835" s="6"/>
      <c r="J835" s="6"/>
      <c r="K835" s="51"/>
      <c r="L835" s="51"/>
      <c r="M835" s="51"/>
      <c r="N835" s="51"/>
      <c r="O835" s="51"/>
      <c r="P835" s="51"/>
      <c r="Q835" s="51"/>
      <c r="R835" s="51"/>
      <c r="S835" s="51"/>
      <c r="T835" s="51"/>
      <c r="U835" s="51"/>
      <c r="V835" s="51"/>
      <c r="W835" s="51"/>
      <c r="X835" s="51"/>
      <c r="Y835" s="51"/>
      <c r="Z835" s="51"/>
      <c r="AA835" s="51"/>
      <c r="AB835" s="51"/>
    </row>
    <row r="836" customFormat="false" ht="15.75" hidden="false" customHeight="false" outlineLevel="0" collapsed="false">
      <c r="A836" s="51"/>
      <c r="B836" s="51"/>
      <c r="C836" s="6"/>
      <c r="D836" s="49"/>
      <c r="E836" s="51"/>
      <c r="F836" s="6"/>
      <c r="G836" s="6"/>
      <c r="H836" s="6"/>
      <c r="I836" s="6"/>
      <c r="J836" s="6"/>
      <c r="K836" s="51"/>
      <c r="L836" s="51"/>
      <c r="M836" s="51"/>
      <c r="N836" s="51"/>
      <c r="O836" s="51"/>
      <c r="P836" s="51"/>
      <c r="Q836" s="51"/>
      <c r="R836" s="51"/>
      <c r="S836" s="51"/>
      <c r="T836" s="51"/>
      <c r="U836" s="51"/>
      <c r="V836" s="51"/>
      <c r="W836" s="51"/>
      <c r="X836" s="51"/>
      <c r="Y836" s="51"/>
      <c r="Z836" s="51"/>
      <c r="AA836" s="51"/>
      <c r="AB836" s="51"/>
    </row>
    <row r="837" customFormat="false" ht="15.75" hidden="false" customHeight="false" outlineLevel="0" collapsed="false">
      <c r="A837" s="51"/>
      <c r="B837" s="51"/>
      <c r="C837" s="6"/>
      <c r="D837" s="49"/>
      <c r="E837" s="51"/>
      <c r="F837" s="6"/>
      <c r="G837" s="6"/>
      <c r="H837" s="6"/>
      <c r="I837" s="6"/>
      <c r="J837" s="6"/>
      <c r="K837" s="51"/>
      <c r="L837" s="51"/>
      <c r="M837" s="51"/>
      <c r="N837" s="51"/>
      <c r="O837" s="51"/>
      <c r="P837" s="51"/>
      <c r="Q837" s="51"/>
      <c r="R837" s="51"/>
      <c r="S837" s="51"/>
      <c r="T837" s="51"/>
      <c r="U837" s="51"/>
      <c r="V837" s="51"/>
      <c r="W837" s="51"/>
      <c r="X837" s="51"/>
      <c r="Y837" s="51"/>
      <c r="Z837" s="51"/>
      <c r="AA837" s="51"/>
      <c r="AB837" s="51"/>
    </row>
    <row r="838" customFormat="false" ht="15.75" hidden="false" customHeight="false" outlineLevel="0" collapsed="false">
      <c r="A838" s="51"/>
      <c r="B838" s="51"/>
      <c r="C838" s="6"/>
      <c r="D838" s="49"/>
      <c r="E838" s="51"/>
      <c r="F838" s="6"/>
      <c r="G838" s="6"/>
      <c r="H838" s="6"/>
      <c r="I838" s="6"/>
      <c r="J838" s="6"/>
      <c r="K838" s="51"/>
      <c r="L838" s="51"/>
      <c r="M838" s="51"/>
      <c r="N838" s="51"/>
      <c r="O838" s="51"/>
      <c r="P838" s="51"/>
      <c r="Q838" s="51"/>
      <c r="R838" s="51"/>
      <c r="S838" s="51"/>
      <c r="T838" s="51"/>
      <c r="U838" s="51"/>
      <c r="V838" s="51"/>
      <c r="W838" s="51"/>
      <c r="X838" s="51"/>
      <c r="Y838" s="51"/>
      <c r="Z838" s="51"/>
      <c r="AA838" s="51"/>
      <c r="AB838" s="51"/>
    </row>
    <row r="839" customFormat="false" ht="15.75" hidden="false" customHeight="false" outlineLevel="0" collapsed="false">
      <c r="A839" s="51"/>
      <c r="B839" s="51"/>
      <c r="C839" s="6"/>
      <c r="D839" s="49"/>
      <c r="E839" s="51"/>
      <c r="F839" s="6"/>
      <c r="G839" s="6"/>
      <c r="H839" s="6"/>
      <c r="I839" s="6"/>
      <c r="J839" s="6"/>
      <c r="K839" s="51"/>
      <c r="L839" s="51"/>
      <c r="M839" s="51"/>
      <c r="N839" s="51"/>
      <c r="O839" s="51"/>
      <c r="P839" s="51"/>
      <c r="Q839" s="51"/>
      <c r="R839" s="51"/>
      <c r="S839" s="51"/>
      <c r="T839" s="51"/>
      <c r="U839" s="51"/>
      <c r="V839" s="51"/>
      <c r="W839" s="51"/>
      <c r="X839" s="51"/>
      <c r="Y839" s="51"/>
      <c r="Z839" s="51"/>
      <c r="AA839" s="51"/>
      <c r="AB839" s="51"/>
    </row>
    <row r="840" customFormat="false" ht="15.75" hidden="false" customHeight="false" outlineLevel="0" collapsed="false">
      <c r="A840" s="51"/>
      <c r="B840" s="51"/>
      <c r="C840" s="6"/>
      <c r="D840" s="49"/>
      <c r="E840" s="51"/>
      <c r="F840" s="6"/>
      <c r="G840" s="6"/>
      <c r="H840" s="6"/>
      <c r="I840" s="6"/>
      <c r="J840" s="6"/>
      <c r="K840" s="51"/>
      <c r="L840" s="51"/>
      <c r="M840" s="51"/>
      <c r="N840" s="51"/>
      <c r="O840" s="51"/>
      <c r="P840" s="51"/>
      <c r="Q840" s="51"/>
      <c r="R840" s="51"/>
      <c r="S840" s="51"/>
      <c r="T840" s="51"/>
      <c r="U840" s="51"/>
      <c r="V840" s="51"/>
      <c r="W840" s="51"/>
      <c r="X840" s="51"/>
      <c r="Y840" s="51"/>
      <c r="Z840" s="51"/>
      <c r="AA840" s="51"/>
      <c r="AB840" s="51"/>
    </row>
    <row r="841" customFormat="false" ht="15.75" hidden="false" customHeight="false" outlineLevel="0" collapsed="false">
      <c r="A841" s="51"/>
      <c r="B841" s="51"/>
      <c r="C841" s="6"/>
      <c r="D841" s="49"/>
      <c r="E841" s="51"/>
      <c r="F841" s="6"/>
      <c r="G841" s="6"/>
      <c r="H841" s="6"/>
      <c r="I841" s="6"/>
      <c r="J841" s="6"/>
      <c r="K841" s="51"/>
      <c r="L841" s="51"/>
      <c r="M841" s="51"/>
      <c r="N841" s="51"/>
      <c r="O841" s="51"/>
      <c r="P841" s="51"/>
      <c r="Q841" s="51"/>
      <c r="R841" s="51"/>
      <c r="S841" s="51"/>
      <c r="T841" s="51"/>
      <c r="U841" s="51"/>
      <c r="V841" s="51"/>
      <c r="W841" s="51"/>
      <c r="X841" s="51"/>
      <c r="Y841" s="51"/>
      <c r="Z841" s="51"/>
      <c r="AA841" s="51"/>
      <c r="AB841" s="51"/>
    </row>
    <row r="842" customFormat="false" ht="15.75" hidden="false" customHeight="false" outlineLevel="0" collapsed="false">
      <c r="A842" s="51"/>
      <c r="B842" s="51"/>
      <c r="C842" s="6"/>
      <c r="D842" s="49"/>
      <c r="E842" s="51"/>
      <c r="F842" s="6"/>
      <c r="G842" s="6"/>
      <c r="H842" s="6"/>
      <c r="I842" s="6"/>
      <c r="J842" s="6"/>
      <c r="K842" s="51"/>
      <c r="L842" s="51"/>
      <c r="M842" s="51"/>
      <c r="N842" s="51"/>
      <c r="O842" s="51"/>
      <c r="P842" s="51"/>
      <c r="Q842" s="51"/>
      <c r="R842" s="51"/>
      <c r="S842" s="51"/>
      <c r="T842" s="51"/>
      <c r="U842" s="51"/>
      <c r="V842" s="51"/>
      <c r="W842" s="51"/>
      <c r="X842" s="51"/>
      <c r="Y842" s="51"/>
      <c r="Z842" s="51"/>
      <c r="AA842" s="51"/>
      <c r="AB842" s="51"/>
    </row>
    <row r="843" customFormat="false" ht="15.75" hidden="false" customHeight="false" outlineLevel="0" collapsed="false">
      <c r="A843" s="51"/>
      <c r="B843" s="51"/>
      <c r="C843" s="6"/>
      <c r="D843" s="49"/>
      <c r="E843" s="51"/>
      <c r="F843" s="6"/>
      <c r="G843" s="6"/>
      <c r="H843" s="6"/>
      <c r="I843" s="6"/>
      <c r="J843" s="6"/>
      <c r="K843" s="51"/>
      <c r="L843" s="51"/>
      <c r="M843" s="51"/>
      <c r="N843" s="51"/>
      <c r="O843" s="51"/>
      <c r="P843" s="51"/>
      <c r="Q843" s="51"/>
      <c r="R843" s="51"/>
      <c r="S843" s="51"/>
      <c r="T843" s="51"/>
      <c r="U843" s="51"/>
      <c r="V843" s="51"/>
      <c r="W843" s="51"/>
      <c r="X843" s="51"/>
      <c r="Y843" s="51"/>
      <c r="Z843" s="51"/>
      <c r="AA843" s="51"/>
      <c r="AB843" s="51"/>
    </row>
    <row r="844" customFormat="false" ht="15.75" hidden="false" customHeight="false" outlineLevel="0" collapsed="false">
      <c r="A844" s="51"/>
      <c r="B844" s="51"/>
      <c r="C844" s="6"/>
      <c r="D844" s="49"/>
      <c r="E844" s="51"/>
      <c r="F844" s="6"/>
      <c r="G844" s="6"/>
      <c r="H844" s="6"/>
      <c r="I844" s="6"/>
      <c r="J844" s="6"/>
      <c r="K844" s="51"/>
      <c r="L844" s="51"/>
      <c r="M844" s="51"/>
      <c r="N844" s="51"/>
      <c r="O844" s="51"/>
      <c r="P844" s="51"/>
      <c r="Q844" s="51"/>
      <c r="R844" s="51"/>
      <c r="S844" s="51"/>
      <c r="T844" s="51"/>
      <c r="U844" s="51"/>
      <c r="V844" s="51"/>
      <c r="W844" s="51"/>
      <c r="X844" s="51"/>
      <c r="Y844" s="51"/>
      <c r="Z844" s="51"/>
      <c r="AA844" s="51"/>
      <c r="AB844" s="51"/>
    </row>
    <row r="845" customFormat="false" ht="15.75" hidden="false" customHeight="false" outlineLevel="0" collapsed="false">
      <c r="A845" s="51"/>
      <c r="B845" s="51"/>
      <c r="C845" s="6"/>
      <c r="D845" s="49"/>
      <c r="E845" s="51"/>
      <c r="F845" s="6"/>
      <c r="G845" s="6"/>
      <c r="H845" s="6"/>
      <c r="I845" s="6"/>
      <c r="J845" s="6"/>
      <c r="K845" s="51"/>
      <c r="L845" s="51"/>
      <c r="M845" s="51"/>
      <c r="N845" s="51"/>
      <c r="O845" s="51"/>
      <c r="P845" s="51"/>
      <c r="Q845" s="51"/>
      <c r="R845" s="51"/>
      <c r="S845" s="51"/>
      <c r="T845" s="51"/>
      <c r="U845" s="51"/>
      <c r="V845" s="51"/>
      <c r="W845" s="51"/>
      <c r="X845" s="51"/>
      <c r="Y845" s="51"/>
      <c r="Z845" s="51"/>
      <c r="AA845" s="51"/>
      <c r="AB845" s="51"/>
    </row>
    <row r="846" customFormat="false" ht="15.75" hidden="false" customHeight="false" outlineLevel="0" collapsed="false">
      <c r="A846" s="51"/>
      <c r="B846" s="51"/>
      <c r="C846" s="6"/>
      <c r="D846" s="49"/>
      <c r="E846" s="51"/>
      <c r="F846" s="6"/>
      <c r="G846" s="6"/>
      <c r="H846" s="6"/>
      <c r="I846" s="6"/>
      <c r="J846" s="6"/>
      <c r="K846" s="51"/>
      <c r="L846" s="51"/>
      <c r="M846" s="51"/>
      <c r="N846" s="51"/>
      <c r="O846" s="51"/>
      <c r="P846" s="51"/>
      <c r="Q846" s="51"/>
      <c r="R846" s="51"/>
      <c r="S846" s="51"/>
      <c r="T846" s="51"/>
      <c r="U846" s="51"/>
      <c r="V846" s="51"/>
      <c r="W846" s="51"/>
      <c r="X846" s="51"/>
      <c r="Y846" s="51"/>
      <c r="Z846" s="51"/>
      <c r="AA846" s="51"/>
      <c r="AB846" s="51"/>
    </row>
    <row r="847" customFormat="false" ht="15.75" hidden="false" customHeight="false" outlineLevel="0" collapsed="false">
      <c r="A847" s="51"/>
      <c r="B847" s="51"/>
      <c r="C847" s="6"/>
      <c r="D847" s="49"/>
      <c r="E847" s="51"/>
      <c r="F847" s="6"/>
      <c r="G847" s="6"/>
      <c r="H847" s="6"/>
      <c r="I847" s="6"/>
      <c r="J847" s="6"/>
      <c r="K847" s="51"/>
      <c r="L847" s="51"/>
      <c r="M847" s="51"/>
      <c r="N847" s="51"/>
      <c r="O847" s="51"/>
      <c r="P847" s="51"/>
      <c r="Q847" s="51"/>
      <c r="R847" s="51"/>
      <c r="S847" s="51"/>
      <c r="T847" s="51"/>
      <c r="U847" s="51"/>
      <c r="V847" s="51"/>
      <c r="W847" s="51"/>
      <c r="X847" s="51"/>
      <c r="Y847" s="51"/>
      <c r="Z847" s="51"/>
      <c r="AA847" s="51"/>
      <c r="AB847" s="51"/>
    </row>
    <row r="848" customFormat="false" ht="15.75" hidden="false" customHeight="false" outlineLevel="0" collapsed="false">
      <c r="A848" s="51"/>
      <c r="B848" s="51"/>
      <c r="C848" s="6"/>
      <c r="D848" s="49"/>
      <c r="E848" s="51"/>
      <c r="F848" s="6"/>
      <c r="G848" s="6"/>
      <c r="H848" s="6"/>
      <c r="I848" s="6"/>
      <c r="J848" s="6"/>
      <c r="K848" s="51"/>
      <c r="L848" s="51"/>
      <c r="M848" s="51"/>
      <c r="N848" s="51"/>
      <c r="O848" s="51"/>
      <c r="P848" s="51"/>
      <c r="Q848" s="51"/>
      <c r="R848" s="51"/>
      <c r="S848" s="51"/>
      <c r="T848" s="51"/>
      <c r="U848" s="51"/>
      <c r="V848" s="51"/>
      <c r="W848" s="51"/>
      <c r="X848" s="51"/>
      <c r="Y848" s="51"/>
      <c r="Z848" s="51"/>
      <c r="AA848" s="51"/>
      <c r="AB848" s="51"/>
    </row>
    <row r="849" customFormat="false" ht="15.75" hidden="false" customHeight="false" outlineLevel="0" collapsed="false">
      <c r="A849" s="51"/>
      <c r="B849" s="51"/>
      <c r="C849" s="6"/>
      <c r="D849" s="49"/>
      <c r="E849" s="51"/>
      <c r="F849" s="6"/>
      <c r="G849" s="6"/>
      <c r="H849" s="6"/>
      <c r="I849" s="6"/>
      <c r="J849" s="6"/>
      <c r="K849" s="51"/>
      <c r="L849" s="51"/>
      <c r="M849" s="51"/>
      <c r="N849" s="51"/>
      <c r="O849" s="51"/>
      <c r="P849" s="51"/>
      <c r="Q849" s="51"/>
      <c r="R849" s="51"/>
      <c r="S849" s="51"/>
      <c r="T849" s="51"/>
      <c r="U849" s="51"/>
      <c r="V849" s="51"/>
      <c r="W849" s="51"/>
      <c r="X849" s="51"/>
      <c r="Y849" s="51"/>
      <c r="Z849" s="51"/>
      <c r="AA849" s="51"/>
      <c r="AB849" s="51"/>
    </row>
    <row r="850" customFormat="false" ht="15.75" hidden="false" customHeight="false" outlineLevel="0" collapsed="false">
      <c r="A850" s="51"/>
      <c r="B850" s="51"/>
      <c r="C850" s="6"/>
      <c r="D850" s="49"/>
      <c r="E850" s="51"/>
      <c r="F850" s="6"/>
      <c r="G850" s="6"/>
      <c r="H850" s="6"/>
      <c r="I850" s="6"/>
      <c r="J850" s="6"/>
      <c r="K850" s="51"/>
      <c r="L850" s="51"/>
      <c r="M850" s="51"/>
      <c r="N850" s="51"/>
      <c r="O850" s="51"/>
      <c r="P850" s="51"/>
      <c r="Q850" s="51"/>
      <c r="R850" s="51"/>
      <c r="S850" s="51"/>
      <c r="T850" s="51"/>
      <c r="U850" s="51"/>
      <c r="V850" s="51"/>
      <c r="W850" s="51"/>
      <c r="X850" s="51"/>
      <c r="Y850" s="51"/>
      <c r="Z850" s="51"/>
      <c r="AA850" s="51"/>
      <c r="AB850" s="51"/>
    </row>
    <row r="851" customFormat="false" ht="15.75" hidden="false" customHeight="false" outlineLevel="0" collapsed="false">
      <c r="A851" s="51"/>
      <c r="B851" s="51"/>
      <c r="C851" s="6"/>
      <c r="D851" s="49"/>
      <c r="E851" s="51"/>
      <c r="F851" s="6"/>
      <c r="G851" s="6"/>
      <c r="H851" s="6"/>
      <c r="I851" s="6"/>
      <c r="J851" s="6"/>
      <c r="K851" s="51"/>
      <c r="L851" s="51"/>
      <c r="M851" s="51"/>
      <c r="N851" s="51"/>
      <c r="O851" s="51"/>
      <c r="P851" s="51"/>
      <c r="Q851" s="51"/>
      <c r="R851" s="51"/>
      <c r="S851" s="51"/>
      <c r="T851" s="51"/>
      <c r="U851" s="51"/>
      <c r="V851" s="51"/>
      <c r="W851" s="51"/>
      <c r="X851" s="51"/>
      <c r="Y851" s="51"/>
      <c r="Z851" s="51"/>
      <c r="AA851" s="51"/>
      <c r="AB851" s="51"/>
    </row>
    <row r="852" customFormat="false" ht="15.75" hidden="false" customHeight="false" outlineLevel="0" collapsed="false">
      <c r="A852" s="51"/>
      <c r="B852" s="51"/>
      <c r="C852" s="6"/>
      <c r="D852" s="49"/>
      <c r="E852" s="51"/>
      <c r="F852" s="6"/>
      <c r="G852" s="6"/>
      <c r="H852" s="6"/>
      <c r="I852" s="6"/>
      <c r="J852" s="6"/>
      <c r="K852" s="51"/>
      <c r="L852" s="51"/>
      <c r="M852" s="51"/>
      <c r="N852" s="51"/>
      <c r="O852" s="51"/>
      <c r="P852" s="51"/>
      <c r="Q852" s="51"/>
      <c r="R852" s="51"/>
      <c r="S852" s="51"/>
      <c r="T852" s="51"/>
      <c r="U852" s="51"/>
      <c r="V852" s="51"/>
      <c r="W852" s="51"/>
      <c r="X852" s="51"/>
      <c r="Y852" s="51"/>
      <c r="Z852" s="51"/>
      <c r="AA852" s="51"/>
      <c r="AB852" s="51"/>
    </row>
    <row r="853" customFormat="false" ht="15.75" hidden="false" customHeight="false" outlineLevel="0" collapsed="false">
      <c r="A853" s="51"/>
      <c r="B853" s="51"/>
      <c r="C853" s="6"/>
      <c r="D853" s="49"/>
      <c r="E853" s="51"/>
      <c r="F853" s="6"/>
      <c r="G853" s="6"/>
      <c r="H853" s="6"/>
      <c r="I853" s="6"/>
      <c r="J853" s="6"/>
      <c r="K853" s="51"/>
      <c r="L853" s="51"/>
      <c r="M853" s="51"/>
      <c r="N853" s="51"/>
      <c r="O853" s="51"/>
      <c r="P853" s="51"/>
      <c r="Q853" s="51"/>
      <c r="R853" s="51"/>
      <c r="S853" s="51"/>
      <c r="T853" s="51"/>
      <c r="U853" s="51"/>
      <c r="V853" s="51"/>
      <c r="W853" s="51"/>
      <c r="X853" s="51"/>
      <c r="Y853" s="51"/>
      <c r="Z853" s="51"/>
      <c r="AA853" s="51"/>
      <c r="AB853" s="51"/>
    </row>
    <row r="854" customFormat="false" ht="15.75" hidden="false" customHeight="false" outlineLevel="0" collapsed="false">
      <c r="A854" s="51"/>
      <c r="B854" s="51"/>
      <c r="C854" s="6"/>
      <c r="D854" s="49"/>
      <c r="E854" s="51"/>
      <c r="F854" s="6"/>
      <c r="G854" s="6"/>
      <c r="H854" s="6"/>
      <c r="I854" s="6"/>
      <c r="J854" s="6"/>
      <c r="K854" s="51"/>
      <c r="L854" s="51"/>
      <c r="M854" s="51"/>
      <c r="N854" s="51"/>
      <c r="O854" s="51"/>
      <c r="P854" s="51"/>
      <c r="Q854" s="51"/>
      <c r="R854" s="51"/>
      <c r="S854" s="51"/>
      <c r="T854" s="51"/>
      <c r="U854" s="51"/>
      <c r="V854" s="51"/>
      <c r="W854" s="51"/>
      <c r="X854" s="51"/>
      <c r="Y854" s="51"/>
      <c r="Z854" s="51"/>
      <c r="AA854" s="51"/>
      <c r="AB854" s="51"/>
    </row>
    <row r="855" customFormat="false" ht="15.75" hidden="false" customHeight="false" outlineLevel="0" collapsed="false">
      <c r="A855" s="51"/>
      <c r="B855" s="51"/>
      <c r="C855" s="6"/>
      <c r="D855" s="49"/>
      <c r="E855" s="51"/>
      <c r="F855" s="6"/>
      <c r="G855" s="6"/>
      <c r="H855" s="6"/>
      <c r="I855" s="6"/>
      <c r="J855" s="6"/>
      <c r="K855" s="51"/>
      <c r="L855" s="51"/>
      <c r="M855" s="51"/>
      <c r="N855" s="51"/>
      <c r="O855" s="51"/>
      <c r="P855" s="51"/>
      <c r="Q855" s="51"/>
      <c r="R855" s="51"/>
      <c r="S855" s="51"/>
      <c r="T855" s="51"/>
      <c r="U855" s="51"/>
      <c r="V855" s="51"/>
      <c r="W855" s="51"/>
      <c r="X855" s="51"/>
      <c r="Y855" s="51"/>
      <c r="Z855" s="51"/>
      <c r="AA855" s="51"/>
      <c r="AB855" s="51"/>
    </row>
    <row r="856" customFormat="false" ht="15.75" hidden="false" customHeight="false" outlineLevel="0" collapsed="false">
      <c r="A856" s="51"/>
      <c r="B856" s="51"/>
      <c r="C856" s="6"/>
      <c r="D856" s="49"/>
      <c r="E856" s="51"/>
      <c r="F856" s="6"/>
      <c r="G856" s="6"/>
      <c r="H856" s="6"/>
      <c r="I856" s="6"/>
      <c r="J856" s="6"/>
      <c r="K856" s="51"/>
      <c r="L856" s="51"/>
      <c r="M856" s="51"/>
      <c r="N856" s="51"/>
      <c r="O856" s="51"/>
      <c r="P856" s="51"/>
      <c r="Q856" s="51"/>
      <c r="R856" s="51"/>
      <c r="S856" s="51"/>
      <c r="T856" s="51"/>
      <c r="U856" s="51"/>
      <c r="V856" s="51"/>
      <c r="W856" s="51"/>
      <c r="X856" s="51"/>
      <c r="Y856" s="51"/>
      <c r="Z856" s="51"/>
      <c r="AA856" s="51"/>
      <c r="AB856" s="51"/>
    </row>
    <row r="857" customFormat="false" ht="15.75" hidden="false" customHeight="false" outlineLevel="0" collapsed="false">
      <c r="A857" s="51"/>
      <c r="B857" s="51"/>
      <c r="C857" s="6"/>
      <c r="D857" s="49"/>
      <c r="E857" s="51"/>
      <c r="F857" s="6"/>
      <c r="G857" s="6"/>
      <c r="H857" s="6"/>
      <c r="I857" s="6"/>
      <c r="J857" s="6"/>
      <c r="K857" s="51"/>
      <c r="L857" s="51"/>
      <c r="M857" s="51"/>
      <c r="N857" s="51"/>
      <c r="O857" s="51"/>
      <c r="P857" s="51"/>
      <c r="Q857" s="51"/>
      <c r="R857" s="51"/>
      <c r="S857" s="51"/>
      <c r="T857" s="51"/>
      <c r="U857" s="51"/>
      <c r="V857" s="51"/>
      <c r="W857" s="51"/>
      <c r="X857" s="51"/>
      <c r="Y857" s="51"/>
      <c r="Z857" s="51"/>
      <c r="AA857" s="51"/>
      <c r="AB857" s="51"/>
    </row>
    <row r="858" customFormat="false" ht="15.75" hidden="false" customHeight="false" outlineLevel="0" collapsed="false">
      <c r="A858" s="51"/>
      <c r="B858" s="51"/>
      <c r="C858" s="6"/>
      <c r="D858" s="49"/>
      <c r="E858" s="51"/>
      <c r="F858" s="6"/>
      <c r="G858" s="6"/>
      <c r="H858" s="6"/>
      <c r="I858" s="6"/>
      <c r="J858" s="6"/>
      <c r="K858" s="51"/>
      <c r="L858" s="51"/>
      <c r="M858" s="51"/>
      <c r="N858" s="51"/>
      <c r="O858" s="51"/>
      <c r="P858" s="51"/>
      <c r="Q858" s="51"/>
      <c r="R858" s="51"/>
      <c r="S858" s="51"/>
      <c r="T858" s="51"/>
      <c r="U858" s="51"/>
      <c r="V858" s="51"/>
      <c r="W858" s="51"/>
      <c r="X858" s="51"/>
      <c r="Y858" s="51"/>
      <c r="Z858" s="51"/>
      <c r="AA858" s="51"/>
      <c r="AB858" s="51"/>
    </row>
    <row r="859" customFormat="false" ht="15.75" hidden="false" customHeight="false" outlineLevel="0" collapsed="false">
      <c r="A859" s="51"/>
      <c r="B859" s="51"/>
      <c r="C859" s="6"/>
      <c r="D859" s="49"/>
      <c r="E859" s="51"/>
      <c r="F859" s="6"/>
      <c r="G859" s="6"/>
      <c r="H859" s="6"/>
      <c r="I859" s="6"/>
      <c r="J859" s="6"/>
      <c r="K859" s="51"/>
      <c r="L859" s="51"/>
      <c r="M859" s="51"/>
      <c r="N859" s="51"/>
      <c r="O859" s="51"/>
      <c r="P859" s="51"/>
      <c r="Q859" s="51"/>
      <c r="R859" s="51"/>
      <c r="S859" s="51"/>
      <c r="T859" s="51"/>
      <c r="U859" s="51"/>
      <c r="V859" s="51"/>
      <c r="W859" s="51"/>
      <c r="X859" s="51"/>
      <c r="Y859" s="51"/>
      <c r="Z859" s="51"/>
      <c r="AA859" s="51"/>
      <c r="AB859" s="51"/>
    </row>
    <row r="860" customFormat="false" ht="15.75" hidden="false" customHeight="false" outlineLevel="0" collapsed="false">
      <c r="A860" s="51"/>
      <c r="B860" s="51"/>
      <c r="C860" s="6"/>
      <c r="D860" s="49"/>
      <c r="E860" s="51"/>
      <c r="F860" s="6"/>
      <c r="G860" s="6"/>
      <c r="H860" s="6"/>
      <c r="I860" s="6"/>
      <c r="J860" s="6"/>
      <c r="K860" s="51"/>
      <c r="L860" s="51"/>
      <c r="M860" s="51"/>
      <c r="N860" s="51"/>
      <c r="O860" s="51"/>
      <c r="P860" s="51"/>
      <c r="Q860" s="51"/>
      <c r="R860" s="51"/>
      <c r="S860" s="51"/>
      <c r="T860" s="51"/>
      <c r="U860" s="51"/>
      <c r="V860" s="51"/>
      <c r="W860" s="51"/>
      <c r="X860" s="51"/>
      <c r="Y860" s="51"/>
      <c r="Z860" s="51"/>
      <c r="AA860" s="51"/>
      <c r="AB860" s="51"/>
    </row>
    <row r="861" customFormat="false" ht="15.75" hidden="false" customHeight="false" outlineLevel="0" collapsed="false">
      <c r="A861" s="51"/>
      <c r="B861" s="51"/>
      <c r="C861" s="6"/>
      <c r="D861" s="49"/>
      <c r="E861" s="51"/>
      <c r="F861" s="6"/>
      <c r="G861" s="6"/>
      <c r="H861" s="6"/>
      <c r="I861" s="6"/>
      <c r="J861" s="6"/>
      <c r="K861" s="51"/>
      <c r="L861" s="51"/>
      <c r="M861" s="51"/>
      <c r="N861" s="51"/>
      <c r="O861" s="51"/>
      <c r="P861" s="51"/>
      <c r="Q861" s="51"/>
      <c r="R861" s="51"/>
      <c r="S861" s="51"/>
      <c r="T861" s="51"/>
      <c r="U861" s="51"/>
      <c r="V861" s="51"/>
      <c r="W861" s="51"/>
      <c r="X861" s="51"/>
      <c r="Y861" s="51"/>
      <c r="Z861" s="51"/>
      <c r="AA861" s="51"/>
      <c r="AB861" s="51"/>
    </row>
    <row r="862" customFormat="false" ht="15.75" hidden="false" customHeight="false" outlineLevel="0" collapsed="false">
      <c r="A862" s="51"/>
      <c r="B862" s="51"/>
      <c r="C862" s="6"/>
      <c r="D862" s="49"/>
      <c r="E862" s="51"/>
      <c r="F862" s="6"/>
      <c r="G862" s="6"/>
      <c r="H862" s="6"/>
      <c r="I862" s="6"/>
      <c r="J862" s="6"/>
      <c r="K862" s="51"/>
      <c r="L862" s="51"/>
      <c r="M862" s="51"/>
      <c r="N862" s="51"/>
      <c r="O862" s="51"/>
      <c r="P862" s="51"/>
      <c r="Q862" s="51"/>
      <c r="R862" s="51"/>
      <c r="S862" s="51"/>
      <c r="T862" s="51"/>
      <c r="U862" s="51"/>
      <c r="V862" s="51"/>
      <c r="W862" s="51"/>
      <c r="X862" s="51"/>
      <c r="Y862" s="51"/>
      <c r="Z862" s="51"/>
      <c r="AA862" s="51"/>
      <c r="AB862" s="51"/>
    </row>
    <row r="863" customFormat="false" ht="15.75" hidden="false" customHeight="false" outlineLevel="0" collapsed="false">
      <c r="A863" s="51"/>
      <c r="B863" s="51"/>
      <c r="C863" s="6"/>
      <c r="D863" s="49"/>
      <c r="E863" s="51"/>
      <c r="F863" s="6"/>
      <c r="G863" s="6"/>
      <c r="H863" s="6"/>
      <c r="I863" s="6"/>
      <c r="J863" s="6"/>
      <c r="K863" s="51"/>
      <c r="L863" s="51"/>
      <c r="M863" s="51"/>
      <c r="N863" s="51"/>
      <c r="O863" s="51"/>
      <c r="P863" s="51"/>
      <c r="Q863" s="51"/>
      <c r="R863" s="51"/>
      <c r="S863" s="51"/>
      <c r="T863" s="51"/>
      <c r="U863" s="51"/>
      <c r="V863" s="51"/>
      <c r="W863" s="51"/>
      <c r="X863" s="51"/>
      <c r="Y863" s="51"/>
      <c r="Z863" s="51"/>
      <c r="AA863" s="51"/>
      <c r="AB863" s="51"/>
    </row>
    <row r="864" customFormat="false" ht="15.75" hidden="false" customHeight="false" outlineLevel="0" collapsed="false">
      <c r="A864" s="51"/>
      <c r="B864" s="51"/>
      <c r="C864" s="6"/>
      <c r="D864" s="49"/>
      <c r="E864" s="51"/>
      <c r="F864" s="6"/>
      <c r="G864" s="6"/>
      <c r="H864" s="6"/>
      <c r="I864" s="6"/>
      <c r="J864" s="6"/>
      <c r="K864" s="51"/>
      <c r="L864" s="51"/>
      <c r="M864" s="51"/>
      <c r="N864" s="51"/>
      <c r="O864" s="51"/>
      <c r="P864" s="51"/>
      <c r="Q864" s="51"/>
      <c r="R864" s="51"/>
      <c r="S864" s="51"/>
      <c r="T864" s="51"/>
      <c r="U864" s="51"/>
      <c r="V864" s="51"/>
      <c r="W864" s="51"/>
      <c r="X864" s="51"/>
      <c r="Y864" s="51"/>
      <c r="Z864" s="51"/>
      <c r="AA864" s="51"/>
      <c r="AB864" s="51"/>
    </row>
    <row r="865" customFormat="false" ht="15.75" hidden="false" customHeight="false" outlineLevel="0" collapsed="false">
      <c r="A865" s="51"/>
      <c r="B865" s="51"/>
      <c r="C865" s="6"/>
      <c r="D865" s="49"/>
      <c r="E865" s="51"/>
      <c r="F865" s="6"/>
      <c r="G865" s="6"/>
      <c r="H865" s="6"/>
      <c r="I865" s="6"/>
      <c r="J865" s="6"/>
      <c r="K865" s="51"/>
      <c r="L865" s="51"/>
      <c r="M865" s="51"/>
      <c r="N865" s="51"/>
      <c r="O865" s="51"/>
      <c r="P865" s="51"/>
      <c r="Q865" s="51"/>
      <c r="R865" s="51"/>
      <c r="S865" s="51"/>
      <c r="T865" s="51"/>
      <c r="U865" s="51"/>
      <c r="V865" s="51"/>
      <c r="W865" s="51"/>
      <c r="X865" s="51"/>
      <c r="Y865" s="51"/>
      <c r="Z865" s="51"/>
      <c r="AA865" s="51"/>
      <c r="AB865" s="51"/>
    </row>
    <row r="866" customFormat="false" ht="15.75" hidden="false" customHeight="false" outlineLevel="0" collapsed="false">
      <c r="A866" s="51"/>
      <c r="B866" s="51"/>
      <c r="C866" s="6"/>
      <c r="D866" s="49"/>
      <c r="E866" s="51"/>
      <c r="F866" s="6"/>
      <c r="G866" s="6"/>
      <c r="H866" s="6"/>
      <c r="I866" s="6"/>
      <c r="J866" s="6"/>
      <c r="K866" s="51"/>
      <c r="L866" s="51"/>
      <c r="M866" s="51"/>
      <c r="N866" s="51"/>
      <c r="O866" s="51"/>
      <c r="P866" s="51"/>
      <c r="Q866" s="51"/>
      <c r="R866" s="51"/>
      <c r="S866" s="51"/>
      <c r="T866" s="51"/>
      <c r="U866" s="51"/>
      <c r="V866" s="51"/>
      <c r="W866" s="51"/>
      <c r="X866" s="51"/>
      <c r="Y866" s="51"/>
      <c r="Z866" s="51"/>
      <c r="AA866" s="51"/>
      <c r="AB866" s="51"/>
    </row>
    <row r="867" customFormat="false" ht="15.75" hidden="false" customHeight="false" outlineLevel="0" collapsed="false">
      <c r="A867" s="51"/>
      <c r="B867" s="51"/>
      <c r="C867" s="6"/>
      <c r="D867" s="49"/>
      <c r="E867" s="51"/>
      <c r="F867" s="6"/>
      <c r="G867" s="6"/>
      <c r="H867" s="6"/>
      <c r="I867" s="6"/>
      <c r="J867" s="6"/>
      <c r="K867" s="51"/>
      <c r="L867" s="51"/>
      <c r="M867" s="51"/>
      <c r="N867" s="51"/>
      <c r="O867" s="51"/>
      <c r="P867" s="51"/>
      <c r="Q867" s="51"/>
      <c r="R867" s="51"/>
      <c r="S867" s="51"/>
      <c r="T867" s="51"/>
      <c r="U867" s="51"/>
      <c r="V867" s="51"/>
      <c r="W867" s="51"/>
      <c r="X867" s="51"/>
      <c r="Y867" s="51"/>
      <c r="Z867" s="51"/>
      <c r="AA867" s="51"/>
      <c r="AB867" s="51"/>
    </row>
    <row r="868" customFormat="false" ht="15.75" hidden="false" customHeight="false" outlineLevel="0" collapsed="false">
      <c r="A868" s="51"/>
      <c r="B868" s="51"/>
      <c r="C868" s="6"/>
      <c r="D868" s="49"/>
      <c r="E868" s="51"/>
      <c r="F868" s="6"/>
      <c r="G868" s="6"/>
      <c r="H868" s="6"/>
      <c r="I868" s="6"/>
      <c r="J868" s="6"/>
      <c r="K868" s="51"/>
      <c r="L868" s="51"/>
      <c r="M868" s="51"/>
      <c r="N868" s="51"/>
      <c r="O868" s="51"/>
      <c r="P868" s="51"/>
      <c r="Q868" s="51"/>
      <c r="R868" s="51"/>
      <c r="S868" s="51"/>
      <c r="T868" s="51"/>
      <c r="U868" s="51"/>
      <c r="V868" s="51"/>
      <c r="W868" s="51"/>
      <c r="X868" s="51"/>
      <c r="Y868" s="51"/>
      <c r="Z868" s="51"/>
      <c r="AA868" s="51"/>
      <c r="AB868" s="51"/>
    </row>
    <row r="869" customFormat="false" ht="15.75" hidden="false" customHeight="false" outlineLevel="0" collapsed="false">
      <c r="A869" s="51"/>
      <c r="B869" s="51"/>
      <c r="C869" s="6"/>
      <c r="D869" s="49"/>
      <c r="E869" s="51"/>
      <c r="F869" s="6"/>
      <c r="G869" s="6"/>
      <c r="H869" s="6"/>
      <c r="I869" s="6"/>
      <c r="J869" s="6"/>
      <c r="K869" s="51"/>
      <c r="L869" s="51"/>
      <c r="M869" s="51"/>
      <c r="N869" s="51"/>
      <c r="O869" s="51"/>
      <c r="P869" s="51"/>
      <c r="Q869" s="51"/>
      <c r="R869" s="51"/>
      <c r="S869" s="51"/>
      <c r="T869" s="51"/>
      <c r="U869" s="51"/>
      <c r="V869" s="51"/>
      <c r="W869" s="51"/>
      <c r="X869" s="51"/>
      <c r="Y869" s="51"/>
      <c r="Z869" s="51"/>
      <c r="AA869" s="51"/>
      <c r="AB869" s="51"/>
    </row>
    <row r="870" customFormat="false" ht="15.75" hidden="false" customHeight="false" outlineLevel="0" collapsed="false">
      <c r="A870" s="51"/>
      <c r="B870" s="51"/>
      <c r="C870" s="6"/>
      <c r="D870" s="49"/>
      <c r="E870" s="51"/>
      <c r="F870" s="6"/>
      <c r="G870" s="6"/>
      <c r="H870" s="6"/>
      <c r="I870" s="6"/>
      <c r="J870" s="6"/>
      <c r="K870" s="51"/>
      <c r="L870" s="51"/>
      <c r="M870" s="51"/>
      <c r="N870" s="51"/>
      <c r="O870" s="51"/>
      <c r="P870" s="51"/>
      <c r="Q870" s="51"/>
      <c r="R870" s="51"/>
      <c r="S870" s="51"/>
      <c r="T870" s="51"/>
      <c r="U870" s="51"/>
      <c r="V870" s="51"/>
      <c r="W870" s="51"/>
      <c r="X870" s="51"/>
      <c r="Y870" s="51"/>
      <c r="Z870" s="51"/>
      <c r="AA870" s="51"/>
      <c r="AB870" s="51"/>
    </row>
    <row r="871" customFormat="false" ht="15.75" hidden="false" customHeight="false" outlineLevel="0" collapsed="false">
      <c r="A871" s="51"/>
      <c r="B871" s="51"/>
      <c r="C871" s="6"/>
      <c r="D871" s="49"/>
      <c r="E871" s="51"/>
      <c r="F871" s="6"/>
      <c r="G871" s="6"/>
      <c r="H871" s="6"/>
      <c r="I871" s="6"/>
      <c r="J871" s="6"/>
      <c r="K871" s="51"/>
      <c r="L871" s="51"/>
      <c r="M871" s="51"/>
      <c r="N871" s="51"/>
      <c r="O871" s="51"/>
      <c r="P871" s="51"/>
      <c r="Q871" s="51"/>
      <c r="R871" s="51"/>
      <c r="S871" s="51"/>
      <c r="T871" s="51"/>
      <c r="U871" s="51"/>
      <c r="V871" s="51"/>
      <c r="W871" s="51"/>
      <c r="X871" s="51"/>
      <c r="Y871" s="51"/>
      <c r="Z871" s="51"/>
      <c r="AA871" s="51"/>
      <c r="AB871" s="51"/>
    </row>
    <row r="872" customFormat="false" ht="15.75" hidden="false" customHeight="false" outlineLevel="0" collapsed="false">
      <c r="A872" s="51"/>
      <c r="B872" s="51"/>
      <c r="C872" s="6"/>
      <c r="D872" s="49"/>
      <c r="E872" s="51"/>
      <c r="F872" s="6"/>
      <c r="G872" s="6"/>
      <c r="H872" s="6"/>
      <c r="I872" s="6"/>
      <c r="J872" s="6"/>
      <c r="K872" s="51"/>
      <c r="L872" s="51"/>
      <c r="M872" s="51"/>
      <c r="N872" s="51"/>
      <c r="O872" s="51"/>
      <c r="P872" s="51"/>
      <c r="Q872" s="51"/>
      <c r="R872" s="51"/>
      <c r="S872" s="51"/>
      <c r="T872" s="51"/>
      <c r="U872" s="51"/>
      <c r="V872" s="51"/>
      <c r="W872" s="51"/>
      <c r="X872" s="51"/>
      <c r="Y872" s="51"/>
      <c r="Z872" s="51"/>
      <c r="AA872" s="51"/>
      <c r="AB872" s="51"/>
    </row>
    <row r="873" customFormat="false" ht="15.75" hidden="false" customHeight="false" outlineLevel="0" collapsed="false">
      <c r="A873" s="51"/>
      <c r="B873" s="51"/>
      <c r="C873" s="6"/>
      <c r="D873" s="49"/>
      <c r="E873" s="51"/>
      <c r="F873" s="6"/>
      <c r="G873" s="6"/>
      <c r="H873" s="6"/>
      <c r="I873" s="6"/>
      <c r="J873" s="6"/>
      <c r="K873" s="51"/>
      <c r="L873" s="51"/>
      <c r="M873" s="51"/>
      <c r="N873" s="51"/>
      <c r="O873" s="51"/>
      <c r="P873" s="51"/>
      <c r="Q873" s="51"/>
      <c r="R873" s="51"/>
      <c r="S873" s="51"/>
      <c r="T873" s="51"/>
      <c r="U873" s="51"/>
      <c r="V873" s="51"/>
      <c r="W873" s="51"/>
      <c r="X873" s="51"/>
      <c r="Y873" s="51"/>
      <c r="Z873" s="51"/>
      <c r="AA873" s="51"/>
      <c r="AB873" s="51"/>
    </row>
    <row r="874" customFormat="false" ht="15.75" hidden="false" customHeight="false" outlineLevel="0" collapsed="false">
      <c r="A874" s="51"/>
      <c r="B874" s="51"/>
      <c r="C874" s="6"/>
      <c r="D874" s="49"/>
      <c r="E874" s="51"/>
      <c r="F874" s="6"/>
      <c r="G874" s="6"/>
      <c r="H874" s="6"/>
      <c r="I874" s="6"/>
      <c r="J874" s="6"/>
      <c r="K874" s="51"/>
      <c r="L874" s="51"/>
      <c r="M874" s="51"/>
      <c r="N874" s="51"/>
      <c r="O874" s="51"/>
      <c r="P874" s="51"/>
      <c r="Q874" s="51"/>
      <c r="R874" s="51"/>
      <c r="S874" s="51"/>
      <c r="T874" s="51"/>
      <c r="U874" s="51"/>
      <c r="V874" s="51"/>
      <c r="W874" s="51"/>
      <c r="X874" s="51"/>
      <c r="Y874" s="51"/>
      <c r="Z874" s="51"/>
      <c r="AA874" s="51"/>
      <c r="AB874" s="51"/>
    </row>
    <row r="875" customFormat="false" ht="15.75" hidden="false" customHeight="false" outlineLevel="0" collapsed="false">
      <c r="A875" s="51"/>
      <c r="B875" s="51"/>
      <c r="C875" s="6"/>
      <c r="D875" s="49"/>
      <c r="E875" s="51"/>
      <c r="F875" s="6"/>
      <c r="G875" s="6"/>
      <c r="H875" s="6"/>
      <c r="I875" s="6"/>
      <c r="J875" s="6"/>
      <c r="K875" s="51"/>
      <c r="L875" s="51"/>
      <c r="M875" s="51"/>
      <c r="N875" s="51"/>
      <c r="O875" s="51"/>
      <c r="P875" s="51"/>
      <c r="Q875" s="51"/>
      <c r="R875" s="51"/>
      <c r="S875" s="51"/>
      <c r="T875" s="51"/>
      <c r="U875" s="51"/>
      <c r="V875" s="51"/>
      <c r="W875" s="51"/>
      <c r="X875" s="51"/>
      <c r="Y875" s="51"/>
      <c r="Z875" s="51"/>
      <c r="AA875" s="51"/>
      <c r="AB875" s="51"/>
    </row>
    <row r="876" customFormat="false" ht="15.75" hidden="false" customHeight="false" outlineLevel="0" collapsed="false">
      <c r="A876" s="51"/>
      <c r="B876" s="51"/>
      <c r="C876" s="6"/>
      <c r="D876" s="49"/>
      <c r="E876" s="51"/>
      <c r="F876" s="6"/>
      <c r="G876" s="6"/>
      <c r="H876" s="6"/>
      <c r="I876" s="6"/>
      <c r="J876" s="6"/>
      <c r="K876" s="51"/>
      <c r="L876" s="51"/>
      <c r="M876" s="51"/>
      <c r="N876" s="51"/>
      <c r="O876" s="51"/>
      <c r="P876" s="51"/>
      <c r="Q876" s="51"/>
      <c r="R876" s="51"/>
      <c r="S876" s="51"/>
      <c r="T876" s="51"/>
      <c r="U876" s="51"/>
      <c r="V876" s="51"/>
      <c r="W876" s="51"/>
      <c r="X876" s="51"/>
      <c r="Y876" s="51"/>
      <c r="Z876" s="51"/>
      <c r="AA876" s="51"/>
      <c r="AB876" s="51"/>
    </row>
    <row r="877" customFormat="false" ht="15.75" hidden="false" customHeight="false" outlineLevel="0" collapsed="false">
      <c r="A877" s="51"/>
      <c r="B877" s="51"/>
      <c r="C877" s="6"/>
      <c r="D877" s="49"/>
      <c r="E877" s="51"/>
      <c r="F877" s="6"/>
      <c r="G877" s="6"/>
      <c r="H877" s="6"/>
      <c r="I877" s="6"/>
      <c r="J877" s="6"/>
      <c r="K877" s="51"/>
      <c r="L877" s="51"/>
      <c r="M877" s="51"/>
      <c r="N877" s="51"/>
      <c r="O877" s="51"/>
      <c r="P877" s="51"/>
      <c r="Q877" s="51"/>
      <c r="R877" s="51"/>
      <c r="S877" s="51"/>
      <c r="T877" s="51"/>
      <c r="U877" s="51"/>
      <c r="V877" s="51"/>
      <c r="W877" s="51"/>
      <c r="X877" s="51"/>
      <c r="Y877" s="51"/>
      <c r="Z877" s="51"/>
      <c r="AA877" s="51"/>
      <c r="AB877" s="51"/>
    </row>
    <row r="878" customFormat="false" ht="15.75" hidden="false" customHeight="false" outlineLevel="0" collapsed="false">
      <c r="A878" s="51"/>
      <c r="B878" s="51"/>
      <c r="C878" s="6"/>
      <c r="D878" s="49"/>
      <c r="E878" s="51"/>
      <c r="F878" s="6"/>
      <c r="G878" s="6"/>
      <c r="H878" s="6"/>
      <c r="I878" s="6"/>
      <c r="J878" s="6"/>
      <c r="K878" s="51"/>
      <c r="L878" s="51"/>
      <c r="M878" s="51"/>
      <c r="N878" s="51"/>
      <c r="O878" s="51"/>
      <c r="P878" s="51"/>
      <c r="Q878" s="51"/>
      <c r="R878" s="51"/>
      <c r="S878" s="51"/>
      <c r="T878" s="51"/>
      <c r="U878" s="51"/>
      <c r="V878" s="51"/>
      <c r="W878" s="51"/>
      <c r="X878" s="51"/>
      <c r="Y878" s="51"/>
      <c r="Z878" s="51"/>
      <c r="AA878" s="51"/>
      <c r="AB878" s="51"/>
    </row>
    <row r="879" customFormat="false" ht="15.75" hidden="false" customHeight="false" outlineLevel="0" collapsed="false">
      <c r="A879" s="51"/>
      <c r="B879" s="51"/>
      <c r="C879" s="6"/>
      <c r="D879" s="49"/>
      <c r="E879" s="51"/>
      <c r="F879" s="6"/>
      <c r="G879" s="6"/>
      <c r="H879" s="6"/>
      <c r="I879" s="6"/>
      <c r="J879" s="6"/>
      <c r="K879" s="51"/>
      <c r="L879" s="51"/>
      <c r="M879" s="51"/>
      <c r="N879" s="51"/>
      <c r="O879" s="51"/>
      <c r="P879" s="51"/>
      <c r="Q879" s="51"/>
      <c r="R879" s="51"/>
      <c r="S879" s="51"/>
      <c r="T879" s="51"/>
      <c r="U879" s="51"/>
      <c r="V879" s="51"/>
      <c r="W879" s="51"/>
      <c r="X879" s="51"/>
      <c r="Y879" s="51"/>
      <c r="Z879" s="51"/>
      <c r="AA879" s="51"/>
      <c r="AB879" s="51"/>
    </row>
    <row r="880" customFormat="false" ht="15.75" hidden="false" customHeight="false" outlineLevel="0" collapsed="false">
      <c r="A880" s="51"/>
      <c r="B880" s="51"/>
      <c r="C880" s="6"/>
      <c r="D880" s="49"/>
      <c r="E880" s="51"/>
      <c r="F880" s="6"/>
      <c r="G880" s="6"/>
      <c r="H880" s="6"/>
      <c r="I880" s="6"/>
      <c r="J880" s="6"/>
      <c r="K880" s="51"/>
      <c r="L880" s="51"/>
      <c r="M880" s="51"/>
      <c r="N880" s="51"/>
      <c r="O880" s="51"/>
      <c r="P880" s="51"/>
      <c r="Q880" s="51"/>
      <c r="R880" s="51"/>
      <c r="S880" s="51"/>
      <c r="T880" s="51"/>
      <c r="U880" s="51"/>
      <c r="V880" s="51"/>
      <c r="W880" s="51"/>
      <c r="X880" s="51"/>
      <c r="Y880" s="51"/>
      <c r="Z880" s="51"/>
      <c r="AA880" s="51"/>
      <c r="AB880" s="51"/>
    </row>
    <row r="881" customFormat="false" ht="15.75" hidden="false" customHeight="false" outlineLevel="0" collapsed="false">
      <c r="A881" s="51"/>
      <c r="B881" s="51"/>
      <c r="C881" s="6"/>
      <c r="D881" s="49"/>
      <c r="E881" s="51"/>
      <c r="F881" s="6"/>
      <c r="G881" s="6"/>
      <c r="H881" s="6"/>
      <c r="I881" s="6"/>
      <c r="J881" s="6"/>
      <c r="K881" s="51"/>
      <c r="L881" s="51"/>
      <c r="M881" s="51"/>
      <c r="N881" s="51"/>
      <c r="O881" s="51"/>
      <c r="P881" s="51"/>
      <c r="Q881" s="51"/>
      <c r="R881" s="51"/>
      <c r="S881" s="51"/>
      <c r="T881" s="51"/>
      <c r="U881" s="51"/>
      <c r="V881" s="51"/>
      <c r="W881" s="51"/>
      <c r="X881" s="51"/>
      <c r="Y881" s="51"/>
      <c r="Z881" s="51"/>
      <c r="AA881" s="51"/>
      <c r="AB881" s="51"/>
    </row>
    <row r="882" customFormat="false" ht="15.75" hidden="false" customHeight="false" outlineLevel="0" collapsed="false">
      <c r="A882" s="51"/>
      <c r="B882" s="51"/>
      <c r="C882" s="6"/>
      <c r="D882" s="49"/>
      <c r="E882" s="51"/>
      <c r="F882" s="6"/>
      <c r="G882" s="6"/>
      <c r="H882" s="6"/>
      <c r="I882" s="6"/>
      <c r="J882" s="6"/>
      <c r="K882" s="51"/>
      <c r="L882" s="51"/>
      <c r="M882" s="51"/>
      <c r="N882" s="51"/>
      <c r="O882" s="51"/>
      <c r="P882" s="51"/>
      <c r="Q882" s="51"/>
      <c r="R882" s="51"/>
      <c r="S882" s="51"/>
      <c r="T882" s="51"/>
      <c r="U882" s="51"/>
      <c r="V882" s="51"/>
      <c r="W882" s="51"/>
      <c r="X882" s="51"/>
      <c r="Y882" s="51"/>
      <c r="Z882" s="51"/>
      <c r="AA882" s="51"/>
      <c r="AB882" s="51"/>
    </row>
    <row r="883" customFormat="false" ht="15.75" hidden="false" customHeight="false" outlineLevel="0" collapsed="false">
      <c r="A883" s="51"/>
      <c r="B883" s="51"/>
      <c r="C883" s="6"/>
      <c r="D883" s="49"/>
      <c r="E883" s="51"/>
      <c r="F883" s="6"/>
      <c r="G883" s="6"/>
      <c r="H883" s="6"/>
      <c r="I883" s="6"/>
      <c r="J883" s="6"/>
      <c r="K883" s="51"/>
      <c r="L883" s="51"/>
      <c r="M883" s="51"/>
      <c r="N883" s="51"/>
      <c r="O883" s="51"/>
      <c r="P883" s="51"/>
      <c r="Q883" s="51"/>
      <c r="R883" s="51"/>
      <c r="S883" s="51"/>
      <c r="T883" s="51"/>
      <c r="U883" s="51"/>
      <c r="V883" s="51"/>
      <c r="W883" s="51"/>
      <c r="X883" s="51"/>
      <c r="Y883" s="51"/>
      <c r="Z883" s="51"/>
      <c r="AA883" s="51"/>
      <c r="AB883" s="51"/>
    </row>
    <row r="884" customFormat="false" ht="15.75" hidden="false" customHeight="false" outlineLevel="0" collapsed="false">
      <c r="A884" s="51"/>
      <c r="B884" s="51"/>
      <c r="C884" s="6"/>
      <c r="D884" s="49"/>
      <c r="E884" s="51"/>
      <c r="F884" s="6"/>
      <c r="G884" s="6"/>
      <c r="H884" s="6"/>
      <c r="I884" s="6"/>
      <c r="J884" s="6"/>
      <c r="K884" s="51"/>
      <c r="L884" s="51"/>
      <c r="M884" s="51"/>
      <c r="N884" s="51"/>
      <c r="O884" s="51"/>
      <c r="P884" s="51"/>
      <c r="Q884" s="51"/>
      <c r="R884" s="51"/>
      <c r="S884" s="51"/>
      <c r="T884" s="51"/>
      <c r="U884" s="51"/>
      <c r="V884" s="51"/>
      <c r="W884" s="51"/>
      <c r="X884" s="51"/>
      <c r="Y884" s="51"/>
      <c r="Z884" s="51"/>
      <c r="AA884" s="51"/>
      <c r="AB884" s="51"/>
    </row>
    <row r="885" customFormat="false" ht="15.75" hidden="false" customHeight="false" outlineLevel="0" collapsed="false">
      <c r="A885" s="51"/>
      <c r="B885" s="51"/>
      <c r="C885" s="6"/>
      <c r="D885" s="49"/>
      <c r="E885" s="51"/>
      <c r="F885" s="6"/>
      <c r="G885" s="6"/>
      <c r="H885" s="6"/>
      <c r="I885" s="6"/>
      <c r="J885" s="6"/>
      <c r="K885" s="51"/>
      <c r="L885" s="51"/>
      <c r="M885" s="51"/>
      <c r="N885" s="51"/>
      <c r="O885" s="51"/>
      <c r="P885" s="51"/>
      <c r="Q885" s="51"/>
      <c r="R885" s="51"/>
      <c r="S885" s="51"/>
      <c r="T885" s="51"/>
      <c r="U885" s="51"/>
      <c r="V885" s="51"/>
      <c r="W885" s="51"/>
      <c r="X885" s="51"/>
      <c r="Y885" s="51"/>
      <c r="Z885" s="51"/>
      <c r="AA885" s="51"/>
      <c r="AB885" s="51"/>
    </row>
    <row r="886" customFormat="false" ht="15.75" hidden="false" customHeight="false" outlineLevel="0" collapsed="false">
      <c r="A886" s="51"/>
      <c r="B886" s="51"/>
      <c r="C886" s="6"/>
      <c r="D886" s="49"/>
      <c r="E886" s="51"/>
      <c r="F886" s="6"/>
      <c r="G886" s="6"/>
      <c r="H886" s="6"/>
      <c r="I886" s="6"/>
      <c r="J886" s="6"/>
      <c r="K886" s="51"/>
      <c r="L886" s="51"/>
      <c r="M886" s="51"/>
      <c r="N886" s="51"/>
      <c r="O886" s="51"/>
      <c r="P886" s="51"/>
      <c r="Q886" s="51"/>
      <c r="R886" s="51"/>
      <c r="S886" s="51"/>
      <c r="T886" s="51"/>
      <c r="U886" s="51"/>
      <c r="V886" s="51"/>
      <c r="W886" s="51"/>
      <c r="X886" s="51"/>
      <c r="Y886" s="51"/>
      <c r="Z886" s="51"/>
      <c r="AA886" s="51"/>
      <c r="AB886" s="51"/>
    </row>
    <row r="887" customFormat="false" ht="15.75" hidden="false" customHeight="false" outlineLevel="0" collapsed="false">
      <c r="A887" s="51"/>
      <c r="B887" s="51"/>
      <c r="C887" s="6"/>
      <c r="D887" s="49"/>
      <c r="E887" s="51"/>
      <c r="F887" s="6"/>
      <c r="G887" s="6"/>
      <c r="H887" s="6"/>
      <c r="I887" s="6"/>
      <c r="J887" s="6"/>
      <c r="K887" s="51"/>
      <c r="L887" s="51"/>
      <c r="M887" s="51"/>
      <c r="N887" s="51"/>
      <c r="O887" s="51"/>
      <c r="P887" s="51"/>
      <c r="Q887" s="51"/>
      <c r="R887" s="51"/>
      <c r="S887" s="51"/>
      <c r="T887" s="51"/>
      <c r="U887" s="51"/>
      <c r="V887" s="51"/>
      <c r="W887" s="51"/>
      <c r="X887" s="51"/>
      <c r="Y887" s="51"/>
      <c r="Z887" s="51"/>
      <c r="AA887" s="51"/>
      <c r="AB887" s="51"/>
    </row>
    <row r="888" customFormat="false" ht="15.75" hidden="false" customHeight="false" outlineLevel="0" collapsed="false">
      <c r="A888" s="51"/>
      <c r="B888" s="51"/>
      <c r="C888" s="6"/>
      <c r="D888" s="49"/>
      <c r="E888" s="51"/>
      <c r="F888" s="6"/>
      <c r="G888" s="6"/>
      <c r="H888" s="6"/>
      <c r="I888" s="6"/>
      <c r="J888" s="6"/>
      <c r="K888" s="51"/>
      <c r="L888" s="51"/>
      <c r="M888" s="51"/>
      <c r="N888" s="51"/>
      <c r="O888" s="51"/>
      <c r="P888" s="51"/>
      <c r="Q888" s="51"/>
      <c r="R888" s="51"/>
      <c r="S888" s="51"/>
      <c r="T888" s="51"/>
      <c r="U888" s="51"/>
      <c r="V888" s="51"/>
      <c r="W888" s="51"/>
      <c r="X888" s="51"/>
      <c r="Y888" s="51"/>
      <c r="Z888" s="51"/>
      <c r="AA888" s="51"/>
      <c r="AB888" s="51"/>
    </row>
    <row r="889" customFormat="false" ht="15.75" hidden="false" customHeight="false" outlineLevel="0" collapsed="false">
      <c r="A889" s="51"/>
      <c r="B889" s="51"/>
      <c r="C889" s="6"/>
      <c r="D889" s="49"/>
      <c r="E889" s="51"/>
      <c r="F889" s="6"/>
      <c r="G889" s="6"/>
      <c r="H889" s="6"/>
      <c r="I889" s="6"/>
      <c r="J889" s="6"/>
      <c r="K889" s="51"/>
      <c r="L889" s="51"/>
      <c r="M889" s="51"/>
      <c r="N889" s="51"/>
      <c r="O889" s="51"/>
      <c r="P889" s="51"/>
      <c r="Q889" s="51"/>
      <c r="R889" s="51"/>
      <c r="S889" s="51"/>
      <c r="T889" s="51"/>
      <c r="U889" s="51"/>
      <c r="V889" s="51"/>
      <c r="W889" s="51"/>
      <c r="X889" s="51"/>
      <c r="Y889" s="51"/>
      <c r="Z889" s="51"/>
      <c r="AA889" s="51"/>
      <c r="AB889" s="51"/>
    </row>
    <row r="890" customFormat="false" ht="15.75" hidden="false" customHeight="false" outlineLevel="0" collapsed="false">
      <c r="A890" s="51"/>
      <c r="B890" s="51"/>
      <c r="C890" s="6"/>
      <c r="D890" s="49"/>
      <c r="E890" s="51"/>
      <c r="F890" s="6"/>
      <c r="G890" s="6"/>
      <c r="H890" s="6"/>
      <c r="I890" s="6"/>
      <c r="J890" s="6"/>
      <c r="K890" s="51"/>
      <c r="L890" s="51"/>
      <c r="M890" s="51"/>
      <c r="N890" s="51"/>
      <c r="O890" s="51"/>
      <c r="P890" s="51"/>
      <c r="Q890" s="51"/>
      <c r="R890" s="51"/>
      <c r="S890" s="51"/>
      <c r="T890" s="51"/>
      <c r="U890" s="51"/>
      <c r="V890" s="51"/>
      <c r="W890" s="51"/>
      <c r="X890" s="51"/>
      <c r="Y890" s="51"/>
      <c r="Z890" s="51"/>
      <c r="AA890" s="51"/>
      <c r="AB890" s="51"/>
    </row>
    <row r="891" customFormat="false" ht="15.75" hidden="false" customHeight="false" outlineLevel="0" collapsed="false">
      <c r="A891" s="51"/>
      <c r="B891" s="51"/>
      <c r="C891" s="6"/>
      <c r="D891" s="49"/>
      <c r="E891" s="51"/>
      <c r="F891" s="6"/>
      <c r="G891" s="6"/>
      <c r="H891" s="6"/>
      <c r="I891" s="6"/>
      <c r="J891" s="6"/>
      <c r="K891" s="51"/>
      <c r="L891" s="51"/>
      <c r="M891" s="51"/>
      <c r="N891" s="51"/>
      <c r="O891" s="51"/>
      <c r="P891" s="51"/>
      <c r="Q891" s="51"/>
      <c r="R891" s="51"/>
      <c r="S891" s="51"/>
      <c r="T891" s="51"/>
      <c r="U891" s="51"/>
      <c r="V891" s="51"/>
      <c r="W891" s="51"/>
      <c r="X891" s="51"/>
      <c r="Y891" s="51"/>
      <c r="Z891" s="51"/>
      <c r="AA891" s="51"/>
      <c r="AB891" s="51"/>
    </row>
    <row r="892" customFormat="false" ht="15.75" hidden="false" customHeight="false" outlineLevel="0" collapsed="false">
      <c r="A892" s="51"/>
      <c r="B892" s="51"/>
      <c r="C892" s="6"/>
      <c r="D892" s="49"/>
      <c r="E892" s="51"/>
      <c r="F892" s="6"/>
      <c r="G892" s="6"/>
      <c r="H892" s="6"/>
      <c r="I892" s="6"/>
      <c r="J892" s="6"/>
      <c r="K892" s="51"/>
      <c r="L892" s="51"/>
      <c r="M892" s="51"/>
      <c r="N892" s="51"/>
      <c r="O892" s="51"/>
      <c r="P892" s="51"/>
      <c r="Q892" s="51"/>
      <c r="R892" s="51"/>
      <c r="S892" s="51"/>
      <c r="T892" s="51"/>
      <c r="U892" s="51"/>
      <c r="V892" s="51"/>
      <c r="W892" s="51"/>
      <c r="X892" s="51"/>
      <c r="Y892" s="51"/>
      <c r="Z892" s="51"/>
      <c r="AA892" s="51"/>
      <c r="AB892" s="51"/>
    </row>
    <row r="893" customFormat="false" ht="15.75" hidden="false" customHeight="false" outlineLevel="0" collapsed="false">
      <c r="A893" s="51"/>
      <c r="B893" s="51"/>
      <c r="C893" s="6"/>
      <c r="D893" s="49"/>
      <c r="E893" s="51"/>
      <c r="F893" s="6"/>
      <c r="G893" s="6"/>
      <c r="H893" s="6"/>
      <c r="I893" s="6"/>
      <c r="J893" s="6"/>
      <c r="K893" s="51"/>
      <c r="L893" s="51"/>
      <c r="M893" s="51"/>
      <c r="N893" s="51"/>
      <c r="O893" s="51"/>
      <c r="P893" s="51"/>
      <c r="Q893" s="51"/>
      <c r="R893" s="51"/>
      <c r="S893" s="51"/>
      <c r="T893" s="51"/>
      <c r="U893" s="51"/>
      <c r="V893" s="51"/>
      <c r="W893" s="51"/>
      <c r="X893" s="51"/>
      <c r="Y893" s="51"/>
      <c r="Z893" s="51"/>
      <c r="AA893" s="51"/>
      <c r="AB893" s="51"/>
    </row>
    <row r="894" customFormat="false" ht="15.75" hidden="false" customHeight="false" outlineLevel="0" collapsed="false">
      <c r="A894" s="51"/>
      <c r="B894" s="51"/>
      <c r="C894" s="6"/>
      <c r="D894" s="49"/>
      <c r="E894" s="51"/>
      <c r="F894" s="6"/>
      <c r="G894" s="6"/>
      <c r="H894" s="6"/>
      <c r="I894" s="6"/>
      <c r="J894" s="6"/>
      <c r="K894" s="51"/>
      <c r="L894" s="51"/>
      <c r="M894" s="51"/>
      <c r="N894" s="51"/>
      <c r="O894" s="51"/>
      <c r="P894" s="51"/>
      <c r="Q894" s="51"/>
      <c r="R894" s="51"/>
      <c r="S894" s="51"/>
      <c r="T894" s="51"/>
      <c r="U894" s="51"/>
      <c r="V894" s="51"/>
      <c r="W894" s="51"/>
      <c r="X894" s="51"/>
      <c r="Y894" s="51"/>
      <c r="Z894" s="51"/>
      <c r="AA894" s="51"/>
      <c r="AB894" s="51"/>
    </row>
    <row r="895" customFormat="false" ht="15.75" hidden="false" customHeight="false" outlineLevel="0" collapsed="false">
      <c r="A895" s="51"/>
      <c r="B895" s="51"/>
      <c r="C895" s="6"/>
      <c r="D895" s="49"/>
      <c r="E895" s="51"/>
      <c r="F895" s="6"/>
      <c r="G895" s="6"/>
      <c r="H895" s="6"/>
      <c r="I895" s="6"/>
      <c r="J895" s="6"/>
      <c r="K895" s="51"/>
      <c r="L895" s="51"/>
      <c r="M895" s="51"/>
      <c r="N895" s="51"/>
      <c r="O895" s="51"/>
      <c r="P895" s="51"/>
      <c r="Q895" s="51"/>
      <c r="R895" s="51"/>
      <c r="S895" s="51"/>
      <c r="T895" s="51"/>
      <c r="U895" s="51"/>
      <c r="V895" s="51"/>
      <c r="W895" s="51"/>
      <c r="X895" s="51"/>
      <c r="Y895" s="51"/>
      <c r="Z895" s="51"/>
      <c r="AA895" s="51"/>
      <c r="AB895" s="51"/>
    </row>
    <row r="896" customFormat="false" ht="15.75" hidden="false" customHeight="false" outlineLevel="0" collapsed="false">
      <c r="A896" s="51"/>
      <c r="B896" s="51"/>
      <c r="C896" s="6"/>
      <c r="D896" s="49"/>
      <c r="E896" s="51"/>
      <c r="F896" s="6"/>
      <c r="G896" s="6"/>
      <c r="H896" s="6"/>
      <c r="I896" s="6"/>
      <c r="J896" s="6"/>
      <c r="K896" s="51"/>
      <c r="L896" s="51"/>
      <c r="M896" s="51"/>
      <c r="N896" s="51"/>
      <c r="O896" s="51"/>
      <c r="P896" s="51"/>
      <c r="Q896" s="51"/>
      <c r="R896" s="51"/>
      <c r="S896" s="51"/>
      <c r="T896" s="51"/>
      <c r="U896" s="51"/>
      <c r="V896" s="51"/>
      <c r="W896" s="51"/>
      <c r="X896" s="51"/>
      <c r="Y896" s="51"/>
      <c r="Z896" s="51"/>
      <c r="AA896" s="51"/>
      <c r="AB896" s="51"/>
    </row>
    <row r="897" customFormat="false" ht="15.75" hidden="false" customHeight="false" outlineLevel="0" collapsed="false">
      <c r="A897" s="51"/>
      <c r="B897" s="51"/>
      <c r="C897" s="6"/>
      <c r="D897" s="49"/>
      <c r="E897" s="51"/>
      <c r="F897" s="6"/>
      <c r="G897" s="6"/>
      <c r="H897" s="6"/>
      <c r="I897" s="6"/>
      <c r="J897" s="6"/>
      <c r="K897" s="51"/>
      <c r="L897" s="51"/>
      <c r="M897" s="51"/>
      <c r="N897" s="51"/>
      <c r="O897" s="51"/>
      <c r="P897" s="51"/>
      <c r="Q897" s="51"/>
      <c r="R897" s="51"/>
      <c r="S897" s="51"/>
      <c r="T897" s="51"/>
      <c r="U897" s="51"/>
      <c r="V897" s="51"/>
      <c r="W897" s="51"/>
      <c r="X897" s="51"/>
      <c r="Y897" s="51"/>
      <c r="Z897" s="51"/>
      <c r="AA897" s="51"/>
      <c r="AB897" s="51"/>
    </row>
    <row r="898" customFormat="false" ht="15.75" hidden="false" customHeight="false" outlineLevel="0" collapsed="false">
      <c r="A898" s="51"/>
      <c r="B898" s="51"/>
      <c r="C898" s="6"/>
      <c r="D898" s="49"/>
      <c r="E898" s="51"/>
      <c r="F898" s="6"/>
      <c r="G898" s="6"/>
      <c r="H898" s="6"/>
      <c r="I898" s="6"/>
      <c r="J898" s="6"/>
      <c r="K898" s="51"/>
      <c r="L898" s="51"/>
      <c r="M898" s="51"/>
      <c r="N898" s="51"/>
      <c r="O898" s="51"/>
      <c r="P898" s="51"/>
      <c r="Q898" s="51"/>
      <c r="R898" s="51"/>
      <c r="S898" s="51"/>
      <c r="T898" s="51"/>
      <c r="U898" s="51"/>
      <c r="V898" s="51"/>
      <c r="W898" s="51"/>
      <c r="X898" s="51"/>
      <c r="Y898" s="51"/>
      <c r="Z898" s="51"/>
      <c r="AA898" s="51"/>
      <c r="AB898" s="51"/>
    </row>
    <row r="899" customFormat="false" ht="15.75" hidden="false" customHeight="false" outlineLevel="0" collapsed="false">
      <c r="A899" s="51"/>
      <c r="B899" s="51"/>
      <c r="C899" s="6"/>
      <c r="D899" s="49"/>
      <c r="E899" s="51"/>
      <c r="F899" s="6"/>
      <c r="G899" s="6"/>
      <c r="H899" s="6"/>
      <c r="I899" s="6"/>
      <c r="J899" s="6"/>
      <c r="K899" s="51"/>
      <c r="L899" s="51"/>
      <c r="M899" s="51"/>
      <c r="N899" s="51"/>
      <c r="O899" s="51"/>
      <c r="P899" s="51"/>
      <c r="Q899" s="51"/>
      <c r="R899" s="51"/>
      <c r="S899" s="51"/>
      <c r="T899" s="51"/>
      <c r="U899" s="51"/>
      <c r="V899" s="51"/>
      <c r="W899" s="51"/>
      <c r="X899" s="51"/>
      <c r="Y899" s="51"/>
      <c r="Z899" s="51"/>
      <c r="AA899" s="51"/>
      <c r="AB899" s="51"/>
    </row>
    <row r="900" customFormat="false" ht="15.75" hidden="false" customHeight="false" outlineLevel="0" collapsed="false">
      <c r="A900" s="51"/>
      <c r="B900" s="51"/>
      <c r="C900" s="6"/>
      <c r="D900" s="49"/>
      <c r="E900" s="51"/>
      <c r="F900" s="6"/>
      <c r="G900" s="6"/>
      <c r="H900" s="6"/>
      <c r="I900" s="6"/>
      <c r="J900" s="6"/>
      <c r="K900" s="51"/>
      <c r="L900" s="51"/>
      <c r="M900" s="51"/>
      <c r="N900" s="51"/>
      <c r="O900" s="51"/>
      <c r="P900" s="51"/>
      <c r="Q900" s="51"/>
      <c r="R900" s="51"/>
      <c r="S900" s="51"/>
      <c r="T900" s="51"/>
      <c r="U900" s="51"/>
      <c r="V900" s="51"/>
      <c r="W900" s="51"/>
      <c r="X900" s="51"/>
      <c r="Y900" s="51"/>
      <c r="Z900" s="51"/>
      <c r="AA900" s="51"/>
      <c r="AB900" s="51"/>
    </row>
    <row r="901" customFormat="false" ht="15.75" hidden="false" customHeight="false" outlineLevel="0" collapsed="false">
      <c r="A901" s="51"/>
      <c r="B901" s="51"/>
      <c r="C901" s="6"/>
      <c r="D901" s="49"/>
      <c r="E901" s="51"/>
      <c r="F901" s="6"/>
      <c r="G901" s="6"/>
      <c r="H901" s="6"/>
      <c r="I901" s="6"/>
      <c r="J901" s="6"/>
      <c r="K901" s="51"/>
      <c r="L901" s="51"/>
      <c r="M901" s="51"/>
      <c r="N901" s="51"/>
      <c r="O901" s="51"/>
      <c r="P901" s="51"/>
      <c r="Q901" s="51"/>
      <c r="R901" s="51"/>
      <c r="S901" s="51"/>
      <c r="T901" s="51"/>
      <c r="U901" s="51"/>
      <c r="V901" s="51"/>
      <c r="W901" s="51"/>
      <c r="X901" s="51"/>
      <c r="Y901" s="51"/>
      <c r="Z901" s="51"/>
      <c r="AA901" s="51"/>
      <c r="AB901" s="51"/>
    </row>
    <row r="902" customFormat="false" ht="15.75" hidden="false" customHeight="false" outlineLevel="0" collapsed="false">
      <c r="A902" s="51"/>
      <c r="B902" s="51"/>
      <c r="C902" s="6"/>
      <c r="D902" s="49"/>
      <c r="E902" s="51"/>
      <c r="F902" s="6"/>
      <c r="G902" s="6"/>
      <c r="H902" s="6"/>
      <c r="I902" s="6"/>
      <c r="J902" s="6"/>
      <c r="K902" s="51"/>
      <c r="L902" s="51"/>
      <c r="M902" s="51"/>
      <c r="N902" s="51"/>
      <c r="O902" s="51"/>
      <c r="P902" s="51"/>
      <c r="Q902" s="51"/>
      <c r="R902" s="51"/>
      <c r="S902" s="51"/>
      <c r="T902" s="51"/>
      <c r="U902" s="51"/>
      <c r="V902" s="51"/>
      <c r="W902" s="51"/>
      <c r="X902" s="51"/>
      <c r="Y902" s="51"/>
      <c r="Z902" s="51"/>
      <c r="AA902" s="51"/>
      <c r="AB902" s="51"/>
    </row>
    <row r="903" customFormat="false" ht="15.75" hidden="false" customHeight="false" outlineLevel="0" collapsed="false">
      <c r="A903" s="51"/>
      <c r="B903" s="51"/>
      <c r="C903" s="6"/>
      <c r="D903" s="49"/>
      <c r="E903" s="51"/>
      <c r="F903" s="6"/>
      <c r="G903" s="6"/>
      <c r="H903" s="6"/>
      <c r="I903" s="6"/>
      <c r="J903" s="6"/>
      <c r="K903" s="51"/>
      <c r="L903" s="51"/>
      <c r="M903" s="51"/>
      <c r="N903" s="51"/>
      <c r="O903" s="51"/>
      <c r="P903" s="51"/>
      <c r="Q903" s="51"/>
      <c r="R903" s="51"/>
      <c r="S903" s="51"/>
      <c r="T903" s="51"/>
      <c r="U903" s="51"/>
      <c r="V903" s="51"/>
      <c r="W903" s="51"/>
      <c r="X903" s="51"/>
      <c r="Y903" s="51"/>
      <c r="Z903" s="51"/>
      <c r="AA903" s="51"/>
      <c r="AB903" s="51"/>
    </row>
    <row r="904" customFormat="false" ht="15.75" hidden="false" customHeight="false" outlineLevel="0" collapsed="false">
      <c r="A904" s="51"/>
      <c r="B904" s="51"/>
      <c r="C904" s="6"/>
      <c r="D904" s="49"/>
      <c r="E904" s="51"/>
      <c r="F904" s="6"/>
      <c r="G904" s="6"/>
      <c r="H904" s="6"/>
      <c r="I904" s="6"/>
      <c r="J904" s="6"/>
      <c r="K904" s="51"/>
      <c r="L904" s="51"/>
      <c r="M904" s="51"/>
      <c r="N904" s="51"/>
      <c r="O904" s="51"/>
      <c r="P904" s="51"/>
      <c r="Q904" s="51"/>
      <c r="R904" s="51"/>
      <c r="S904" s="51"/>
      <c r="T904" s="51"/>
      <c r="U904" s="51"/>
      <c r="V904" s="51"/>
      <c r="W904" s="51"/>
      <c r="X904" s="51"/>
      <c r="Y904" s="51"/>
      <c r="Z904" s="51"/>
      <c r="AA904" s="51"/>
      <c r="AB904" s="51"/>
    </row>
    <row r="905" customFormat="false" ht="15.75" hidden="false" customHeight="false" outlineLevel="0" collapsed="false">
      <c r="A905" s="51"/>
      <c r="B905" s="51"/>
      <c r="C905" s="6"/>
      <c r="D905" s="49"/>
      <c r="E905" s="51"/>
      <c r="F905" s="6"/>
      <c r="G905" s="6"/>
      <c r="H905" s="6"/>
      <c r="I905" s="6"/>
      <c r="J905" s="6"/>
      <c r="K905" s="51"/>
      <c r="L905" s="51"/>
      <c r="M905" s="51"/>
      <c r="N905" s="51"/>
      <c r="O905" s="51"/>
      <c r="P905" s="51"/>
      <c r="Q905" s="51"/>
      <c r="R905" s="51"/>
      <c r="S905" s="51"/>
      <c r="T905" s="51"/>
      <c r="U905" s="51"/>
      <c r="V905" s="51"/>
      <c r="W905" s="51"/>
      <c r="X905" s="51"/>
      <c r="Y905" s="51"/>
      <c r="Z905" s="51"/>
      <c r="AA905" s="51"/>
      <c r="AB905" s="51"/>
    </row>
    <row r="906" customFormat="false" ht="15.75" hidden="false" customHeight="false" outlineLevel="0" collapsed="false">
      <c r="A906" s="51"/>
      <c r="B906" s="51"/>
      <c r="C906" s="6"/>
      <c r="D906" s="49"/>
      <c r="E906" s="51"/>
      <c r="F906" s="6"/>
      <c r="G906" s="6"/>
      <c r="H906" s="6"/>
      <c r="I906" s="6"/>
      <c r="J906" s="6"/>
      <c r="K906" s="51"/>
      <c r="L906" s="51"/>
      <c r="M906" s="51"/>
      <c r="N906" s="51"/>
      <c r="O906" s="51"/>
      <c r="P906" s="51"/>
      <c r="Q906" s="51"/>
      <c r="R906" s="51"/>
      <c r="S906" s="51"/>
      <c r="T906" s="51"/>
      <c r="U906" s="51"/>
      <c r="V906" s="51"/>
      <c r="W906" s="51"/>
      <c r="X906" s="51"/>
      <c r="Y906" s="51"/>
      <c r="Z906" s="51"/>
      <c r="AA906" s="51"/>
      <c r="AB906" s="51"/>
    </row>
    <row r="907" customFormat="false" ht="15.75" hidden="false" customHeight="false" outlineLevel="0" collapsed="false">
      <c r="A907" s="51"/>
      <c r="B907" s="51"/>
      <c r="C907" s="6"/>
      <c r="D907" s="49"/>
      <c r="E907" s="51"/>
      <c r="F907" s="6"/>
      <c r="G907" s="6"/>
      <c r="H907" s="6"/>
      <c r="I907" s="6"/>
      <c r="J907" s="6"/>
      <c r="K907" s="51"/>
      <c r="L907" s="51"/>
      <c r="M907" s="51"/>
      <c r="N907" s="51"/>
      <c r="O907" s="51"/>
      <c r="P907" s="51"/>
      <c r="Q907" s="51"/>
      <c r="R907" s="51"/>
      <c r="S907" s="51"/>
      <c r="T907" s="51"/>
      <c r="U907" s="51"/>
      <c r="V907" s="51"/>
      <c r="W907" s="51"/>
      <c r="X907" s="51"/>
      <c r="Y907" s="51"/>
      <c r="Z907" s="51"/>
      <c r="AA907" s="51"/>
      <c r="AB907" s="51"/>
    </row>
    <row r="908" customFormat="false" ht="15.75" hidden="false" customHeight="false" outlineLevel="0" collapsed="false">
      <c r="A908" s="51"/>
      <c r="B908" s="51"/>
      <c r="C908" s="6"/>
      <c r="D908" s="49"/>
      <c r="E908" s="51"/>
      <c r="F908" s="6"/>
      <c r="G908" s="6"/>
      <c r="H908" s="6"/>
      <c r="I908" s="6"/>
      <c r="J908" s="6"/>
      <c r="K908" s="51"/>
      <c r="L908" s="51"/>
      <c r="M908" s="51"/>
      <c r="N908" s="51"/>
      <c r="O908" s="51"/>
      <c r="P908" s="51"/>
      <c r="Q908" s="51"/>
      <c r="R908" s="51"/>
      <c r="S908" s="51"/>
      <c r="T908" s="51"/>
      <c r="U908" s="51"/>
      <c r="V908" s="51"/>
      <c r="W908" s="51"/>
      <c r="X908" s="51"/>
      <c r="Y908" s="51"/>
      <c r="Z908" s="51"/>
      <c r="AA908" s="51"/>
      <c r="AB908" s="51"/>
    </row>
    <row r="909" customFormat="false" ht="15.75" hidden="false" customHeight="false" outlineLevel="0" collapsed="false">
      <c r="A909" s="51"/>
      <c r="B909" s="51"/>
      <c r="C909" s="6"/>
      <c r="D909" s="49"/>
      <c r="E909" s="51"/>
      <c r="F909" s="6"/>
      <c r="G909" s="6"/>
      <c r="H909" s="6"/>
      <c r="I909" s="6"/>
      <c r="J909" s="6"/>
      <c r="K909" s="51"/>
      <c r="L909" s="51"/>
      <c r="M909" s="51"/>
      <c r="N909" s="51"/>
      <c r="O909" s="51"/>
      <c r="P909" s="51"/>
      <c r="Q909" s="51"/>
      <c r="R909" s="51"/>
      <c r="S909" s="51"/>
      <c r="T909" s="51"/>
      <c r="U909" s="51"/>
      <c r="V909" s="51"/>
      <c r="W909" s="51"/>
      <c r="X909" s="51"/>
      <c r="Y909" s="51"/>
      <c r="Z909" s="51"/>
      <c r="AA909" s="51"/>
      <c r="AB909" s="51"/>
    </row>
    <row r="910" customFormat="false" ht="15.75" hidden="false" customHeight="false" outlineLevel="0" collapsed="false">
      <c r="A910" s="51"/>
      <c r="B910" s="51"/>
      <c r="C910" s="6"/>
      <c r="D910" s="49"/>
      <c r="E910" s="51"/>
      <c r="F910" s="6"/>
      <c r="G910" s="6"/>
      <c r="H910" s="6"/>
      <c r="I910" s="6"/>
      <c r="J910" s="6"/>
      <c r="K910" s="51"/>
      <c r="L910" s="51"/>
      <c r="M910" s="51"/>
      <c r="N910" s="51"/>
      <c r="O910" s="51"/>
      <c r="P910" s="51"/>
      <c r="Q910" s="51"/>
      <c r="R910" s="51"/>
      <c r="S910" s="51"/>
      <c r="T910" s="51"/>
      <c r="U910" s="51"/>
      <c r="V910" s="51"/>
      <c r="W910" s="51"/>
      <c r="X910" s="51"/>
      <c r="Y910" s="51"/>
      <c r="Z910" s="51"/>
      <c r="AA910" s="51"/>
      <c r="AB910" s="51"/>
    </row>
    <row r="911" customFormat="false" ht="15.75" hidden="false" customHeight="false" outlineLevel="0" collapsed="false">
      <c r="A911" s="51"/>
      <c r="B911" s="51"/>
      <c r="C911" s="6"/>
      <c r="D911" s="49"/>
      <c r="E911" s="51"/>
      <c r="F911" s="6"/>
      <c r="G911" s="6"/>
      <c r="H911" s="6"/>
      <c r="I911" s="6"/>
      <c r="J911" s="6"/>
      <c r="K911" s="51"/>
      <c r="L911" s="51"/>
      <c r="M911" s="51"/>
      <c r="N911" s="51"/>
      <c r="O911" s="51"/>
      <c r="P911" s="51"/>
      <c r="Q911" s="51"/>
      <c r="R911" s="51"/>
      <c r="S911" s="51"/>
      <c r="T911" s="51"/>
      <c r="U911" s="51"/>
      <c r="V911" s="51"/>
      <c r="W911" s="51"/>
      <c r="X911" s="51"/>
      <c r="Y911" s="51"/>
      <c r="Z911" s="51"/>
      <c r="AA911" s="51"/>
      <c r="AB911" s="51"/>
    </row>
    <row r="912" customFormat="false" ht="15.75" hidden="false" customHeight="false" outlineLevel="0" collapsed="false">
      <c r="A912" s="51"/>
      <c r="B912" s="51"/>
      <c r="C912" s="6"/>
      <c r="D912" s="49"/>
      <c r="E912" s="51"/>
      <c r="F912" s="6"/>
      <c r="G912" s="6"/>
      <c r="H912" s="6"/>
      <c r="I912" s="6"/>
      <c r="J912" s="6"/>
      <c r="K912" s="51"/>
      <c r="L912" s="51"/>
      <c r="M912" s="51"/>
      <c r="N912" s="51"/>
      <c r="O912" s="51"/>
      <c r="P912" s="51"/>
      <c r="Q912" s="51"/>
      <c r="R912" s="51"/>
      <c r="S912" s="51"/>
      <c r="T912" s="51"/>
      <c r="U912" s="51"/>
      <c r="V912" s="51"/>
      <c r="W912" s="51"/>
      <c r="X912" s="51"/>
      <c r="Y912" s="51"/>
      <c r="Z912" s="51"/>
      <c r="AA912" s="51"/>
      <c r="AB912" s="51"/>
    </row>
    <row r="913" customFormat="false" ht="15.75" hidden="false" customHeight="false" outlineLevel="0" collapsed="false">
      <c r="A913" s="51"/>
      <c r="B913" s="51"/>
      <c r="C913" s="6"/>
      <c r="D913" s="49"/>
      <c r="E913" s="51"/>
      <c r="F913" s="6"/>
      <c r="G913" s="6"/>
      <c r="H913" s="6"/>
      <c r="I913" s="6"/>
      <c r="J913" s="6"/>
      <c r="K913" s="51"/>
      <c r="L913" s="51"/>
      <c r="M913" s="51"/>
      <c r="N913" s="51"/>
      <c r="O913" s="51"/>
      <c r="P913" s="51"/>
      <c r="Q913" s="51"/>
      <c r="R913" s="51"/>
      <c r="S913" s="51"/>
      <c r="T913" s="51"/>
      <c r="U913" s="51"/>
      <c r="V913" s="51"/>
      <c r="W913" s="51"/>
      <c r="X913" s="51"/>
      <c r="Y913" s="51"/>
      <c r="Z913" s="51"/>
      <c r="AA913" s="51"/>
      <c r="AB913" s="51"/>
    </row>
    <row r="914" customFormat="false" ht="15.75" hidden="false" customHeight="false" outlineLevel="0" collapsed="false">
      <c r="A914" s="51"/>
      <c r="B914" s="51"/>
      <c r="C914" s="6"/>
      <c r="D914" s="49"/>
      <c r="E914" s="51"/>
      <c r="F914" s="6"/>
      <c r="G914" s="6"/>
      <c r="H914" s="6"/>
      <c r="I914" s="6"/>
      <c r="J914" s="6"/>
      <c r="K914" s="51"/>
      <c r="L914" s="51"/>
      <c r="M914" s="51"/>
      <c r="N914" s="51"/>
      <c r="O914" s="51"/>
      <c r="P914" s="51"/>
      <c r="Q914" s="51"/>
      <c r="R914" s="51"/>
      <c r="S914" s="51"/>
      <c r="T914" s="51"/>
      <c r="U914" s="51"/>
      <c r="V914" s="51"/>
      <c r="W914" s="51"/>
      <c r="X914" s="51"/>
      <c r="Y914" s="51"/>
      <c r="Z914" s="51"/>
      <c r="AA914" s="51"/>
      <c r="AB914" s="51"/>
    </row>
    <row r="915" customFormat="false" ht="15.75" hidden="false" customHeight="false" outlineLevel="0" collapsed="false">
      <c r="A915" s="51"/>
      <c r="B915" s="51"/>
      <c r="C915" s="6"/>
      <c r="D915" s="49"/>
      <c r="E915" s="51"/>
      <c r="F915" s="6"/>
      <c r="G915" s="6"/>
      <c r="H915" s="6"/>
      <c r="I915" s="6"/>
      <c r="J915" s="6"/>
      <c r="K915" s="51"/>
      <c r="L915" s="51"/>
      <c r="M915" s="51"/>
      <c r="N915" s="51"/>
      <c r="O915" s="51"/>
      <c r="P915" s="51"/>
      <c r="Q915" s="51"/>
      <c r="R915" s="51"/>
      <c r="S915" s="51"/>
      <c r="T915" s="51"/>
      <c r="U915" s="51"/>
      <c r="V915" s="51"/>
      <c r="W915" s="51"/>
      <c r="X915" s="51"/>
      <c r="Y915" s="51"/>
      <c r="Z915" s="51"/>
      <c r="AA915" s="51"/>
      <c r="AB915" s="51"/>
    </row>
    <row r="916" customFormat="false" ht="15.75" hidden="false" customHeight="false" outlineLevel="0" collapsed="false">
      <c r="A916" s="51"/>
      <c r="B916" s="51"/>
      <c r="C916" s="6"/>
      <c r="D916" s="49"/>
      <c r="E916" s="51"/>
      <c r="F916" s="6"/>
      <c r="G916" s="6"/>
      <c r="H916" s="6"/>
      <c r="I916" s="6"/>
      <c r="J916" s="6"/>
      <c r="K916" s="51"/>
      <c r="L916" s="51"/>
      <c r="M916" s="51"/>
      <c r="N916" s="51"/>
      <c r="O916" s="51"/>
      <c r="P916" s="51"/>
      <c r="Q916" s="51"/>
      <c r="R916" s="51"/>
      <c r="S916" s="51"/>
      <c r="T916" s="51"/>
      <c r="U916" s="51"/>
      <c r="V916" s="51"/>
      <c r="W916" s="51"/>
      <c r="X916" s="51"/>
      <c r="Y916" s="51"/>
      <c r="Z916" s="51"/>
      <c r="AA916" s="51"/>
      <c r="AB916" s="51"/>
    </row>
    <row r="917" customFormat="false" ht="15.75" hidden="false" customHeight="false" outlineLevel="0" collapsed="false">
      <c r="A917" s="51"/>
      <c r="B917" s="51"/>
      <c r="C917" s="6"/>
      <c r="D917" s="49"/>
      <c r="E917" s="51"/>
      <c r="F917" s="6"/>
      <c r="G917" s="6"/>
      <c r="H917" s="6"/>
      <c r="I917" s="6"/>
      <c r="J917" s="6"/>
      <c r="K917" s="51"/>
      <c r="L917" s="51"/>
      <c r="M917" s="51"/>
      <c r="N917" s="51"/>
      <c r="O917" s="51"/>
      <c r="P917" s="51"/>
      <c r="Q917" s="51"/>
      <c r="R917" s="51"/>
      <c r="S917" s="51"/>
      <c r="T917" s="51"/>
      <c r="U917" s="51"/>
      <c r="V917" s="51"/>
      <c r="W917" s="51"/>
      <c r="X917" s="51"/>
      <c r="Y917" s="51"/>
      <c r="Z917" s="51"/>
      <c r="AA917" s="51"/>
      <c r="AB917" s="51"/>
    </row>
    <row r="918" customFormat="false" ht="15.75" hidden="false" customHeight="false" outlineLevel="0" collapsed="false">
      <c r="A918" s="51"/>
      <c r="B918" s="51"/>
      <c r="C918" s="6"/>
      <c r="D918" s="49"/>
      <c r="E918" s="51"/>
      <c r="F918" s="6"/>
      <c r="G918" s="6"/>
      <c r="H918" s="6"/>
      <c r="I918" s="6"/>
      <c r="J918" s="6"/>
      <c r="K918" s="51"/>
      <c r="L918" s="51"/>
      <c r="M918" s="51"/>
      <c r="N918" s="51"/>
      <c r="O918" s="51"/>
      <c r="P918" s="51"/>
      <c r="Q918" s="51"/>
      <c r="R918" s="51"/>
      <c r="S918" s="51"/>
      <c r="T918" s="51"/>
      <c r="U918" s="51"/>
      <c r="V918" s="51"/>
      <c r="W918" s="51"/>
      <c r="X918" s="51"/>
      <c r="Y918" s="51"/>
      <c r="Z918" s="51"/>
      <c r="AA918" s="51"/>
      <c r="AB918" s="51"/>
    </row>
    <row r="919" customFormat="false" ht="15.75" hidden="false" customHeight="false" outlineLevel="0" collapsed="false">
      <c r="A919" s="51"/>
      <c r="B919" s="51"/>
      <c r="C919" s="6"/>
      <c r="D919" s="49"/>
      <c r="E919" s="51"/>
      <c r="F919" s="6"/>
      <c r="G919" s="6"/>
      <c r="H919" s="6"/>
      <c r="I919" s="6"/>
      <c r="J919" s="6"/>
      <c r="K919" s="51"/>
      <c r="L919" s="51"/>
      <c r="M919" s="51"/>
      <c r="N919" s="51"/>
      <c r="O919" s="51"/>
      <c r="P919" s="51"/>
      <c r="Q919" s="51"/>
      <c r="R919" s="51"/>
      <c r="S919" s="51"/>
      <c r="T919" s="51"/>
      <c r="U919" s="51"/>
      <c r="V919" s="51"/>
      <c r="W919" s="51"/>
      <c r="X919" s="51"/>
      <c r="Y919" s="51"/>
      <c r="Z919" s="51"/>
      <c r="AA919" s="51"/>
      <c r="AB919" s="51"/>
    </row>
    <row r="920" customFormat="false" ht="15.75" hidden="false" customHeight="false" outlineLevel="0" collapsed="false">
      <c r="A920" s="51"/>
      <c r="B920" s="51"/>
      <c r="C920" s="6"/>
      <c r="D920" s="49"/>
      <c r="E920" s="51"/>
      <c r="F920" s="6"/>
      <c r="G920" s="6"/>
      <c r="H920" s="6"/>
      <c r="I920" s="6"/>
      <c r="J920" s="6"/>
      <c r="K920" s="51"/>
      <c r="L920" s="51"/>
      <c r="M920" s="51"/>
      <c r="N920" s="51"/>
      <c r="O920" s="51"/>
      <c r="P920" s="51"/>
      <c r="Q920" s="51"/>
      <c r="R920" s="51"/>
      <c r="S920" s="51"/>
      <c r="T920" s="51"/>
      <c r="U920" s="51"/>
      <c r="V920" s="51"/>
      <c r="W920" s="51"/>
      <c r="X920" s="51"/>
      <c r="Y920" s="51"/>
      <c r="Z920" s="51"/>
      <c r="AA920" s="51"/>
      <c r="AB920" s="51"/>
    </row>
    <row r="921" customFormat="false" ht="15.75" hidden="false" customHeight="false" outlineLevel="0" collapsed="false">
      <c r="A921" s="51"/>
      <c r="B921" s="51"/>
      <c r="C921" s="6"/>
      <c r="D921" s="49"/>
      <c r="E921" s="51"/>
      <c r="F921" s="6"/>
      <c r="G921" s="6"/>
      <c r="H921" s="6"/>
      <c r="I921" s="6"/>
      <c r="J921" s="6"/>
      <c r="K921" s="51"/>
      <c r="L921" s="51"/>
      <c r="M921" s="51"/>
      <c r="N921" s="51"/>
      <c r="O921" s="51"/>
      <c r="P921" s="51"/>
      <c r="Q921" s="51"/>
      <c r="R921" s="51"/>
      <c r="S921" s="51"/>
      <c r="T921" s="51"/>
      <c r="U921" s="51"/>
      <c r="V921" s="51"/>
      <c r="W921" s="51"/>
      <c r="X921" s="51"/>
      <c r="Y921" s="51"/>
      <c r="Z921" s="51"/>
      <c r="AA921" s="51"/>
      <c r="AB921" s="51"/>
    </row>
    <row r="922" customFormat="false" ht="15.75" hidden="false" customHeight="false" outlineLevel="0" collapsed="false">
      <c r="A922" s="51"/>
      <c r="B922" s="51"/>
      <c r="C922" s="6"/>
      <c r="D922" s="49"/>
      <c r="E922" s="51"/>
      <c r="F922" s="6"/>
      <c r="G922" s="6"/>
      <c r="H922" s="6"/>
      <c r="I922" s="6"/>
      <c r="J922" s="6"/>
      <c r="K922" s="51"/>
      <c r="L922" s="51"/>
      <c r="M922" s="51"/>
      <c r="N922" s="51"/>
      <c r="O922" s="51"/>
      <c r="P922" s="51"/>
      <c r="Q922" s="51"/>
      <c r="R922" s="51"/>
      <c r="S922" s="51"/>
      <c r="T922" s="51"/>
      <c r="U922" s="51"/>
      <c r="V922" s="51"/>
      <c r="W922" s="51"/>
      <c r="X922" s="51"/>
      <c r="Y922" s="51"/>
      <c r="Z922" s="51"/>
      <c r="AA922" s="51"/>
      <c r="AB922" s="51"/>
    </row>
    <row r="923" customFormat="false" ht="15.75" hidden="false" customHeight="false" outlineLevel="0" collapsed="false">
      <c r="A923" s="51"/>
      <c r="B923" s="51"/>
      <c r="C923" s="6"/>
      <c r="D923" s="49"/>
      <c r="E923" s="51"/>
      <c r="F923" s="6"/>
      <c r="G923" s="6"/>
      <c r="H923" s="6"/>
      <c r="I923" s="6"/>
      <c r="J923" s="6"/>
      <c r="K923" s="51"/>
      <c r="L923" s="51"/>
      <c r="M923" s="51"/>
      <c r="N923" s="51"/>
      <c r="O923" s="51"/>
      <c r="P923" s="51"/>
      <c r="Q923" s="51"/>
      <c r="R923" s="51"/>
      <c r="S923" s="51"/>
      <c r="T923" s="51"/>
      <c r="U923" s="51"/>
      <c r="V923" s="51"/>
      <c r="W923" s="51"/>
      <c r="X923" s="51"/>
      <c r="Y923" s="51"/>
      <c r="Z923" s="51"/>
      <c r="AA923" s="51"/>
      <c r="AB923" s="51"/>
    </row>
    <row r="924" customFormat="false" ht="15.75" hidden="false" customHeight="false" outlineLevel="0" collapsed="false">
      <c r="A924" s="51"/>
      <c r="B924" s="51"/>
      <c r="C924" s="6"/>
      <c r="D924" s="49"/>
      <c r="E924" s="51"/>
      <c r="F924" s="6"/>
      <c r="G924" s="6"/>
      <c r="H924" s="6"/>
      <c r="I924" s="6"/>
      <c r="J924" s="6"/>
      <c r="K924" s="51"/>
      <c r="L924" s="51"/>
      <c r="M924" s="51"/>
      <c r="N924" s="51"/>
      <c r="O924" s="51"/>
      <c r="P924" s="51"/>
      <c r="Q924" s="51"/>
      <c r="R924" s="51"/>
      <c r="S924" s="51"/>
      <c r="T924" s="51"/>
      <c r="U924" s="51"/>
      <c r="V924" s="51"/>
      <c r="W924" s="51"/>
      <c r="X924" s="51"/>
      <c r="Y924" s="51"/>
      <c r="Z924" s="51"/>
      <c r="AA924" s="51"/>
      <c r="AB924" s="51"/>
    </row>
    <row r="925" customFormat="false" ht="15.75" hidden="false" customHeight="false" outlineLevel="0" collapsed="false">
      <c r="A925" s="51"/>
      <c r="B925" s="51"/>
      <c r="C925" s="6"/>
      <c r="D925" s="49"/>
      <c r="E925" s="51"/>
      <c r="F925" s="6"/>
      <c r="G925" s="6"/>
      <c r="H925" s="6"/>
      <c r="I925" s="6"/>
      <c r="J925" s="6"/>
      <c r="K925" s="51"/>
      <c r="L925" s="51"/>
      <c r="M925" s="51"/>
      <c r="N925" s="51"/>
      <c r="O925" s="51"/>
      <c r="P925" s="51"/>
      <c r="Q925" s="51"/>
      <c r="R925" s="51"/>
      <c r="S925" s="51"/>
      <c r="T925" s="51"/>
      <c r="U925" s="51"/>
      <c r="V925" s="51"/>
      <c r="W925" s="51"/>
      <c r="X925" s="51"/>
      <c r="Y925" s="51"/>
      <c r="Z925" s="51"/>
      <c r="AA925" s="51"/>
      <c r="AB925" s="51"/>
    </row>
    <row r="926" customFormat="false" ht="15.75" hidden="false" customHeight="false" outlineLevel="0" collapsed="false">
      <c r="A926" s="51"/>
      <c r="B926" s="51"/>
      <c r="C926" s="6"/>
      <c r="D926" s="49"/>
      <c r="E926" s="51"/>
      <c r="F926" s="6"/>
      <c r="G926" s="6"/>
      <c r="H926" s="6"/>
      <c r="I926" s="6"/>
      <c r="J926" s="6"/>
      <c r="K926" s="51"/>
      <c r="L926" s="51"/>
      <c r="M926" s="51"/>
      <c r="N926" s="51"/>
      <c r="O926" s="51"/>
      <c r="P926" s="51"/>
      <c r="Q926" s="51"/>
      <c r="R926" s="51"/>
      <c r="S926" s="51"/>
      <c r="T926" s="51"/>
      <c r="U926" s="51"/>
      <c r="V926" s="51"/>
      <c r="W926" s="51"/>
      <c r="X926" s="51"/>
      <c r="Y926" s="51"/>
      <c r="Z926" s="51"/>
      <c r="AA926" s="51"/>
      <c r="AB926" s="51"/>
    </row>
    <row r="927" customFormat="false" ht="15.75" hidden="false" customHeight="false" outlineLevel="0" collapsed="false">
      <c r="A927" s="51"/>
      <c r="B927" s="51"/>
      <c r="C927" s="6"/>
      <c r="D927" s="49"/>
      <c r="E927" s="51"/>
      <c r="F927" s="6"/>
      <c r="G927" s="6"/>
      <c r="H927" s="6"/>
      <c r="I927" s="6"/>
      <c r="J927" s="6"/>
      <c r="K927" s="51"/>
      <c r="L927" s="51"/>
      <c r="M927" s="51"/>
      <c r="N927" s="51"/>
      <c r="O927" s="51"/>
      <c r="P927" s="51"/>
      <c r="Q927" s="51"/>
      <c r="R927" s="51"/>
      <c r="S927" s="51"/>
      <c r="T927" s="51"/>
      <c r="U927" s="51"/>
      <c r="V927" s="51"/>
      <c r="W927" s="51"/>
      <c r="X927" s="51"/>
      <c r="Y927" s="51"/>
      <c r="Z927" s="51"/>
      <c r="AA927" s="51"/>
      <c r="AB927" s="51"/>
    </row>
    <row r="928" customFormat="false" ht="15.75" hidden="false" customHeight="false" outlineLevel="0" collapsed="false">
      <c r="A928" s="51"/>
      <c r="B928" s="51"/>
      <c r="C928" s="6"/>
      <c r="D928" s="49"/>
      <c r="E928" s="51"/>
      <c r="F928" s="6"/>
      <c r="G928" s="6"/>
      <c r="H928" s="6"/>
      <c r="I928" s="6"/>
      <c r="J928" s="6"/>
      <c r="K928" s="51"/>
      <c r="L928" s="51"/>
      <c r="M928" s="51"/>
      <c r="N928" s="51"/>
      <c r="O928" s="51"/>
      <c r="P928" s="51"/>
      <c r="Q928" s="51"/>
      <c r="R928" s="51"/>
      <c r="S928" s="51"/>
      <c r="T928" s="51"/>
      <c r="U928" s="51"/>
      <c r="V928" s="51"/>
      <c r="W928" s="51"/>
      <c r="X928" s="51"/>
      <c r="Y928" s="51"/>
      <c r="Z928" s="51"/>
      <c r="AA928" s="51"/>
      <c r="AB928" s="51"/>
    </row>
    <row r="929" customFormat="false" ht="15.75" hidden="false" customHeight="false" outlineLevel="0" collapsed="false">
      <c r="A929" s="51"/>
      <c r="B929" s="51"/>
      <c r="C929" s="6"/>
      <c r="D929" s="49"/>
      <c r="E929" s="51"/>
      <c r="F929" s="6"/>
      <c r="G929" s="6"/>
      <c r="H929" s="6"/>
      <c r="I929" s="6"/>
      <c r="J929" s="6"/>
      <c r="K929" s="51"/>
      <c r="L929" s="51"/>
      <c r="M929" s="51"/>
      <c r="N929" s="51"/>
      <c r="O929" s="51"/>
      <c r="P929" s="51"/>
      <c r="Q929" s="51"/>
      <c r="R929" s="51"/>
      <c r="S929" s="51"/>
      <c r="T929" s="51"/>
      <c r="U929" s="51"/>
      <c r="V929" s="51"/>
      <c r="W929" s="51"/>
      <c r="X929" s="51"/>
      <c r="Y929" s="51"/>
      <c r="Z929" s="51"/>
      <c r="AA929" s="51"/>
      <c r="AB929" s="51"/>
    </row>
    <row r="930" customFormat="false" ht="15.75" hidden="false" customHeight="false" outlineLevel="0" collapsed="false">
      <c r="A930" s="51"/>
      <c r="B930" s="51"/>
      <c r="C930" s="6"/>
      <c r="D930" s="49"/>
      <c r="E930" s="51"/>
      <c r="F930" s="6"/>
      <c r="G930" s="6"/>
      <c r="H930" s="6"/>
      <c r="I930" s="6"/>
      <c r="J930" s="6"/>
      <c r="K930" s="51"/>
      <c r="L930" s="51"/>
      <c r="M930" s="51"/>
      <c r="N930" s="51"/>
      <c r="O930" s="51"/>
      <c r="P930" s="51"/>
      <c r="Q930" s="51"/>
      <c r="R930" s="51"/>
      <c r="S930" s="51"/>
      <c r="T930" s="51"/>
      <c r="U930" s="51"/>
      <c r="V930" s="51"/>
      <c r="W930" s="51"/>
      <c r="X930" s="51"/>
      <c r="Y930" s="51"/>
      <c r="Z930" s="51"/>
      <c r="AA930" s="51"/>
      <c r="AB930" s="51"/>
    </row>
    <row r="931" customFormat="false" ht="15.75" hidden="false" customHeight="false" outlineLevel="0" collapsed="false">
      <c r="A931" s="51"/>
      <c r="B931" s="51"/>
      <c r="C931" s="6"/>
      <c r="D931" s="49"/>
      <c r="E931" s="51"/>
      <c r="F931" s="6"/>
      <c r="G931" s="6"/>
      <c r="H931" s="6"/>
      <c r="I931" s="6"/>
      <c r="J931" s="6"/>
      <c r="K931" s="51"/>
      <c r="L931" s="51"/>
      <c r="M931" s="51"/>
      <c r="N931" s="51"/>
      <c r="O931" s="51"/>
      <c r="P931" s="51"/>
      <c r="Q931" s="51"/>
      <c r="R931" s="51"/>
      <c r="S931" s="51"/>
      <c r="T931" s="51"/>
      <c r="U931" s="51"/>
      <c r="V931" s="51"/>
      <c r="W931" s="51"/>
      <c r="X931" s="51"/>
      <c r="Y931" s="51"/>
      <c r="Z931" s="51"/>
      <c r="AA931" s="51"/>
      <c r="AB931" s="51"/>
    </row>
    <row r="932" customFormat="false" ht="15.75" hidden="false" customHeight="false" outlineLevel="0" collapsed="false">
      <c r="A932" s="51"/>
      <c r="B932" s="51"/>
      <c r="C932" s="6"/>
      <c r="D932" s="49"/>
      <c r="E932" s="51"/>
      <c r="F932" s="6"/>
      <c r="G932" s="6"/>
      <c r="H932" s="6"/>
      <c r="I932" s="6"/>
      <c r="J932" s="6"/>
      <c r="K932" s="51"/>
      <c r="L932" s="51"/>
      <c r="M932" s="51"/>
      <c r="N932" s="51"/>
      <c r="O932" s="51"/>
      <c r="P932" s="51"/>
      <c r="Q932" s="51"/>
      <c r="R932" s="51"/>
      <c r="S932" s="51"/>
      <c r="T932" s="51"/>
      <c r="U932" s="51"/>
      <c r="V932" s="51"/>
      <c r="W932" s="51"/>
      <c r="X932" s="51"/>
      <c r="Y932" s="51"/>
      <c r="Z932" s="51"/>
      <c r="AA932" s="51"/>
      <c r="AB932" s="51"/>
    </row>
    <row r="933" customFormat="false" ht="15.75" hidden="false" customHeight="false" outlineLevel="0" collapsed="false">
      <c r="A933" s="51"/>
      <c r="B933" s="51"/>
      <c r="C933" s="6"/>
      <c r="D933" s="49"/>
      <c r="E933" s="51"/>
      <c r="F933" s="6"/>
      <c r="G933" s="6"/>
      <c r="H933" s="6"/>
      <c r="I933" s="6"/>
      <c r="J933" s="6"/>
      <c r="K933" s="51"/>
      <c r="L933" s="51"/>
      <c r="M933" s="51"/>
      <c r="N933" s="51"/>
      <c r="O933" s="51"/>
      <c r="P933" s="51"/>
      <c r="Q933" s="51"/>
      <c r="R933" s="51"/>
      <c r="S933" s="51"/>
      <c r="T933" s="51"/>
      <c r="U933" s="51"/>
      <c r="V933" s="51"/>
      <c r="W933" s="51"/>
      <c r="X933" s="51"/>
      <c r="Y933" s="51"/>
      <c r="Z933" s="51"/>
      <c r="AA933" s="51"/>
      <c r="AB933" s="51"/>
    </row>
    <row r="934" customFormat="false" ht="15.75" hidden="false" customHeight="false" outlineLevel="0" collapsed="false">
      <c r="A934" s="51"/>
      <c r="B934" s="51"/>
      <c r="C934" s="6"/>
      <c r="D934" s="49"/>
      <c r="E934" s="51"/>
      <c r="F934" s="6"/>
      <c r="G934" s="6"/>
      <c r="H934" s="6"/>
      <c r="I934" s="6"/>
      <c r="J934" s="6"/>
      <c r="K934" s="51"/>
      <c r="L934" s="51"/>
      <c r="M934" s="51"/>
      <c r="N934" s="51"/>
      <c r="O934" s="51"/>
      <c r="P934" s="51"/>
      <c r="Q934" s="51"/>
      <c r="R934" s="51"/>
      <c r="S934" s="51"/>
      <c r="T934" s="51"/>
      <c r="U934" s="51"/>
      <c r="V934" s="51"/>
      <c r="W934" s="51"/>
      <c r="X934" s="51"/>
      <c r="Y934" s="51"/>
      <c r="Z934" s="51"/>
      <c r="AA934" s="51"/>
      <c r="AB934" s="51"/>
    </row>
    <row r="935" customFormat="false" ht="15.75" hidden="false" customHeight="false" outlineLevel="0" collapsed="false">
      <c r="A935" s="51"/>
      <c r="B935" s="51"/>
      <c r="C935" s="6"/>
      <c r="D935" s="49"/>
      <c r="E935" s="51"/>
      <c r="F935" s="6"/>
      <c r="G935" s="6"/>
      <c r="H935" s="6"/>
      <c r="I935" s="6"/>
      <c r="J935" s="6"/>
      <c r="K935" s="51"/>
      <c r="L935" s="51"/>
      <c r="M935" s="51"/>
      <c r="N935" s="51"/>
      <c r="O935" s="51"/>
      <c r="P935" s="51"/>
      <c r="Q935" s="51"/>
      <c r="R935" s="51"/>
      <c r="S935" s="51"/>
      <c r="T935" s="51"/>
      <c r="U935" s="51"/>
      <c r="V935" s="51"/>
      <c r="W935" s="51"/>
      <c r="X935" s="51"/>
      <c r="Y935" s="51"/>
      <c r="Z935" s="51"/>
      <c r="AA935" s="51"/>
      <c r="AB935" s="51"/>
    </row>
    <row r="936" customFormat="false" ht="15.75" hidden="false" customHeight="false" outlineLevel="0" collapsed="false">
      <c r="A936" s="51"/>
      <c r="B936" s="51"/>
      <c r="C936" s="6"/>
      <c r="D936" s="49"/>
      <c r="E936" s="51"/>
      <c r="F936" s="6"/>
      <c r="G936" s="6"/>
      <c r="H936" s="6"/>
      <c r="I936" s="6"/>
      <c r="J936" s="6"/>
      <c r="K936" s="51"/>
      <c r="L936" s="51"/>
      <c r="M936" s="51"/>
      <c r="N936" s="51"/>
      <c r="O936" s="51"/>
      <c r="P936" s="51"/>
      <c r="Q936" s="51"/>
      <c r="R936" s="51"/>
      <c r="S936" s="51"/>
      <c r="T936" s="51"/>
      <c r="U936" s="51"/>
      <c r="V936" s="51"/>
      <c r="W936" s="51"/>
      <c r="X936" s="51"/>
      <c r="Y936" s="51"/>
      <c r="Z936" s="51"/>
      <c r="AA936" s="51"/>
      <c r="AB936" s="51"/>
    </row>
    <row r="937" customFormat="false" ht="15.75" hidden="false" customHeight="false" outlineLevel="0" collapsed="false">
      <c r="A937" s="51"/>
      <c r="B937" s="51"/>
      <c r="C937" s="6"/>
      <c r="D937" s="49"/>
      <c r="E937" s="51"/>
      <c r="F937" s="6"/>
      <c r="G937" s="6"/>
      <c r="H937" s="6"/>
      <c r="I937" s="6"/>
      <c r="J937" s="6"/>
      <c r="K937" s="51"/>
      <c r="L937" s="51"/>
      <c r="M937" s="51"/>
      <c r="N937" s="51"/>
      <c r="O937" s="51"/>
      <c r="P937" s="51"/>
      <c r="Q937" s="51"/>
      <c r="R937" s="51"/>
      <c r="S937" s="51"/>
      <c r="T937" s="51"/>
      <c r="U937" s="51"/>
      <c r="V937" s="51"/>
      <c r="W937" s="51"/>
      <c r="X937" s="51"/>
      <c r="Y937" s="51"/>
      <c r="Z937" s="51"/>
      <c r="AA937" s="51"/>
      <c r="AB937" s="51"/>
    </row>
    <row r="938" customFormat="false" ht="15.75" hidden="false" customHeight="false" outlineLevel="0" collapsed="false">
      <c r="A938" s="51"/>
      <c r="B938" s="51"/>
      <c r="C938" s="6"/>
      <c r="D938" s="49"/>
      <c r="E938" s="51"/>
      <c r="F938" s="6"/>
      <c r="G938" s="6"/>
      <c r="H938" s="6"/>
      <c r="I938" s="6"/>
      <c r="J938" s="6"/>
      <c r="K938" s="51"/>
      <c r="L938" s="51"/>
      <c r="M938" s="51"/>
      <c r="N938" s="51"/>
      <c r="O938" s="51"/>
      <c r="P938" s="51"/>
      <c r="Q938" s="51"/>
      <c r="R938" s="51"/>
      <c r="S938" s="51"/>
      <c r="T938" s="51"/>
      <c r="U938" s="51"/>
      <c r="V938" s="51"/>
      <c r="W938" s="51"/>
      <c r="X938" s="51"/>
      <c r="Y938" s="51"/>
      <c r="Z938" s="51"/>
      <c r="AA938" s="51"/>
      <c r="AB938" s="51"/>
    </row>
    <row r="939" customFormat="false" ht="15.75" hidden="false" customHeight="false" outlineLevel="0" collapsed="false">
      <c r="A939" s="51"/>
      <c r="B939" s="51"/>
      <c r="C939" s="6"/>
      <c r="D939" s="49"/>
      <c r="E939" s="51"/>
      <c r="F939" s="6"/>
      <c r="G939" s="6"/>
      <c r="H939" s="6"/>
      <c r="I939" s="6"/>
      <c r="J939" s="6"/>
      <c r="K939" s="51"/>
      <c r="L939" s="51"/>
      <c r="M939" s="51"/>
      <c r="N939" s="51"/>
      <c r="O939" s="51"/>
      <c r="P939" s="51"/>
      <c r="Q939" s="51"/>
      <c r="R939" s="51"/>
      <c r="S939" s="51"/>
      <c r="T939" s="51"/>
      <c r="U939" s="51"/>
      <c r="V939" s="51"/>
      <c r="W939" s="51"/>
      <c r="X939" s="51"/>
      <c r="Y939" s="51"/>
      <c r="Z939" s="51"/>
      <c r="AA939" s="51"/>
      <c r="AB939" s="51"/>
    </row>
    <row r="940" customFormat="false" ht="15.75" hidden="false" customHeight="false" outlineLevel="0" collapsed="false">
      <c r="A940" s="51"/>
      <c r="B940" s="51"/>
      <c r="C940" s="6"/>
      <c r="D940" s="49"/>
      <c r="E940" s="51"/>
      <c r="F940" s="6"/>
      <c r="G940" s="6"/>
      <c r="H940" s="6"/>
      <c r="I940" s="6"/>
      <c r="J940" s="6"/>
      <c r="K940" s="51"/>
      <c r="L940" s="51"/>
      <c r="M940" s="51"/>
      <c r="N940" s="51"/>
      <c r="O940" s="51"/>
      <c r="P940" s="51"/>
      <c r="Q940" s="51"/>
      <c r="R940" s="51"/>
      <c r="S940" s="51"/>
      <c r="T940" s="51"/>
      <c r="U940" s="51"/>
      <c r="V940" s="51"/>
      <c r="W940" s="51"/>
      <c r="X940" s="51"/>
      <c r="Y940" s="51"/>
      <c r="Z940" s="51"/>
      <c r="AA940" s="51"/>
      <c r="AB940" s="51"/>
    </row>
    <row r="941" customFormat="false" ht="15.75" hidden="false" customHeight="false" outlineLevel="0" collapsed="false">
      <c r="A941" s="51"/>
      <c r="B941" s="51"/>
      <c r="C941" s="6"/>
      <c r="D941" s="49"/>
      <c r="E941" s="51"/>
      <c r="F941" s="6"/>
      <c r="G941" s="6"/>
      <c r="H941" s="6"/>
      <c r="I941" s="6"/>
      <c r="J941" s="6"/>
      <c r="K941" s="51"/>
      <c r="L941" s="51"/>
      <c r="M941" s="51"/>
      <c r="N941" s="51"/>
      <c r="O941" s="51"/>
      <c r="P941" s="51"/>
      <c r="Q941" s="51"/>
      <c r="R941" s="51"/>
      <c r="S941" s="51"/>
      <c r="T941" s="51"/>
      <c r="U941" s="51"/>
      <c r="V941" s="51"/>
      <c r="W941" s="51"/>
      <c r="X941" s="51"/>
      <c r="Y941" s="51"/>
      <c r="Z941" s="51"/>
      <c r="AA941" s="51"/>
      <c r="AB941" s="51"/>
    </row>
    <row r="942" customFormat="false" ht="15.75" hidden="false" customHeight="false" outlineLevel="0" collapsed="false">
      <c r="A942" s="51"/>
      <c r="B942" s="51"/>
      <c r="C942" s="6"/>
      <c r="D942" s="49"/>
      <c r="E942" s="51"/>
      <c r="F942" s="6"/>
      <c r="G942" s="6"/>
      <c r="H942" s="6"/>
      <c r="I942" s="6"/>
      <c r="J942" s="6"/>
      <c r="K942" s="51"/>
      <c r="L942" s="51"/>
      <c r="M942" s="51"/>
      <c r="N942" s="51"/>
      <c r="O942" s="51"/>
      <c r="P942" s="51"/>
      <c r="Q942" s="51"/>
      <c r="R942" s="51"/>
      <c r="S942" s="51"/>
      <c r="T942" s="51"/>
      <c r="U942" s="51"/>
      <c r="V942" s="51"/>
      <c r="W942" s="51"/>
      <c r="X942" s="51"/>
      <c r="Y942" s="51"/>
      <c r="Z942" s="51"/>
      <c r="AA942" s="51"/>
      <c r="AB942" s="51"/>
    </row>
    <row r="943" customFormat="false" ht="15.75" hidden="false" customHeight="false" outlineLevel="0" collapsed="false">
      <c r="A943" s="51"/>
      <c r="B943" s="51"/>
      <c r="C943" s="6"/>
      <c r="D943" s="49"/>
      <c r="E943" s="51"/>
      <c r="F943" s="6"/>
      <c r="G943" s="6"/>
      <c r="H943" s="6"/>
      <c r="I943" s="6"/>
      <c r="J943" s="6"/>
      <c r="K943" s="51"/>
      <c r="L943" s="51"/>
      <c r="M943" s="51"/>
      <c r="N943" s="51"/>
      <c r="O943" s="51"/>
      <c r="P943" s="51"/>
      <c r="Q943" s="51"/>
      <c r="R943" s="51"/>
      <c r="S943" s="51"/>
      <c r="T943" s="51"/>
      <c r="U943" s="51"/>
      <c r="V943" s="51"/>
      <c r="W943" s="51"/>
      <c r="X943" s="51"/>
      <c r="Y943" s="51"/>
      <c r="Z943" s="51"/>
      <c r="AA943" s="51"/>
      <c r="AB943" s="51"/>
    </row>
    <row r="944" customFormat="false" ht="15.75" hidden="false" customHeight="false" outlineLevel="0" collapsed="false">
      <c r="A944" s="51"/>
      <c r="B944" s="51"/>
      <c r="C944" s="6"/>
      <c r="D944" s="49"/>
      <c r="E944" s="51"/>
      <c r="F944" s="6"/>
      <c r="G944" s="6"/>
      <c r="H944" s="6"/>
      <c r="I944" s="6"/>
      <c r="J944" s="6"/>
      <c r="K944" s="51"/>
      <c r="L944" s="51"/>
      <c r="M944" s="51"/>
      <c r="N944" s="51"/>
      <c r="O944" s="51"/>
      <c r="P944" s="51"/>
      <c r="Q944" s="51"/>
      <c r="R944" s="51"/>
      <c r="S944" s="51"/>
      <c r="T944" s="51"/>
      <c r="U944" s="51"/>
      <c r="V944" s="51"/>
      <c r="W944" s="51"/>
      <c r="X944" s="51"/>
      <c r="Y944" s="51"/>
      <c r="Z944" s="51"/>
      <c r="AA944" s="51"/>
      <c r="AB944" s="51"/>
    </row>
    <row r="945" customFormat="false" ht="15.75" hidden="false" customHeight="false" outlineLevel="0" collapsed="false">
      <c r="A945" s="51"/>
      <c r="B945" s="51"/>
      <c r="C945" s="6"/>
      <c r="D945" s="49"/>
      <c r="E945" s="51"/>
      <c r="F945" s="6"/>
      <c r="G945" s="6"/>
      <c r="H945" s="6"/>
      <c r="I945" s="6"/>
      <c r="J945" s="6"/>
      <c r="K945" s="51"/>
      <c r="L945" s="51"/>
      <c r="M945" s="51"/>
      <c r="N945" s="51"/>
      <c r="O945" s="51"/>
      <c r="P945" s="51"/>
      <c r="Q945" s="51"/>
      <c r="R945" s="51"/>
      <c r="S945" s="51"/>
      <c r="T945" s="51"/>
      <c r="U945" s="51"/>
      <c r="V945" s="51"/>
      <c r="W945" s="51"/>
      <c r="X945" s="51"/>
      <c r="Y945" s="51"/>
      <c r="Z945" s="51"/>
      <c r="AA945" s="51"/>
      <c r="AB945" s="51"/>
    </row>
    <row r="946" customFormat="false" ht="15.75" hidden="false" customHeight="false" outlineLevel="0" collapsed="false">
      <c r="A946" s="51"/>
      <c r="B946" s="51"/>
      <c r="C946" s="6"/>
      <c r="D946" s="49"/>
      <c r="E946" s="51"/>
      <c r="F946" s="6"/>
      <c r="G946" s="6"/>
      <c r="H946" s="6"/>
      <c r="I946" s="6"/>
      <c r="J946" s="6"/>
      <c r="K946" s="51"/>
      <c r="L946" s="51"/>
      <c r="M946" s="51"/>
      <c r="N946" s="51"/>
      <c r="O946" s="51"/>
      <c r="P946" s="51"/>
      <c r="Q946" s="51"/>
      <c r="R946" s="51"/>
      <c r="S946" s="51"/>
      <c r="T946" s="51"/>
      <c r="U946" s="51"/>
      <c r="V946" s="51"/>
      <c r="W946" s="51"/>
      <c r="X946" s="51"/>
      <c r="Y946" s="51"/>
      <c r="Z946" s="51"/>
      <c r="AA946" s="51"/>
      <c r="AB946" s="51"/>
    </row>
    <row r="947" customFormat="false" ht="15.75" hidden="false" customHeight="false" outlineLevel="0" collapsed="false">
      <c r="A947" s="51"/>
      <c r="B947" s="51"/>
      <c r="C947" s="6"/>
      <c r="D947" s="49"/>
      <c r="E947" s="51"/>
      <c r="F947" s="6"/>
      <c r="G947" s="6"/>
      <c r="H947" s="6"/>
      <c r="I947" s="6"/>
      <c r="J947" s="6"/>
      <c r="K947" s="51"/>
      <c r="L947" s="51"/>
      <c r="M947" s="51"/>
      <c r="N947" s="51"/>
      <c r="O947" s="51"/>
      <c r="P947" s="51"/>
      <c r="Q947" s="51"/>
      <c r="R947" s="51"/>
      <c r="S947" s="51"/>
      <c r="T947" s="51"/>
      <c r="U947" s="51"/>
      <c r="V947" s="51"/>
      <c r="W947" s="51"/>
      <c r="X947" s="51"/>
      <c r="Y947" s="51"/>
      <c r="Z947" s="51"/>
      <c r="AA947" s="51"/>
      <c r="AB947" s="51"/>
    </row>
    <row r="948" customFormat="false" ht="15.75" hidden="false" customHeight="false" outlineLevel="0" collapsed="false">
      <c r="A948" s="51"/>
      <c r="B948" s="51"/>
      <c r="C948" s="6"/>
      <c r="D948" s="49"/>
      <c r="E948" s="51"/>
      <c r="F948" s="6"/>
      <c r="G948" s="6"/>
      <c r="H948" s="6"/>
      <c r="I948" s="6"/>
      <c r="J948" s="6"/>
      <c r="K948" s="51"/>
      <c r="L948" s="51"/>
      <c r="M948" s="51"/>
      <c r="N948" s="51"/>
      <c r="O948" s="51"/>
      <c r="P948" s="51"/>
      <c r="Q948" s="51"/>
      <c r="R948" s="51"/>
      <c r="S948" s="51"/>
      <c r="T948" s="51"/>
      <c r="U948" s="51"/>
      <c r="V948" s="51"/>
      <c r="W948" s="51"/>
      <c r="X948" s="51"/>
      <c r="Y948" s="51"/>
      <c r="Z948" s="51"/>
      <c r="AA948" s="51"/>
      <c r="AB948" s="51"/>
    </row>
    <row r="949" customFormat="false" ht="15.75" hidden="false" customHeight="false" outlineLevel="0" collapsed="false">
      <c r="A949" s="51"/>
      <c r="B949" s="51"/>
      <c r="C949" s="6"/>
      <c r="D949" s="49"/>
      <c r="E949" s="51"/>
      <c r="F949" s="6"/>
      <c r="G949" s="6"/>
      <c r="H949" s="6"/>
      <c r="I949" s="6"/>
      <c r="J949" s="6"/>
      <c r="K949" s="51"/>
      <c r="L949" s="51"/>
      <c r="M949" s="51"/>
      <c r="N949" s="51"/>
      <c r="O949" s="51"/>
      <c r="P949" s="51"/>
      <c r="Q949" s="51"/>
      <c r="R949" s="51"/>
      <c r="S949" s="51"/>
      <c r="T949" s="51"/>
      <c r="U949" s="51"/>
      <c r="V949" s="51"/>
      <c r="W949" s="51"/>
      <c r="X949" s="51"/>
      <c r="Y949" s="51"/>
      <c r="Z949" s="51"/>
      <c r="AA949" s="51"/>
      <c r="AB949" s="51"/>
    </row>
    <row r="950" customFormat="false" ht="15.75" hidden="false" customHeight="false" outlineLevel="0" collapsed="false">
      <c r="A950" s="51"/>
      <c r="B950" s="51"/>
      <c r="C950" s="6"/>
      <c r="D950" s="49"/>
      <c r="E950" s="51"/>
      <c r="F950" s="6"/>
      <c r="G950" s="6"/>
      <c r="H950" s="6"/>
      <c r="I950" s="6"/>
      <c r="J950" s="6"/>
      <c r="K950" s="51"/>
      <c r="L950" s="51"/>
      <c r="M950" s="51"/>
      <c r="N950" s="51"/>
      <c r="O950" s="51"/>
      <c r="P950" s="51"/>
      <c r="Q950" s="51"/>
      <c r="R950" s="51"/>
      <c r="S950" s="51"/>
      <c r="T950" s="51"/>
      <c r="U950" s="51"/>
      <c r="V950" s="51"/>
      <c r="W950" s="51"/>
      <c r="X950" s="51"/>
      <c r="Y950" s="51"/>
      <c r="Z950" s="51"/>
      <c r="AA950" s="51"/>
      <c r="AB950" s="51"/>
    </row>
    <row r="951" customFormat="false" ht="15.75" hidden="false" customHeight="false" outlineLevel="0" collapsed="false">
      <c r="A951" s="51"/>
      <c r="B951" s="51"/>
      <c r="C951" s="6"/>
      <c r="D951" s="49"/>
      <c r="E951" s="51"/>
      <c r="F951" s="6"/>
      <c r="G951" s="6"/>
      <c r="H951" s="6"/>
      <c r="I951" s="6"/>
      <c r="J951" s="6"/>
      <c r="K951" s="51"/>
      <c r="L951" s="51"/>
      <c r="M951" s="51"/>
      <c r="N951" s="51"/>
      <c r="O951" s="51"/>
      <c r="P951" s="51"/>
      <c r="Q951" s="51"/>
      <c r="R951" s="51"/>
      <c r="S951" s="51"/>
      <c r="T951" s="51"/>
      <c r="U951" s="51"/>
      <c r="V951" s="51"/>
      <c r="W951" s="51"/>
      <c r="X951" s="51"/>
      <c r="Y951" s="51"/>
      <c r="Z951" s="51"/>
      <c r="AA951" s="51"/>
      <c r="AB951" s="51"/>
    </row>
    <row r="952" customFormat="false" ht="15.75" hidden="false" customHeight="false" outlineLevel="0" collapsed="false">
      <c r="A952" s="51"/>
      <c r="B952" s="51"/>
      <c r="C952" s="6"/>
      <c r="D952" s="49"/>
      <c r="E952" s="51"/>
      <c r="F952" s="6"/>
      <c r="G952" s="6"/>
      <c r="H952" s="6"/>
      <c r="I952" s="6"/>
      <c r="J952" s="6"/>
      <c r="K952" s="51"/>
      <c r="L952" s="51"/>
      <c r="M952" s="51"/>
      <c r="N952" s="51"/>
      <c r="O952" s="51"/>
      <c r="P952" s="51"/>
      <c r="Q952" s="51"/>
      <c r="R952" s="51"/>
      <c r="S952" s="51"/>
      <c r="T952" s="51"/>
      <c r="U952" s="51"/>
      <c r="V952" s="51"/>
      <c r="W952" s="51"/>
      <c r="X952" s="51"/>
      <c r="Y952" s="51"/>
      <c r="Z952" s="51"/>
      <c r="AA952" s="51"/>
      <c r="AB952" s="51"/>
    </row>
    <row r="953" customFormat="false" ht="15.75" hidden="false" customHeight="false" outlineLevel="0" collapsed="false">
      <c r="A953" s="51"/>
      <c r="B953" s="51"/>
      <c r="C953" s="6"/>
      <c r="D953" s="49"/>
      <c r="E953" s="51"/>
      <c r="F953" s="6"/>
      <c r="G953" s="6"/>
      <c r="H953" s="6"/>
      <c r="I953" s="6"/>
      <c r="J953" s="6"/>
      <c r="K953" s="51"/>
      <c r="L953" s="51"/>
      <c r="M953" s="51"/>
      <c r="N953" s="51"/>
      <c r="O953" s="51"/>
      <c r="P953" s="51"/>
      <c r="Q953" s="51"/>
      <c r="R953" s="51"/>
      <c r="S953" s="51"/>
      <c r="T953" s="51"/>
      <c r="U953" s="51"/>
      <c r="V953" s="51"/>
      <c r="W953" s="51"/>
      <c r="X953" s="51"/>
      <c r="Y953" s="51"/>
      <c r="Z953" s="51"/>
      <c r="AA953" s="51"/>
      <c r="AB953" s="51"/>
    </row>
    <row r="954" customFormat="false" ht="15.75" hidden="false" customHeight="false" outlineLevel="0" collapsed="false">
      <c r="A954" s="51"/>
      <c r="B954" s="51"/>
      <c r="C954" s="6"/>
      <c r="D954" s="49"/>
      <c r="E954" s="51"/>
      <c r="F954" s="6"/>
      <c r="G954" s="6"/>
      <c r="H954" s="6"/>
      <c r="I954" s="6"/>
      <c r="J954" s="6"/>
      <c r="K954" s="51"/>
      <c r="L954" s="51"/>
      <c r="M954" s="51"/>
      <c r="N954" s="51"/>
      <c r="O954" s="51"/>
      <c r="P954" s="51"/>
      <c r="Q954" s="51"/>
      <c r="R954" s="51"/>
      <c r="S954" s="51"/>
      <c r="T954" s="51"/>
      <c r="U954" s="51"/>
      <c r="V954" s="51"/>
      <c r="W954" s="51"/>
      <c r="X954" s="51"/>
      <c r="Y954" s="51"/>
      <c r="Z954" s="51"/>
      <c r="AA954" s="51"/>
      <c r="AB954" s="51"/>
    </row>
    <row r="955" customFormat="false" ht="15.75" hidden="false" customHeight="false" outlineLevel="0" collapsed="false">
      <c r="A955" s="51"/>
      <c r="B955" s="51"/>
      <c r="C955" s="6"/>
      <c r="D955" s="49"/>
      <c r="E955" s="51"/>
      <c r="F955" s="6"/>
      <c r="G955" s="6"/>
      <c r="H955" s="6"/>
      <c r="I955" s="6"/>
      <c r="J955" s="6"/>
      <c r="K955" s="51"/>
      <c r="L955" s="51"/>
      <c r="M955" s="51"/>
      <c r="N955" s="51"/>
      <c r="O955" s="51"/>
      <c r="P955" s="51"/>
      <c r="Q955" s="51"/>
      <c r="R955" s="51"/>
      <c r="S955" s="51"/>
      <c r="T955" s="51"/>
      <c r="U955" s="51"/>
      <c r="V955" s="51"/>
      <c r="W955" s="51"/>
      <c r="X955" s="51"/>
      <c r="Y955" s="51"/>
      <c r="Z955" s="51"/>
      <c r="AA955" s="51"/>
      <c r="AB955" s="51"/>
    </row>
    <row r="956" customFormat="false" ht="15.75" hidden="false" customHeight="false" outlineLevel="0" collapsed="false">
      <c r="A956" s="51"/>
      <c r="B956" s="51"/>
      <c r="C956" s="6"/>
      <c r="D956" s="49"/>
      <c r="E956" s="51"/>
      <c r="F956" s="6"/>
      <c r="G956" s="6"/>
      <c r="H956" s="6"/>
      <c r="I956" s="6"/>
      <c r="J956" s="6"/>
      <c r="K956" s="51"/>
      <c r="L956" s="51"/>
      <c r="M956" s="51"/>
      <c r="N956" s="51"/>
      <c r="O956" s="51"/>
      <c r="P956" s="51"/>
      <c r="Q956" s="51"/>
      <c r="R956" s="51"/>
      <c r="S956" s="51"/>
      <c r="T956" s="51"/>
      <c r="U956" s="51"/>
      <c r="V956" s="51"/>
      <c r="W956" s="51"/>
      <c r="X956" s="51"/>
      <c r="Y956" s="51"/>
      <c r="Z956" s="51"/>
      <c r="AA956" s="51"/>
      <c r="AB956" s="51"/>
    </row>
    <row r="957" customFormat="false" ht="15.75" hidden="false" customHeight="false" outlineLevel="0" collapsed="false">
      <c r="A957" s="51"/>
      <c r="B957" s="51"/>
      <c r="C957" s="6"/>
      <c r="D957" s="49"/>
      <c r="E957" s="51"/>
      <c r="F957" s="6"/>
      <c r="G957" s="6"/>
      <c r="H957" s="6"/>
      <c r="I957" s="6"/>
      <c r="J957" s="6"/>
      <c r="K957" s="51"/>
      <c r="L957" s="51"/>
      <c r="M957" s="51"/>
      <c r="N957" s="51"/>
      <c r="O957" s="51"/>
      <c r="P957" s="51"/>
      <c r="Q957" s="51"/>
      <c r="R957" s="51"/>
      <c r="S957" s="51"/>
      <c r="T957" s="51"/>
      <c r="U957" s="51"/>
      <c r="V957" s="51"/>
      <c r="W957" s="51"/>
      <c r="X957" s="51"/>
      <c r="Y957" s="51"/>
      <c r="Z957" s="51"/>
      <c r="AA957" s="51"/>
      <c r="AB957" s="51"/>
    </row>
    <row r="958" customFormat="false" ht="15.75" hidden="false" customHeight="false" outlineLevel="0" collapsed="false">
      <c r="A958" s="51"/>
      <c r="B958" s="51"/>
      <c r="C958" s="6"/>
      <c r="D958" s="49"/>
      <c r="E958" s="51"/>
      <c r="F958" s="6"/>
      <c r="G958" s="6"/>
      <c r="H958" s="6"/>
      <c r="I958" s="6"/>
      <c r="J958" s="6"/>
      <c r="K958" s="51"/>
      <c r="L958" s="51"/>
      <c r="M958" s="51"/>
      <c r="N958" s="51"/>
      <c r="O958" s="51"/>
      <c r="P958" s="51"/>
      <c r="Q958" s="51"/>
      <c r="R958" s="51"/>
      <c r="S958" s="51"/>
      <c r="T958" s="51"/>
      <c r="U958" s="51"/>
      <c r="V958" s="51"/>
      <c r="W958" s="51"/>
      <c r="X958" s="51"/>
      <c r="Y958" s="51"/>
      <c r="Z958" s="51"/>
      <c r="AA958" s="51"/>
      <c r="AB958" s="51"/>
    </row>
    <row r="959" customFormat="false" ht="15.75" hidden="false" customHeight="false" outlineLevel="0" collapsed="false">
      <c r="A959" s="51"/>
      <c r="B959" s="51"/>
      <c r="C959" s="6"/>
      <c r="D959" s="49"/>
      <c r="E959" s="51"/>
      <c r="F959" s="6"/>
      <c r="G959" s="6"/>
      <c r="H959" s="6"/>
      <c r="I959" s="6"/>
      <c r="J959" s="6"/>
      <c r="K959" s="51"/>
      <c r="L959" s="51"/>
      <c r="M959" s="51"/>
      <c r="N959" s="51"/>
      <c r="O959" s="51"/>
      <c r="P959" s="51"/>
      <c r="Q959" s="51"/>
      <c r="R959" s="51"/>
      <c r="S959" s="51"/>
      <c r="T959" s="51"/>
      <c r="U959" s="51"/>
      <c r="V959" s="51"/>
      <c r="W959" s="51"/>
      <c r="X959" s="51"/>
      <c r="Y959" s="51"/>
      <c r="Z959" s="51"/>
      <c r="AA959" s="51"/>
      <c r="AB959" s="51"/>
    </row>
    <row r="960" customFormat="false" ht="15.75" hidden="false" customHeight="false" outlineLevel="0" collapsed="false">
      <c r="A960" s="51"/>
      <c r="B960" s="51"/>
      <c r="C960" s="6"/>
      <c r="D960" s="49"/>
      <c r="E960" s="51"/>
      <c r="F960" s="6"/>
      <c r="G960" s="6"/>
      <c r="H960" s="6"/>
      <c r="I960" s="6"/>
      <c r="J960" s="6"/>
      <c r="K960" s="51"/>
      <c r="L960" s="51"/>
      <c r="M960" s="51"/>
      <c r="N960" s="51"/>
      <c r="O960" s="51"/>
      <c r="P960" s="51"/>
      <c r="Q960" s="51"/>
      <c r="R960" s="51"/>
      <c r="S960" s="51"/>
      <c r="T960" s="51"/>
      <c r="U960" s="51"/>
      <c r="V960" s="51"/>
      <c r="W960" s="51"/>
      <c r="X960" s="51"/>
      <c r="Y960" s="51"/>
      <c r="Z960" s="51"/>
      <c r="AA960" s="51"/>
      <c r="AB960" s="51"/>
    </row>
    <row r="961" customFormat="false" ht="15.75" hidden="false" customHeight="false" outlineLevel="0" collapsed="false">
      <c r="A961" s="51"/>
      <c r="B961" s="51"/>
      <c r="C961" s="6"/>
      <c r="D961" s="49"/>
      <c r="E961" s="51"/>
      <c r="F961" s="6"/>
      <c r="G961" s="6"/>
      <c r="H961" s="6"/>
      <c r="I961" s="6"/>
      <c r="J961" s="6"/>
      <c r="K961" s="51"/>
      <c r="L961" s="51"/>
      <c r="M961" s="51"/>
      <c r="N961" s="51"/>
      <c r="O961" s="51"/>
      <c r="P961" s="51"/>
      <c r="Q961" s="51"/>
      <c r="R961" s="51"/>
      <c r="S961" s="51"/>
      <c r="T961" s="51"/>
      <c r="U961" s="51"/>
      <c r="V961" s="51"/>
      <c r="W961" s="51"/>
      <c r="X961" s="51"/>
      <c r="Y961" s="51"/>
      <c r="Z961" s="51"/>
      <c r="AA961" s="51"/>
      <c r="AB961" s="51"/>
    </row>
    <row r="962" customFormat="false" ht="15.75" hidden="false" customHeight="false" outlineLevel="0" collapsed="false">
      <c r="A962" s="51"/>
      <c r="B962" s="51"/>
      <c r="C962" s="6"/>
      <c r="D962" s="49"/>
      <c r="E962" s="51"/>
      <c r="F962" s="6"/>
      <c r="G962" s="6"/>
      <c r="H962" s="6"/>
      <c r="I962" s="6"/>
      <c r="J962" s="6"/>
      <c r="K962" s="51"/>
      <c r="L962" s="51"/>
      <c r="M962" s="51"/>
      <c r="N962" s="51"/>
      <c r="O962" s="51"/>
      <c r="P962" s="51"/>
      <c r="Q962" s="51"/>
      <c r="R962" s="51"/>
      <c r="S962" s="51"/>
      <c r="T962" s="51"/>
      <c r="U962" s="51"/>
      <c r="V962" s="51"/>
      <c r="W962" s="51"/>
      <c r="X962" s="51"/>
      <c r="Y962" s="51"/>
      <c r="Z962" s="51"/>
      <c r="AA962" s="51"/>
      <c r="AB962" s="51"/>
    </row>
    <row r="963" customFormat="false" ht="15.75" hidden="false" customHeight="false" outlineLevel="0" collapsed="false">
      <c r="A963" s="51"/>
      <c r="B963" s="51"/>
      <c r="C963" s="6"/>
      <c r="D963" s="49"/>
      <c r="E963" s="51"/>
      <c r="F963" s="6"/>
      <c r="G963" s="6"/>
      <c r="H963" s="6"/>
      <c r="I963" s="6"/>
      <c r="J963" s="6"/>
      <c r="K963" s="51"/>
      <c r="L963" s="51"/>
      <c r="M963" s="51"/>
      <c r="N963" s="51"/>
      <c r="O963" s="51"/>
      <c r="P963" s="51"/>
      <c r="Q963" s="51"/>
      <c r="R963" s="51"/>
      <c r="S963" s="51"/>
      <c r="T963" s="51"/>
      <c r="U963" s="51"/>
      <c r="V963" s="51"/>
      <c r="W963" s="51"/>
      <c r="X963" s="51"/>
      <c r="Y963" s="51"/>
      <c r="Z963" s="51"/>
      <c r="AA963" s="51"/>
      <c r="AB963" s="51"/>
    </row>
    <row r="964" customFormat="false" ht="15.75" hidden="false" customHeight="false" outlineLevel="0" collapsed="false">
      <c r="A964" s="51"/>
      <c r="B964" s="51"/>
      <c r="C964" s="6"/>
      <c r="D964" s="49"/>
      <c r="E964" s="51"/>
      <c r="F964" s="6"/>
      <c r="G964" s="6"/>
      <c r="H964" s="6"/>
      <c r="I964" s="6"/>
      <c r="J964" s="6"/>
      <c r="K964" s="51"/>
      <c r="L964" s="51"/>
      <c r="M964" s="51"/>
      <c r="N964" s="51"/>
      <c r="O964" s="51"/>
      <c r="P964" s="51"/>
      <c r="Q964" s="51"/>
      <c r="R964" s="51"/>
      <c r="S964" s="51"/>
      <c r="T964" s="51"/>
      <c r="U964" s="51"/>
      <c r="V964" s="51"/>
      <c r="W964" s="51"/>
      <c r="X964" s="51"/>
      <c r="Y964" s="51"/>
      <c r="Z964" s="51"/>
      <c r="AA964" s="51"/>
      <c r="AB964" s="51"/>
    </row>
    <row r="965" customFormat="false" ht="15.75" hidden="false" customHeight="false" outlineLevel="0" collapsed="false">
      <c r="A965" s="51"/>
      <c r="B965" s="51"/>
      <c r="C965" s="6"/>
      <c r="D965" s="49"/>
      <c r="E965" s="51"/>
      <c r="F965" s="6"/>
      <c r="G965" s="6"/>
      <c r="H965" s="6"/>
      <c r="I965" s="6"/>
      <c r="J965" s="6"/>
      <c r="K965" s="51"/>
      <c r="L965" s="51"/>
      <c r="M965" s="51"/>
      <c r="N965" s="51"/>
      <c r="O965" s="51"/>
      <c r="P965" s="51"/>
      <c r="Q965" s="51"/>
      <c r="R965" s="51"/>
      <c r="S965" s="51"/>
      <c r="T965" s="51"/>
      <c r="U965" s="51"/>
      <c r="V965" s="51"/>
      <c r="W965" s="51"/>
      <c r="X965" s="51"/>
      <c r="Y965" s="51"/>
      <c r="Z965" s="51"/>
      <c r="AA965" s="51"/>
      <c r="AB965" s="51"/>
    </row>
    <row r="966" customFormat="false" ht="15.75" hidden="false" customHeight="false" outlineLevel="0" collapsed="false">
      <c r="A966" s="51"/>
      <c r="B966" s="51"/>
      <c r="C966" s="6"/>
      <c r="D966" s="49"/>
      <c r="E966" s="51"/>
      <c r="F966" s="6"/>
      <c r="G966" s="6"/>
      <c r="H966" s="6"/>
      <c r="I966" s="6"/>
      <c r="J966" s="6"/>
      <c r="K966" s="51"/>
      <c r="L966" s="51"/>
      <c r="M966" s="51"/>
      <c r="N966" s="51"/>
      <c r="O966" s="51"/>
      <c r="P966" s="51"/>
      <c r="Q966" s="51"/>
      <c r="R966" s="51"/>
      <c r="S966" s="51"/>
      <c r="T966" s="51"/>
      <c r="U966" s="51"/>
      <c r="V966" s="51"/>
      <c r="W966" s="51"/>
      <c r="X966" s="51"/>
      <c r="Y966" s="51"/>
      <c r="Z966" s="51"/>
      <c r="AA966" s="51"/>
      <c r="AB966" s="51"/>
    </row>
    <row r="967" customFormat="false" ht="15.75" hidden="false" customHeight="false" outlineLevel="0" collapsed="false">
      <c r="A967" s="51"/>
      <c r="B967" s="51"/>
      <c r="C967" s="6"/>
      <c r="D967" s="49"/>
      <c r="E967" s="51"/>
      <c r="F967" s="6"/>
      <c r="G967" s="6"/>
      <c r="H967" s="6"/>
      <c r="I967" s="6"/>
      <c r="J967" s="6"/>
      <c r="K967" s="51"/>
      <c r="L967" s="51"/>
      <c r="M967" s="51"/>
      <c r="N967" s="51"/>
      <c r="O967" s="51"/>
      <c r="P967" s="51"/>
      <c r="Q967" s="51"/>
      <c r="R967" s="51"/>
      <c r="S967" s="51"/>
      <c r="T967" s="51"/>
      <c r="U967" s="51"/>
      <c r="V967" s="51"/>
      <c r="W967" s="51"/>
      <c r="X967" s="51"/>
      <c r="Y967" s="51"/>
      <c r="Z967" s="51"/>
      <c r="AA967" s="51"/>
      <c r="AB967" s="51"/>
    </row>
    <row r="968" customFormat="false" ht="15.75" hidden="false" customHeight="false" outlineLevel="0" collapsed="false">
      <c r="A968" s="51"/>
      <c r="B968" s="51"/>
      <c r="C968" s="6"/>
      <c r="D968" s="49"/>
      <c r="E968" s="51"/>
      <c r="F968" s="6"/>
      <c r="G968" s="6"/>
      <c r="H968" s="6"/>
      <c r="I968" s="6"/>
      <c r="J968" s="6"/>
      <c r="K968" s="51"/>
      <c r="L968" s="51"/>
      <c r="M968" s="51"/>
      <c r="N968" s="51"/>
      <c r="O968" s="51"/>
      <c r="P968" s="51"/>
      <c r="Q968" s="51"/>
      <c r="R968" s="51"/>
      <c r="S968" s="51"/>
      <c r="T968" s="51"/>
      <c r="U968" s="51"/>
      <c r="V968" s="51"/>
      <c r="W968" s="51"/>
      <c r="X968" s="51"/>
      <c r="Y968" s="51"/>
      <c r="Z968" s="51"/>
      <c r="AA968" s="51"/>
      <c r="AB968" s="51"/>
    </row>
    <row r="969" customFormat="false" ht="15.75" hidden="false" customHeight="false" outlineLevel="0" collapsed="false">
      <c r="A969" s="51"/>
      <c r="B969" s="51"/>
      <c r="C969" s="6"/>
      <c r="D969" s="49"/>
      <c r="E969" s="51"/>
      <c r="F969" s="6"/>
      <c r="G969" s="6"/>
      <c r="H969" s="6"/>
      <c r="I969" s="6"/>
      <c r="J969" s="6"/>
      <c r="K969" s="51"/>
      <c r="L969" s="51"/>
      <c r="M969" s="51"/>
      <c r="N969" s="51"/>
      <c r="O969" s="51"/>
      <c r="P969" s="51"/>
      <c r="Q969" s="51"/>
      <c r="R969" s="51"/>
      <c r="S969" s="51"/>
      <c r="T969" s="51"/>
      <c r="U969" s="51"/>
      <c r="V969" s="51"/>
      <c r="W969" s="51"/>
      <c r="X969" s="51"/>
      <c r="Y969" s="51"/>
      <c r="Z969" s="51"/>
      <c r="AA969" s="51"/>
      <c r="AB969" s="51"/>
    </row>
    <row r="970" customFormat="false" ht="15.75" hidden="false" customHeight="false" outlineLevel="0" collapsed="false">
      <c r="A970" s="51"/>
      <c r="B970" s="51"/>
      <c r="C970" s="6"/>
      <c r="D970" s="49"/>
      <c r="E970" s="51"/>
      <c r="F970" s="6"/>
      <c r="G970" s="6"/>
      <c r="H970" s="6"/>
      <c r="I970" s="6"/>
      <c r="J970" s="6"/>
      <c r="K970" s="51"/>
      <c r="L970" s="51"/>
      <c r="M970" s="51"/>
      <c r="N970" s="51"/>
      <c r="O970" s="51"/>
      <c r="P970" s="51"/>
      <c r="Q970" s="51"/>
      <c r="R970" s="51"/>
      <c r="S970" s="51"/>
      <c r="T970" s="51"/>
      <c r="U970" s="51"/>
      <c r="V970" s="51"/>
      <c r="W970" s="51"/>
      <c r="X970" s="51"/>
      <c r="Y970" s="51"/>
      <c r="Z970" s="51"/>
      <c r="AA970" s="51"/>
      <c r="AB970" s="51"/>
    </row>
    <row r="971" customFormat="false" ht="15.75" hidden="false" customHeight="false" outlineLevel="0" collapsed="false">
      <c r="A971" s="51"/>
      <c r="B971" s="51"/>
      <c r="C971" s="6"/>
      <c r="D971" s="49"/>
      <c r="E971" s="51"/>
      <c r="F971" s="6"/>
      <c r="G971" s="6"/>
      <c r="H971" s="6"/>
      <c r="I971" s="6"/>
      <c r="J971" s="6"/>
      <c r="K971" s="51"/>
      <c r="L971" s="51"/>
      <c r="M971" s="51"/>
      <c r="N971" s="51"/>
      <c r="O971" s="51"/>
      <c r="P971" s="51"/>
      <c r="Q971" s="51"/>
      <c r="R971" s="51"/>
      <c r="S971" s="51"/>
      <c r="T971" s="51"/>
      <c r="U971" s="51"/>
      <c r="V971" s="51"/>
      <c r="W971" s="51"/>
      <c r="X971" s="51"/>
      <c r="Y971" s="51"/>
      <c r="Z971" s="51"/>
      <c r="AA971" s="51"/>
      <c r="AB971" s="51"/>
    </row>
    <row r="972" customFormat="false" ht="15.75" hidden="false" customHeight="false" outlineLevel="0" collapsed="false">
      <c r="A972" s="51"/>
      <c r="B972" s="51"/>
      <c r="C972" s="6"/>
      <c r="D972" s="49"/>
      <c r="E972" s="51"/>
      <c r="F972" s="6"/>
      <c r="G972" s="6"/>
      <c r="H972" s="6"/>
      <c r="I972" s="6"/>
      <c r="J972" s="6"/>
      <c r="K972" s="51"/>
      <c r="L972" s="51"/>
      <c r="M972" s="51"/>
      <c r="N972" s="51"/>
      <c r="O972" s="51"/>
      <c r="P972" s="51"/>
      <c r="Q972" s="51"/>
      <c r="R972" s="51"/>
      <c r="S972" s="51"/>
      <c r="T972" s="51"/>
      <c r="U972" s="51"/>
      <c r="V972" s="51"/>
      <c r="W972" s="51"/>
      <c r="X972" s="51"/>
      <c r="Y972" s="51"/>
      <c r="Z972" s="51"/>
      <c r="AA972" s="51"/>
      <c r="AB972" s="51"/>
    </row>
    <row r="973" customFormat="false" ht="15.75" hidden="false" customHeight="false" outlineLevel="0" collapsed="false">
      <c r="A973" s="51"/>
      <c r="B973" s="51"/>
      <c r="C973" s="6"/>
      <c r="D973" s="49"/>
      <c r="E973" s="51"/>
      <c r="F973" s="6"/>
      <c r="G973" s="6"/>
      <c r="H973" s="6"/>
      <c r="I973" s="6"/>
      <c r="J973" s="6"/>
      <c r="K973" s="51"/>
      <c r="L973" s="51"/>
      <c r="M973" s="51"/>
      <c r="N973" s="51"/>
      <c r="O973" s="51"/>
      <c r="P973" s="51"/>
      <c r="Q973" s="51"/>
      <c r="R973" s="51"/>
      <c r="S973" s="51"/>
      <c r="T973" s="51"/>
      <c r="U973" s="51"/>
      <c r="V973" s="51"/>
      <c r="W973" s="51"/>
      <c r="X973" s="51"/>
      <c r="Y973" s="51"/>
      <c r="Z973" s="51"/>
      <c r="AA973" s="51"/>
      <c r="AB973" s="51"/>
    </row>
    <row r="974" customFormat="false" ht="15.75" hidden="false" customHeight="false" outlineLevel="0" collapsed="false">
      <c r="A974" s="51"/>
      <c r="B974" s="51"/>
      <c r="C974" s="6"/>
      <c r="D974" s="49"/>
      <c r="E974" s="51"/>
      <c r="F974" s="6"/>
      <c r="G974" s="6"/>
      <c r="H974" s="6"/>
      <c r="I974" s="6"/>
      <c r="J974" s="6"/>
      <c r="K974" s="51"/>
      <c r="L974" s="51"/>
      <c r="M974" s="51"/>
      <c r="N974" s="51"/>
      <c r="O974" s="51"/>
      <c r="P974" s="51"/>
      <c r="Q974" s="51"/>
      <c r="R974" s="51"/>
      <c r="S974" s="51"/>
      <c r="T974" s="51"/>
      <c r="U974" s="51"/>
      <c r="V974" s="51"/>
      <c r="W974" s="51"/>
      <c r="X974" s="51"/>
      <c r="Y974" s="51"/>
      <c r="Z974" s="51"/>
      <c r="AA974" s="51"/>
      <c r="AB974" s="51"/>
    </row>
    <row r="975" customFormat="false" ht="15.75" hidden="false" customHeight="false" outlineLevel="0" collapsed="false">
      <c r="A975" s="51"/>
      <c r="B975" s="51"/>
      <c r="C975" s="6"/>
      <c r="D975" s="49"/>
      <c r="E975" s="51"/>
      <c r="F975" s="6"/>
      <c r="G975" s="6"/>
      <c r="H975" s="6"/>
      <c r="I975" s="6"/>
      <c r="J975" s="6"/>
      <c r="K975" s="51"/>
      <c r="L975" s="51"/>
      <c r="M975" s="51"/>
      <c r="N975" s="51"/>
      <c r="O975" s="51"/>
      <c r="P975" s="51"/>
      <c r="Q975" s="51"/>
      <c r="R975" s="51"/>
      <c r="S975" s="51"/>
      <c r="T975" s="51"/>
      <c r="U975" s="51"/>
      <c r="V975" s="51"/>
      <c r="W975" s="51"/>
      <c r="X975" s="51"/>
      <c r="Y975" s="51"/>
      <c r="Z975" s="51"/>
      <c r="AA975" s="51"/>
      <c r="AB975" s="51"/>
    </row>
    <row r="976" customFormat="false" ht="15.75" hidden="false" customHeight="false" outlineLevel="0" collapsed="false">
      <c r="A976" s="51"/>
      <c r="B976" s="51"/>
      <c r="C976" s="6"/>
      <c r="D976" s="49"/>
      <c r="E976" s="51"/>
      <c r="F976" s="6"/>
      <c r="G976" s="6"/>
      <c r="H976" s="6"/>
      <c r="I976" s="6"/>
      <c r="J976" s="6"/>
      <c r="K976" s="51"/>
      <c r="L976" s="51"/>
      <c r="M976" s="51"/>
      <c r="N976" s="51"/>
      <c r="O976" s="51"/>
      <c r="P976" s="51"/>
      <c r="Q976" s="51"/>
      <c r="R976" s="51"/>
      <c r="S976" s="51"/>
      <c r="T976" s="51"/>
      <c r="U976" s="51"/>
      <c r="V976" s="51"/>
      <c r="W976" s="51"/>
      <c r="X976" s="51"/>
      <c r="Y976" s="51"/>
      <c r="Z976" s="51"/>
      <c r="AA976" s="51"/>
      <c r="AB976" s="51"/>
    </row>
    <row r="977" customFormat="false" ht="15.75" hidden="false" customHeight="false" outlineLevel="0" collapsed="false">
      <c r="A977" s="51"/>
      <c r="B977" s="51"/>
      <c r="C977" s="6"/>
      <c r="D977" s="49"/>
      <c r="E977" s="51"/>
      <c r="F977" s="6"/>
      <c r="G977" s="6"/>
      <c r="H977" s="6"/>
      <c r="I977" s="6"/>
      <c r="J977" s="6"/>
      <c r="K977" s="51"/>
      <c r="L977" s="51"/>
      <c r="M977" s="51"/>
      <c r="N977" s="51"/>
      <c r="O977" s="51"/>
      <c r="P977" s="51"/>
      <c r="Q977" s="51"/>
      <c r="R977" s="51"/>
      <c r="S977" s="51"/>
      <c r="T977" s="51"/>
      <c r="U977" s="51"/>
      <c r="V977" s="51"/>
      <c r="W977" s="51"/>
      <c r="X977" s="51"/>
      <c r="Y977" s="51"/>
      <c r="Z977" s="51"/>
      <c r="AA977" s="51"/>
      <c r="AB977" s="51"/>
    </row>
    <row r="978" customFormat="false" ht="15.75" hidden="false" customHeight="false" outlineLevel="0" collapsed="false">
      <c r="A978" s="51"/>
      <c r="B978" s="51"/>
      <c r="C978" s="6"/>
      <c r="D978" s="49"/>
      <c r="E978" s="51"/>
      <c r="F978" s="6"/>
      <c r="G978" s="6"/>
      <c r="H978" s="6"/>
      <c r="I978" s="6"/>
      <c r="J978" s="6"/>
      <c r="K978" s="51"/>
      <c r="L978" s="51"/>
      <c r="M978" s="51"/>
      <c r="N978" s="51"/>
      <c r="O978" s="51"/>
      <c r="P978" s="51"/>
      <c r="Q978" s="51"/>
      <c r="R978" s="51"/>
      <c r="S978" s="51"/>
      <c r="T978" s="51"/>
      <c r="U978" s="51"/>
      <c r="V978" s="51"/>
      <c r="W978" s="51"/>
      <c r="X978" s="51"/>
      <c r="Y978" s="51"/>
      <c r="Z978" s="51"/>
      <c r="AA978" s="51"/>
      <c r="AB978" s="51"/>
    </row>
    <row r="979" customFormat="false" ht="15.75" hidden="false" customHeight="false" outlineLevel="0" collapsed="false">
      <c r="A979" s="51"/>
      <c r="B979" s="51"/>
      <c r="C979" s="6"/>
      <c r="D979" s="49"/>
      <c r="E979" s="51"/>
      <c r="F979" s="6"/>
      <c r="G979" s="6"/>
      <c r="H979" s="6"/>
      <c r="I979" s="6"/>
      <c r="J979" s="6"/>
      <c r="K979" s="51"/>
      <c r="L979" s="51"/>
      <c r="M979" s="51"/>
      <c r="N979" s="51"/>
      <c r="O979" s="51"/>
      <c r="P979" s="51"/>
      <c r="Q979" s="51"/>
      <c r="R979" s="51"/>
      <c r="S979" s="51"/>
      <c r="T979" s="51"/>
      <c r="U979" s="51"/>
      <c r="V979" s="51"/>
      <c r="W979" s="51"/>
      <c r="X979" s="51"/>
      <c r="Y979" s="51"/>
      <c r="Z979" s="51"/>
      <c r="AA979" s="51"/>
      <c r="AB979" s="51"/>
    </row>
    <row r="980" customFormat="false" ht="15.75" hidden="false" customHeight="false" outlineLevel="0" collapsed="false">
      <c r="A980" s="51"/>
      <c r="B980" s="51"/>
      <c r="C980" s="6"/>
      <c r="D980" s="49"/>
      <c r="E980" s="51"/>
      <c r="F980" s="6"/>
      <c r="G980" s="6"/>
      <c r="H980" s="6"/>
      <c r="I980" s="6"/>
      <c r="J980" s="6"/>
      <c r="K980" s="51"/>
      <c r="L980" s="51"/>
      <c r="M980" s="51"/>
      <c r="N980" s="51"/>
      <c r="O980" s="51"/>
      <c r="P980" s="51"/>
      <c r="Q980" s="51"/>
      <c r="R980" s="51"/>
      <c r="S980" s="51"/>
      <c r="T980" s="51"/>
      <c r="U980" s="51"/>
      <c r="V980" s="51"/>
      <c r="W980" s="51"/>
      <c r="X980" s="51"/>
      <c r="Y980" s="51"/>
      <c r="Z980" s="51"/>
      <c r="AA980" s="51"/>
      <c r="AB980" s="51"/>
    </row>
    <row r="981" customFormat="false" ht="15.75" hidden="false" customHeight="false" outlineLevel="0" collapsed="false">
      <c r="A981" s="51"/>
      <c r="B981" s="51"/>
      <c r="C981" s="6"/>
      <c r="D981" s="49"/>
      <c r="E981" s="51"/>
      <c r="F981" s="6"/>
      <c r="G981" s="6"/>
      <c r="H981" s="6"/>
      <c r="I981" s="6"/>
      <c r="J981" s="6"/>
      <c r="K981" s="51"/>
      <c r="L981" s="51"/>
      <c r="M981" s="51"/>
      <c r="N981" s="51"/>
      <c r="O981" s="51"/>
      <c r="P981" s="51"/>
      <c r="Q981" s="51"/>
      <c r="R981" s="51"/>
      <c r="S981" s="51"/>
      <c r="T981" s="51"/>
      <c r="U981" s="51"/>
      <c r="V981" s="51"/>
      <c r="W981" s="51"/>
      <c r="X981" s="51"/>
      <c r="Y981" s="51"/>
      <c r="Z981" s="51"/>
      <c r="AA981" s="51"/>
      <c r="AB981" s="51"/>
    </row>
    <row r="982" customFormat="false" ht="15.75" hidden="false" customHeight="false" outlineLevel="0" collapsed="false">
      <c r="A982" s="51"/>
      <c r="B982" s="51"/>
      <c r="C982" s="6"/>
      <c r="D982" s="49"/>
      <c r="E982" s="51"/>
      <c r="F982" s="6"/>
      <c r="G982" s="6"/>
      <c r="H982" s="6"/>
      <c r="I982" s="6"/>
      <c r="J982" s="6"/>
      <c r="K982" s="51"/>
      <c r="L982" s="51"/>
      <c r="M982" s="51"/>
      <c r="N982" s="51"/>
      <c r="O982" s="51"/>
      <c r="P982" s="51"/>
      <c r="Q982" s="51"/>
      <c r="R982" s="51"/>
      <c r="S982" s="51"/>
      <c r="T982" s="51"/>
      <c r="U982" s="51"/>
      <c r="V982" s="51"/>
      <c r="W982" s="51"/>
      <c r="X982" s="51"/>
      <c r="Y982" s="51"/>
      <c r="Z982" s="51"/>
      <c r="AA982" s="51"/>
      <c r="AB982" s="51"/>
    </row>
    <row r="983" customFormat="false" ht="15.75" hidden="false" customHeight="false" outlineLevel="0" collapsed="false">
      <c r="A983" s="51"/>
      <c r="B983" s="51"/>
      <c r="C983" s="6"/>
      <c r="D983" s="49"/>
      <c r="E983" s="51"/>
      <c r="F983" s="6"/>
      <c r="G983" s="6"/>
      <c r="H983" s="6"/>
      <c r="I983" s="6"/>
      <c r="J983" s="6"/>
      <c r="K983" s="51"/>
      <c r="L983" s="51"/>
      <c r="M983" s="51"/>
      <c r="N983" s="51"/>
      <c r="O983" s="51"/>
      <c r="P983" s="51"/>
      <c r="Q983" s="51"/>
      <c r="R983" s="51"/>
      <c r="S983" s="51"/>
      <c r="T983" s="51"/>
      <c r="U983" s="51"/>
      <c r="V983" s="51"/>
      <c r="W983" s="51"/>
      <c r="X983" s="51"/>
      <c r="Y983" s="51"/>
      <c r="Z983" s="51"/>
      <c r="AA983" s="51"/>
      <c r="AB983" s="51"/>
    </row>
    <row r="984" customFormat="false" ht="15.75" hidden="false" customHeight="false" outlineLevel="0" collapsed="false">
      <c r="A984" s="51"/>
      <c r="B984" s="51"/>
      <c r="C984" s="6"/>
      <c r="D984" s="49"/>
      <c r="E984" s="51"/>
      <c r="F984" s="6"/>
      <c r="G984" s="6"/>
      <c r="H984" s="6"/>
      <c r="I984" s="6"/>
      <c r="J984" s="6"/>
      <c r="K984" s="51"/>
      <c r="L984" s="51"/>
      <c r="M984" s="51"/>
      <c r="N984" s="51"/>
      <c r="O984" s="51"/>
      <c r="P984" s="51"/>
      <c r="Q984" s="51"/>
      <c r="R984" s="51"/>
      <c r="S984" s="51"/>
      <c r="T984" s="51"/>
      <c r="U984" s="51"/>
      <c r="V984" s="51"/>
      <c r="W984" s="51"/>
      <c r="X984" s="51"/>
      <c r="Y984" s="51"/>
      <c r="Z984" s="51"/>
      <c r="AA984" s="51"/>
      <c r="AB984" s="51"/>
    </row>
    <row r="985" customFormat="false" ht="15.75" hidden="false" customHeight="false" outlineLevel="0" collapsed="false">
      <c r="A985" s="51"/>
      <c r="B985" s="51"/>
      <c r="C985" s="6"/>
      <c r="D985" s="49"/>
      <c r="E985" s="51"/>
      <c r="F985" s="6"/>
      <c r="G985" s="6"/>
      <c r="H985" s="6"/>
      <c r="I985" s="6"/>
      <c r="J985" s="6"/>
      <c r="K985" s="51"/>
      <c r="L985" s="51"/>
      <c r="M985" s="51"/>
      <c r="N985" s="51"/>
      <c r="O985" s="51"/>
      <c r="P985" s="51"/>
      <c r="Q985" s="51"/>
      <c r="R985" s="51"/>
      <c r="S985" s="51"/>
      <c r="T985" s="51"/>
      <c r="U985" s="51"/>
      <c r="V985" s="51"/>
      <c r="W985" s="51"/>
      <c r="X985" s="51"/>
      <c r="Y985" s="51"/>
      <c r="Z985" s="51"/>
      <c r="AA985" s="51"/>
      <c r="AB985" s="51"/>
    </row>
    <row r="986" customFormat="false" ht="15.75" hidden="false" customHeight="false" outlineLevel="0" collapsed="false">
      <c r="A986" s="51"/>
      <c r="B986" s="51"/>
      <c r="C986" s="6"/>
      <c r="D986" s="49"/>
      <c r="E986" s="51"/>
      <c r="F986" s="6"/>
      <c r="G986" s="6"/>
      <c r="H986" s="6"/>
      <c r="I986" s="6"/>
      <c r="J986" s="6"/>
      <c r="K986" s="51"/>
      <c r="L986" s="51"/>
      <c r="M986" s="51"/>
      <c r="N986" s="51"/>
      <c r="O986" s="51"/>
      <c r="P986" s="51"/>
      <c r="Q986" s="51"/>
      <c r="R986" s="51"/>
      <c r="S986" s="51"/>
      <c r="T986" s="51"/>
      <c r="U986" s="51"/>
      <c r="V986" s="51"/>
      <c r="W986" s="51"/>
      <c r="X986" s="51"/>
      <c r="Y986" s="51"/>
      <c r="Z986" s="51"/>
      <c r="AA986" s="51"/>
      <c r="AB986" s="51"/>
    </row>
    <row r="987" customFormat="false" ht="15.75" hidden="false" customHeight="false" outlineLevel="0" collapsed="false">
      <c r="A987" s="51"/>
      <c r="B987" s="51"/>
      <c r="C987" s="6"/>
      <c r="D987" s="49"/>
      <c r="E987" s="51"/>
      <c r="F987" s="6"/>
      <c r="G987" s="6"/>
      <c r="H987" s="6"/>
      <c r="I987" s="6"/>
      <c r="J987" s="6"/>
      <c r="K987" s="51"/>
      <c r="L987" s="51"/>
      <c r="M987" s="51"/>
      <c r="N987" s="51"/>
      <c r="O987" s="51"/>
      <c r="P987" s="51"/>
      <c r="Q987" s="51"/>
      <c r="R987" s="51"/>
      <c r="S987" s="51"/>
      <c r="T987" s="51"/>
      <c r="U987" s="51"/>
      <c r="V987" s="51"/>
      <c r="W987" s="51"/>
      <c r="X987" s="51"/>
      <c r="Y987" s="51"/>
      <c r="Z987" s="51"/>
      <c r="AA987" s="51"/>
      <c r="AB987" s="51"/>
    </row>
    <row r="988" customFormat="false" ht="15.75" hidden="false" customHeight="false" outlineLevel="0" collapsed="false">
      <c r="A988" s="51"/>
      <c r="B988" s="51"/>
      <c r="C988" s="6"/>
      <c r="D988" s="49"/>
      <c r="E988" s="51"/>
      <c r="F988" s="6"/>
      <c r="G988" s="6"/>
      <c r="H988" s="6"/>
      <c r="I988" s="6"/>
      <c r="J988" s="6"/>
      <c r="K988" s="51"/>
      <c r="L988" s="51"/>
      <c r="M988" s="51"/>
      <c r="N988" s="51"/>
      <c r="O988" s="51"/>
      <c r="P988" s="51"/>
      <c r="Q988" s="51"/>
      <c r="R988" s="51"/>
      <c r="S988" s="51"/>
      <c r="T988" s="51"/>
      <c r="U988" s="51"/>
      <c r="V988" s="51"/>
      <c r="W988" s="51"/>
      <c r="X988" s="51"/>
      <c r="Y988" s="51"/>
      <c r="Z988" s="51"/>
      <c r="AA988" s="51"/>
      <c r="AB988" s="51"/>
    </row>
    <row r="989" customFormat="false" ht="15.75" hidden="false" customHeight="false" outlineLevel="0" collapsed="false">
      <c r="A989" s="51"/>
      <c r="B989" s="51"/>
      <c r="C989" s="6"/>
      <c r="D989" s="49"/>
      <c r="E989" s="51"/>
      <c r="F989" s="6"/>
      <c r="G989" s="6"/>
      <c r="H989" s="6"/>
      <c r="I989" s="6"/>
      <c r="J989" s="6"/>
      <c r="K989" s="51"/>
      <c r="L989" s="51"/>
      <c r="M989" s="51"/>
      <c r="N989" s="51"/>
      <c r="O989" s="51"/>
      <c r="P989" s="51"/>
      <c r="Q989" s="51"/>
      <c r="R989" s="51"/>
      <c r="S989" s="51"/>
      <c r="T989" s="51"/>
      <c r="U989" s="51"/>
      <c r="V989" s="51"/>
      <c r="W989" s="51"/>
      <c r="X989" s="51"/>
      <c r="Y989" s="51"/>
      <c r="Z989" s="51"/>
      <c r="AA989" s="51"/>
      <c r="AB989" s="51"/>
    </row>
    <row r="990" customFormat="false" ht="15.75" hidden="false" customHeight="false" outlineLevel="0" collapsed="false">
      <c r="A990" s="51"/>
      <c r="B990" s="51"/>
      <c r="C990" s="6"/>
      <c r="D990" s="49"/>
      <c r="E990" s="51"/>
      <c r="F990" s="6"/>
      <c r="G990" s="6"/>
      <c r="H990" s="6"/>
      <c r="I990" s="6"/>
      <c r="J990" s="6"/>
      <c r="K990" s="51"/>
      <c r="L990" s="51"/>
      <c r="M990" s="51"/>
      <c r="N990" s="51"/>
      <c r="O990" s="51"/>
      <c r="P990" s="51"/>
      <c r="Q990" s="51"/>
      <c r="R990" s="51"/>
      <c r="S990" s="51"/>
      <c r="T990" s="51"/>
      <c r="U990" s="51"/>
      <c r="V990" s="51"/>
      <c r="W990" s="51"/>
      <c r="X990" s="51"/>
      <c r="Y990" s="51"/>
      <c r="Z990" s="51"/>
      <c r="AA990" s="51"/>
      <c r="AB990" s="51"/>
    </row>
    <row r="991" customFormat="false" ht="15.75" hidden="false" customHeight="false" outlineLevel="0" collapsed="false">
      <c r="A991" s="51"/>
      <c r="B991" s="51"/>
      <c r="C991" s="6"/>
      <c r="D991" s="49"/>
      <c r="E991" s="51"/>
      <c r="F991" s="6"/>
      <c r="G991" s="6"/>
      <c r="H991" s="6"/>
      <c r="I991" s="6"/>
      <c r="J991" s="6"/>
      <c r="K991" s="51"/>
      <c r="L991" s="51"/>
      <c r="M991" s="51"/>
      <c r="N991" s="51"/>
      <c r="O991" s="51"/>
      <c r="P991" s="51"/>
      <c r="Q991" s="51"/>
      <c r="R991" s="51"/>
      <c r="S991" s="51"/>
      <c r="T991" s="51"/>
      <c r="U991" s="51"/>
      <c r="V991" s="51"/>
      <c r="W991" s="51"/>
      <c r="X991" s="51"/>
      <c r="Y991" s="51"/>
      <c r="Z991" s="51"/>
      <c r="AA991" s="51"/>
      <c r="AB991" s="51"/>
    </row>
    <row r="992" customFormat="false" ht="15.75" hidden="false" customHeight="false" outlineLevel="0" collapsed="false">
      <c r="A992" s="51"/>
      <c r="B992" s="51"/>
      <c r="C992" s="6"/>
      <c r="D992" s="49"/>
      <c r="E992" s="51"/>
      <c r="F992" s="6"/>
      <c r="G992" s="6"/>
      <c r="H992" s="6"/>
      <c r="I992" s="6"/>
      <c r="J992" s="6"/>
      <c r="K992" s="51"/>
      <c r="L992" s="51"/>
      <c r="M992" s="51"/>
      <c r="N992" s="51"/>
      <c r="O992" s="51"/>
      <c r="P992" s="51"/>
      <c r="Q992" s="51"/>
      <c r="R992" s="51"/>
      <c r="S992" s="51"/>
      <c r="T992" s="51"/>
      <c r="U992" s="51"/>
      <c r="V992" s="51"/>
      <c r="W992" s="51"/>
      <c r="X992" s="51"/>
      <c r="Y992" s="51"/>
      <c r="Z992" s="51"/>
      <c r="AA992" s="51"/>
      <c r="AB992" s="51"/>
    </row>
    <row r="993" customFormat="false" ht="15.75" hidden="false" customHeight="false" outlineLevel="0" collapsed="false">
      <c r="A993" s="51"/>
      <c r="B993" s="51"/>
      <c r="C993" s="6"/>
      <c r="D993" s="49"/>
      <c r="E993" s="51"/>
      <c r="F993" s="6"/>
      <c r="G993" s="6"/>
      <c r="H993" s="6"/>
      <c r="I993" s="6"/>
      <c r="J993" s="6"/>
      <c r="K993" s="51"/>
      <c r="L993" s="51"/>
      <c r="M993" s="51"/>
      <c r="N993" s="51"/>
      <c r="O993" s="51"/>
      <c r="P993" s="51"/>
      <c r="Q993" s="51"/>
      <c r="R993" s="51"/>
      <c r="S993" s="51"/>
      <c r="T993" s="51"/>
      <c r="U993" s="51"/>
      <c r="V993" s="51"/>
      <c r="W993" s="51"/>
      <c r="X993" s="51"/>
      <c r="Y993" s="51"/>
      <c r="Z993" s="51"/>
      <c r="AA993" s="51"/>
      <c r="AB993" s="51"/>
    </row>
    <row r="994" customFormat="false" ht="15.75" hidden="false" customHeight="false" outlineLevel="0" collapsed="false">
      <c r="A994" s="51"/>
      <c r="B994" s="51"/>
      <c r="C994" s="6"/>
      <c r="D994" s="49"/>
      <c r="E994" s="51"/>
      <c r="F994" s="6"/>
      <c r="G994" s="6"/>
      <c r="H994" s="6"/>
      <c r="I994" s="6"/>
      <c r="J994" s="6"/>
      <c r="K994" s="51"/>
      <c r="L994" s="51"/>
      <c r="M994" s="51"/>
      <c r="N994" s="51"/>
      <c r="O994" s="51"/>
      <c r="P994" s="51"/>
      <c r="Q994" s="51"/>
      <c r="R994" s="51"/>
      <c r="S994" s="51"/>
      <c r="T994" s="51"/>
      <c r="U994" s="51"/>
      <c r="V994" s="51"/>
      <c r="W994" s="51"/>
      <c r="X994" s="51"/>
      <c r="Y994" s="51"/>
      <c r="Z994" s="51"/>
      <c r="AA994" s="51"/>
      <c r="AB994" s="51"/>
    </row>
    <row r="995" customFormat="false" ht="15.75" hidden="false" customHeight="false" outlineLevel="0" collapsed="false">
      <c r="A995" s="51"/>
      <c r="B995" s="51"/>
      <c r="C995" s="6"/>
      <c r="D995" s="49"/>
      <c r="E995" s="51"/>
      <c r="F995" s="6"/>
      <c r="G995" s="6"/>
      <c r="H995" s="6"/>
      <c r="I995" s="6"/>
      <c r="J995" s="6"/>
      <c r="K995" s="51"/>
      <c r="L995" s="51"/>
      <c r="M995" s="51"/>
      <c r="N995" s="51"/>
      <c r="O995" s="51"/>
      <c r="P995" s="51"/>
      <c r="Q995" s="51"/>
      <c r="R995" s="51"/>
      <c r="S995" s="51"/>
      <c r="T995" s="51"/>
      <c r="U995" s="51"/>
      <c r="V995" s="51"/>
      <c r="W995" s="51"/>
      <c r="X995" s="51"/>
      <c r="Y995" s="51"/>
      <c r="Z995" s="51"/>
      <c r="AA995" s="51"/>
      <c r="AB995" s="51"/>
    </row>
    <row r="996" customFormat="false" ht="15.75" hidden="false" customHeight="false" outlineLevel="0" collapsed="false">
      <c r="A996" s="51"/>
      <c r="B996" s="51"/>
      <c r="C996" s="6"/>
      <c r="D996" s="49"/>
      <c r="E996" s="51"/>
      <c r="F996" s="6"/>
      <c r="G996" s="6"/>
      <c r="H996" s="6"/>
      <c r="I996" s="6"/>
      <c r="J996" s="6"/>
      <c r="K996" s="51"/>
      <c r="L996" s="51"/>
      <c r="M996" s="51"/>
      <c r="N996" s="51"/>
      <c r="O996" s="51"/>
      <c r="P996" s="51"/>
      <c r="Q996" s="51"/>
      <c r="R996" s="51"/>
      <c r="S996" s="51"/>
      <c r="T996" s="51"/>
      <c r="U996" s="51"/>
      <c r="V996" s="51"/>
      <c r="W996" s="51"/>
      <c r="X996" s="51"/>
      <c r="Y996" s="51"/>
      <c r="Z996" s="51"/>
      <c r="AA996" s="51"/>
      <c r="AB996" s="51"/>
    </row>
    <row r="997" customFormat="false" ht="15.75" hidden="false" customHeight="false" outlineLevel="0" collapsed="false">
      <c r="A997" s="51"/>
      <c r="B997" s="51"/>
      <c r="C997" s="6"/>
      <c r="D997" s="49"/>
      <c r="E997" s="51"/>
      <c r="F997" s="6"/>
      <c r="G997" s="6"/>
      <c r="H997" s="6"/>
      <c r="I997" s="6"/>
      <c r="J997" s="6"/>
      <c r="K997" s="51"/>
      <c r="L997" s="51"/>
      <c r="M997" s="51"/>
      <c r="N997" s="51"/>
      <c r="O997" s="51"/>
      <c r="P997" s="51"/>
      <c r="Q997" s="51"/>
      <c r="R997" s="51"/>
      <c r="S997" s="51"/>
      <c r="T997" s="51"/>
      <c r="U997" s="51"/>
      <c r="V997" s="51"/>
      <c r="W997" s="51"/>
      <c r="X997" s="51"/>
      <c r="Y997" s="51"/>
      <c r="Z997" s="51"/>
      <c r="AA997" s="51"/>
      <c r="AB997" s="51"/>
    </row>
    <row r="998" customFormat="false" ht="15.75" hidden="false" customHeight="false" outlineLevel="0" collapsed="false">
      <c r="A998" s="51"/>
      <c r="B998" s="51"/>
      <c r="C998" s="6"/>
      <c r="D998" s="49"/>
      <c r="E998" s="51"/>
      <c r="F998" s="6"/>
      <c r="G998" s="6"/>
      <c r="H998" s="6"/>
      <c r="I998" s="6"/>
      <c r="J998" s="6"/>
      <c r="K998" s="51"/>
      <c r="L998" s="51"/>
      <c r="M998" s="51"/>
      <c r="N998" s="51"/>
      <c r="O998" s="51"/>
      <c r="P998" s="51"/>
      <c r="Q998" s="51"/>
      <c r="R998" s="51"/>
      <c r="S998" s="51"/>
      <c r="T998" s="51"/>
      <c r="U998" s="51"/>
      <c r="V998" s="51"/>
      <c r="W998" s="51"/>
      <c r="X998" s="51"/>
      <c r="Y998" s="51"/>
      <c r="Z998" s="51"/>
      <c r="AA998" s="51"/>
      <c r="AB998" s="51"/>
    </row>
    <row r="999" customFormat="false" ht="15.75" hidden="false" customHeight="false" outlineLevel="0" collapsed="false">
      <c r="A999" s="51"/>
      <c r="B999" s="51"/>
      <c r="C999" s="6"/>
      <c r="D999" s="49"/>
      <c r="E999" s="51"/>
      <c r="F999" s="6"/>
      <c r="G999" s="6"/>
      <c r="H999" s="6"/>
      <c r="I999" s="6"/>
      <c r="J999" s="6"/>
      <c r="K999" s="51"/>
      <c r="L999" s="51"/>
      <c r="M999" s="51"/>
      <c r="N999" s="51"/>
      <c r="O999" s="51"/>
      <c r="P999" s="51"/>
      <c r="Q999" s="51"/>
      <c r="R999" s="51"/>
      <c r="S999" s="51"/>
      <c r="T999" s="51"/>
      <c r="U999" s="51"/>
      <c r="V999" s="51"/>
      <c r="W999" s="51"/>
      <c r="X999" s="51"/>
      <c r="Y999" s="51"/>
      <c r="Z999" s="51"/>
      <c r="AA999" s="51"/>
      <c r="AB999" s="51"/>
    </row>
    <row r="1000" customFormat="false" ht="15.75" hidden="false" customHeight="false" outlineLevel="0" collapsed="false">
      <c r="A1000" s="51"/>
      <c r="B1000" s="51"/>
      <c r="C1000" s="6"/>
      <c r="D1000" s="49"/>
      <c r="E1000" s="51"/>
      <c r="F1000" s="6"/>
      <c r="G1000" s="6"/>
      <c r="H1000" s="6"/>
      <c r="I1000" s="6"/>
      <c r="J1000" s="6"/>
      <c r="K1000" s="51"/>
      <c r="L1000" s="51"/>
      <c r="M1000" s="51"/>
      <c r="N1000" s="51"/>
      <c r="O1000" s="51"/>
      <c r="P1000" s="51"/>
      <c r="Q1000" s="51"/>
      <c r="R1000" s="51"/>
      <c r="S1000" s="51"/>
      <c r="T1000" s="51"/>
      <c r="U1000" s="51"/>
      <c r="V1000" s="51"/>
      <c r="W1000" s="51"/>
      <c r="X1000" s="51"/>
      <c r="Y1000" s="51"/>
      <c r="Z1000" s="51"/>
      <c r="AA1000" s="51"/>
      <c r="AB1000" s="51"/>
    </row>
    <row r="1001" customFormat="false" ht="15.75" hidden="false" customHeight="false" outlineLevel="0" collapsed="false">
      <c r="A1001" s="51"/>
      <c r="B1001" s="51"/>
      <c r="C1001" s="6"/>
      <c r="D1001" s="49"/>
      <c r="E1001" s="51"/>
      <c r="F1001" s="6"/>
      <c r="G1001" s="6"/>
      <c r="H1001" s="6"/>
      <c r="I1001" s="6"/>
      <c r="J1001" s="6"/>
      <c r="K1001" s="51"/>
      <c r="L1001" s="51"/>
      <c r="M1001" s="51"/>
      <c r="N1001" s="51"/>
      <c r="O1001" s="51"/>
      <c r="P1001" s="51"/>
      <c r="Q1001" s="51"/>
      <c r="R1001" s="51"/>
      <c r="S1001" s="51"/>
      <c r="T1001" s="51"/>
      <c r="U1001" s="51"/>
      <c r="V1001" s="51"/>
      <c r="W1001" s="51"/>
      <c r="X1001" s="51"/>
      <c r="Y1001" s="51"/>
      <c r="Z1001" s="51"/>
      <c r="AA1001" s="51"/>
      <c r="AB1001" s="51"/>
    </row>
    <row r="1002" customFormat="false" ht="15.75" hidden="false" customHeight="false" outlineLevel="0" collapsed="false">
      <c r="A1002" s="51"/>
      <c r="B1002" s="51"/>
      <c r="C1002" s="6"/>
      <c r="D1002" s="49"/>
      <c r="E1002" s="51"/>
      <c r="F1002" s="6"/>
      <c r="G1002" s="6"/>
      <c r="H1002" s="6"/>
      <c r="I1002" s="6"/>
      <c r="J1002" s="6"/>
      <c r="K1002" s="51"/>
      <c r="L1002" s="51"/>
      <c r="M1002" s="51"/>
      <c r="N1002" s="51"/>
      <c r="O1002" s="51"/>
      <c r="P1002" s="51"/>
      <c r="Q1002" s="51"/>
      <c r="R1002" s="51"/>
      <c r="S1002" s="51"/>
      <c r="T1002" s="51"/>
      <c r="U1002" s="51"/>
      <c r="V1002" s="51"/>
      <c r="W1002" s="51"/>
      <c r="X1002" s="51"/>
      <c r="Y1002" s="51"/>
      <c r="Z1002" s="51"/>
      <c r="AA1002" s="51"/>
      <c r="AB1002" s="51"/>
    </row>
  </sheetData>
  <mergeCells count="66">
    <mergeCell ref="A2:A5"/>
    <mergeCell ref="B2:B5"/>
    <mergeCell ref="A7:A10"/>
    <mergeCell ref="B7:B10"/>
    <mergeCell ref="A12:A15"/>
    <mergeCell ref="B12:B15"/>
    <mergeCell ref="A17:A20"/>
    <mergeCell ref="B17:B20"/>
    <mergeCell ref="A22:A25"/>
    <mergeCell ref="B22:B25"/>
    <mergeCell ref="A27:A30"/>
    <mergeCell ref="B27:B30"/>
    <mergeCell ref="A32:A35"/>
    <mergeCell ref="B32:B35"/>
    <mergeCell ref="A37:A40"/>
    <mergeCell ref="B37:B40"/>
    <mergeCell ref="A42:A45"/>
    <mergeCell ref="B42:B45"/>
    <mergeCell ref="A47:A50"/>
    <mergeCell ref="B47:B50"/>
    <mergeCell ref="A52:A55"/>
    <mergeCell ref="B52:B55"/>
    <mergeCell ref="A57:A60"/>
    <mergeCell ref="B57:B60"/>
    <mergeCell ref="A62:A65"/>
    <mergeCell ref="B62:B65"/>
    <mergeCell ref="A67:A70"/>
    <mergeCell ref="B67:B70"/>
    <mergeCell ref="A72:A75"/>
    <mergeCell ref="B72:B75"/>
    <mergeCell ref="A77:A80"/>
    <mergeCell ref="B77:B80"/>
    <mergeCell ref="A82:A85"/>
    <mergeCell ref="B82:B85"/>
    <mergeCell ref="A87:A90"/>
    <mergeCell ref="B87:B90"/>
    <mergeCell ref="A92:A95"/>
    <mergeCell ref="B92:B95"/>
    <mergeCell ref="A97:A100"/>
    <mergeCell ref="B97:B100"/>
    <mergeCell ref="A102:A105"/>
    <mergeCell ref="B102:B105"/>
    <mergeCell ref="A107:A110"/>
    <mergeCell ref="B107:B110"/>
    <mergeCell ref="A112:A115"/>
    <mergeCell ref="B112:B115"/>
    <mergeCell ref="A117:A120"/>
    <mergeCell ref="B117:B120"/>
    <mergeCell ref="A122:A125"/>
    <mergeCell ref="B122:B125"/>
    <mergeCell ref="A127:A130"/>
    <mergeCell ref="B127:B130"/>
    <mergeCell ref="A132:A135"/>
    <mergeCell ref="B132:B135"/>
    <mergeCell ref="A137:A140"/>
    <mergeCell ref="B137:B140"/>
    <mergeCell ref="A142:A145"/>
    <mergeCell ref="B142:B145"/>
    <mergeCell ref="A147:A150"/>
    <mergeCell ref="B147:B150"/>
    <mergeCell ref="A152:A155"/>
    <mergeCell ref="B152:B155"/>
    <mergeCell ref="A157:A160"/>
    <mergeCell ref="B157:B160"/>
    <mergeCell ref="A162:A165"/>
    <mergeCell ref="B162:B165"/>
  </mergeCells>
  <conditionalFormatting sqref="E12:E15 E17:E20 E22:E25 E27:E50 E52:E165">
    <cfRule type="colorScale" priority="2">
      <colorScale>
        <cfvo type="formula" val="0"/>
        <cfvo type="formula" val="1"/>
        <color rgb="FFFFFFFF"/>
        <color rgb="FFE67C73"/>
      </colorScale>
    </cfRule>
  </conditionalFormatting>
  <conditionalFormatting sqref="E2:E1002">
    <cfRule type="colorScale" priority="3">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F2:J1002" type="list">
      <formula1>"1,2,3,4,5"</formula1>
      <formula2>0</formula2>
    </dataValidation>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type="list">
      <formula1>"5W1H,Base,CoT,tldr"</formula1>
      <formula2>0</formula2>
    </dataValidation>
  </dataValidations>
  <hyperlinks>
    <hyperlink ref="A2" r:id="rId2" display="https://www.berria.eus/ekonomia/urte-eta-erdiko-kartzela-zigorra-eta-30000-euroko-kalte-ordainak-zorroza-gestion-enpresan-hil-zen-langileagatik_2124960_102.html"/>
    <hyperlink ref="A7" r:id="rId3" display="https://www.berria.eus/kirola/hirutik-hiru-jaka-mariezkurrenarentzat_2117677_102.html"/>
    <hyperlink ref="A12" r:id="rId4" display="https://www.berria.eus/bizigiro/larreen-eta-larrabereen-balioaz_2126273_102.html"/>
    <hyperlink ref="A17" r:id="rId5" display="https://www.berria.eus/kirola/olatua-hartuta-parisera_2121856_102.html"/>
    <hyperlink ref="A22" r:id="rId6" display="https://www.berria.eus/bizigiro/badago-ezkutuan-dagoen-sektore-bat-sarietatik-kanpo-idazten-ari-dena_2119644_102.html"/>
    <hyperlink ref="A27" r:id="rId7" display="https://www.berria.eus/bizigiro/istorioak-irudien-bidez-kontatzen-ditut-oso-hizkuntza-unibertsala-da_2121576_102.html"/>
    <hyperlink ref="A32" r:id="rId8" display="https://www.berria.eus/euskal-herria/etxeko-atxiloaldia-ezarri-diote-labioko-hiltzaileari_2124515_102.html"/>
    <hyperlink ref="A37" r:id="rId9" display="https://www.berria.eus/ekonomia/sektore-eolikoa-eta-milaka-lanpostu-desagertzeko-arriskuaz-ohartarazi-du-elak_233844_102.html"/>
    <hyperlink ref="A42" r:id="rId10" display="https://www.berria.eus/kultura/mikroipuinak-txikiak-baina-ez-hutsalak_2121931_102.html"/>
    <hyperlink ref="A47" r:id="rId11" display="https://www.berria.eus/euskal-herria/guardia-zibilak-dio-europako-speed-laborategi-handiena-aurkitu-duela-euskal-herrian_2125543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ColWidth="12.6328125" defaultRowHeight="15.75" zeroHeight="false" outlineLevelRow="0" outlineLevelCol="0"/>
  <cols>
    <col collapsed="false" customWidth="true" hidden="false" outlineLevel="0" max="1" min="1" style="1" width="3"/>
    <col collapsed="false" customWidth="true" hidden="false" outlineLevel="0" max="2" min="2" style="1" width="63.88"/>
    <col collapsed="false" customWidth="true" hidden="false" outlineLevel="0" max="4" min="4" style="1" width="77"/>
    <col collapsed="false" customWidth="true" hidden="false" outlineLevel="0" max="5" min="5" style="1" width="5.75"/>
  </cols>
  <sheetData>
    <row r="1" customFormat="false" ht="15.75" hidden="false" customHeight="false" outlineLevel="0" collapsed="false">
      <c r="A1" s="3" t="s">
        <v>0</v>
      </c>
      <c r="B1" s="3" t="s">
        <v>27</v>
      </c>
      <c r="C1" s="3" t="s">
        <v>2</v>
      </c>
      <c r="D1" s="45" t="s">
        <v>29</v>
      </c>
      <c r="E1" s="46" t="s">
        <v>3</v>
      </c>
      <c r="F1" s="3" t="s">
        <v>4</v>
      </c>
      <c r="G1" s="3" t="s">
        <v>5</v>
      </c>
      <c r="H1" s="3" t="s">
        <v>6</v>
      </c>
      <c r="I1" s="3" t="s">
        <v>7</v>
      </c>
      <c r="J1" s="3" t="s">
        <v>8</v>
      </c>
      <c r="K1" s="3"/>
      <c r="L1" s="3"/>
      <c r="M1" s="3"/>
      <c r="N1" s="3"/>
      <c r="O1" s="3"/>
      <c r="P1" s="3"/>
      <c r="Q1" s="3"/>
      <c r="R1" s="3"/>
      <c r="S1" s="3"/>
      <c r="T1" s="3"/>
      <c r="U1" s="3"/>
      <c r="V1" s="3"/>
      <c r="W1" s="3"/>
      <c r="X1" s="3"/>
      <c r="Y1" s="3"/>
      <c r="Z1" s="3"/>
      <c r="AA1" s="3"/>
      <c r="AB1" s="3"/>
    </row>
    <row r="2" customFormat="false" ht="225" hidden="false" customHeight="true" outlineLevel="0" collapsed="false">
      <c r="A2" s="47" t="s">
        <v>30</v>
      </c>
      <c r="B2" s="48" t="s">
        <v>31</v>
      </c>
      <c r="C2" s="6" t="s">
        <v>18</v>
      </c>
      <c r="D2" s="49" t="s">
        <v>151</v>
      </c>
      <c r="E2" s="76" t="n">
        <f aca="false">IFERROR(__xludf.dummyfunction("COUNTA(SPLIT(D2,"" ""))/COUNTA(SPLIT($B$2,"" ""))"),0.958974358974359)</f>
        <v>0.958974359</v>
      </c>
      <c r="F2" s="6" t="n">
        <v>4</v>
      </c>
      <c r="G2" s="6" t="n">
        <v>4</v>
      </c>
      <c r="H2" s="6" t="n">
        <v>5</v>
      </c>
      <c r="I2" s="6" t="n">
        <v>2</v>
      </c>
      <c r="J2" s="6" t="n">
        <v>5</v>
      </c>
      <c r="K2" s="51"/>
      <c r="L2" s="51"/>
      <c r="M2" s="51"/>
      <c r="N2" s="51"/>
      <c r="O2" s="51"/>
      <c r="P2" s="51"/>
      <c r="Q2" s="51"/>
      <c r="R2" s="51"/>
      <c r="S2" s="51"/>
      <c r="T2" s="51"/>
      <c r="U2" s="51"/>
      <c r="V2" s="51"/>
      <c r="W2" s="51"/>
      <c r="X2" s="51"/>
      <c r="Y2" s="51"/>
      <c r="Z2" s="51"/>
      <c r="AA2" s="51"/>
      <c r="AB2" s="51"/>
    </row>
    <row r="3" customFormat="false" ht="225" hidden="false" customHeight="true" outlineLevel="0" collapsed="false">
      <c r="A3" s="47"/>
      <c r="B3" s="47"/>
      <c r="C3" s="6" t="s">
        <v>19</v>
      </c>
      <c r="D3" s="49" t="s">
        <v>152</v>
      </c>
      <c r="E3" s="78" t="n">
        <f aca="false">IFERROR(__xludf.dummyfunction("COUNTA(SPLIT(D3,"" ""))/COUNTA(SPLIT($B$2,"" ""))"),0.353846153846154)</f>
        <v>0.3538461538</v>
      </c>
      <c r="F3" s="6" t="n">
        <v>4</v>
      </c>
      <c r="G3" s="6" t="n">
        <v>4</v>
      </c>
      <c r="H3" s="6" t="n">
        <v>5</v>
      </c>
      <c r="I3" s="6" t="n">
        <v>5</v>
      </c>
      <c r="J3" s="6" t="n">
        <v>4</v>
      </c>
      <c r="K3" s="51"/>
      <c r="L3" s="51"/>
      <c r="M3" s="51"/>
      <c r="N3" s="51"/>
      <c r="O3" s="51"/>
      <c r="P3" s="51"/>
      <c r="Q3" s="51"/>
      <c r="R3" s="51"/>
      <c r="S3" s="51"/>
      <c r="T3" s="51"/>
      <c r="U3" s="51"/>
      <c r="V3" s="51"/>
      <c r="W3" s="51"/>
      <c r="X3" s="51"/>
      <c r="Y3" s="51"/>
      <c r="Z3" s="51"/>
      <c r="AA3" s="51"/>
      <c r="AB3" s="51"/>
    </row>
    <row r="4" customFormat="false" ht="225" hidden="false" customHeight="true" outlineLevel="0" collapsed="false">
      <c r="A4" s="47"/>
      <c r="B4" s="47"/>
      <c r="C4" s="6" t="s">
        <v>8</v>
      </c>
      <c r="D4" s="49" t="s">
        <v>153</v>
      </c>
      <c r="E4" s="79" t="n">
        <f aca="false">IFERROR(__xludf.dummyfunction("COUNTA(SPLIT(D4,"" ""))/COUNTA(SPLIT($B$2,"" ""))"),0.846153846153846)</f>
        <v>0.8461538462</v>
      </c>
      <c r="F4" s="6" t="n">
        <v>3</v>
      </c>
      <c r="G4" s="6" t="n">
        <v>4</v>
      </c>
      <c r="H4" s="6" t="n">
        <v>5</v>
      </c>
      <c r="I4" s="6" t="n">
        <v>3</v>
      </c>
      <c r="J4" s="6" t="n">
        <v>5</v>
      </c>
      <c r="K4" s="51"/>
      <c r="L4" s="51"/>
      <c r="M4" s="51"/>
      <c r="N4" s="51"/>
      <c r="O4" s="51"/>
      <c r="P4" s="51"/>
      <c r="Q4" s="51"/>
      <c r="R4" s="51"/>
      <c r="S4" s="51"/>
      <c r="T4" s="51"/>
      <c r="U4" s="51"/>
      <c r="V4" s="51"/>
      <c r="W4" s="51"/>
      <c r="X4" s="51"/>
      <c r="Y4" s="51"/>
      <c r="Z4" s="51"/>
      <c r="AA4" s="51"/>
      <c r="AB4" s="51"/>
    </row>
    <row r="5" customFormat="false" ht="225" hidden="false" customHeight="true" outlineLevel="0" collapsed="false">
      <c r="A5" s="47"/>
      <c r="B5" s="47"/>
      <c r="C5" s="6" t="s">
        <v>20</v>
      </c>
      <c r="D5" s="49" t="s">
        <v>154</v>
      </c>
      <c r="E5" s="80" t="n">
        <f aca="false">IFERROR(__xludf.dummyfunction("COUNTA(SPLIT(D5,"" ""))/COUNTA(SPLIT($B$2,"" ""))"),0.487179487179487)</f>
        <v>0.4871794872</v>
      </c>
      <c r="F5" s="6" t="n">
        <v>4</v>
      </c>
      <c r="G5" s="6" t="n">
        <v>4</v>
      </c>
      <c r="H5" s="6" t="n">
        <v>4</v>
      </c>
      <c r="I5" s="6" t="n">
        <v>4</v>
      </c>
      <c r="J5" s="6" t="n">
        <v>5</v>
      </c>
      <c r="K5" s="51"/>
      <c r="L5" s="51"/>
      <c r="M5" s="51"/>
      <c r="N5" s="51"/>
      <c r="O5" s="51"/>
      <c r="P5" s="51"/>
      <c r="Q5" s="51"/>
      <c r="R5" s="51"/>
      <c r="S5" s="51"/>
      <c r="T5" s="51"/>
      <c r="U5" s="51"/>
      <c r="V5" s="51"/>
      <c r="W5" s="51"/>
      <c r="X5" s="51"/>
      <c r="Y5" s="51"/>
      <c r="Z5" s="51"/>
      <c r="AA5" s="51"/>
      <c r="AB5" s="51"/>
    </row>
    <row r="6" customFormat="false" ht="15.75" hidden="false" customHeight="false" outlineLevel="0" collapsed="false">
      <c r="A6" s="51"/>
      <c r="B6" s="51"/>
      <c r="C6" s="6"/>
      <c r="D6" s="49"/>
      <c r="E6" s="53"/>
      <c r="F6" s="6"/>
      <c r="G6" s="6"/>
      <c r="H6" s="6"/>
      <c r="I6" s="6"/>
      <c r="J6" s="6"/>
      <c r="K6" s="51"/>
      <c r="L6" s="51"/>
      <c r="M6" s="51"/>
      <c r="N6" s="51"/>
      <c r="O6" s="51"/>
      <c r="P6" s="51"/>
      <c r="Q6" s="51"/>
      <c r="R6" s="51"/>
      <c r="S6" s="51"/>
      <c r="T6" s="51"/>
      <c r="U6" s="51"/>
      <c r="V6" s="51"/>
      <c r="W6" s="51"/>
      <c r="X6" s="51"/>
      <c r="Y6" s="51"/>
      <c r="Z6" s="51"/>
      <c r="AA6" s="51"/>
      <c r="AB6" s="51"/>
    </row>
    <row r="7" customFormat="false" ht="225" hidden="false" customHeight="true" outlineLevel="0" collapsed="false">
      <c r="A7" s="54" t="s">
        <v>35</v>
      </c>
      <c r="B7" s="55" t="s">
        <v>36</v>
      </c>
      <c r="C7" s="56" t="s">
        <v>18</v>
      </c>
      <c r="D7" s="57" t="s">
        <v>155</v>
      </c>
      <c r="E7" s="81" t="n">
        <f aca="false">IFERROR(__xludf.dummyfunction("COUNTA(SPLIT(D7,"" ""))/COUNTA(SPLIT($B$7,"" ""))"),1.04166666666667)</f>
        <v>1.041666667</v>
      </c>
      <c r="F7" s="56" t="n">
        <v>4</v>
      </c>
      <c r="G7" s="56" t="n">
        <v>5</v>
      </c>
      <c r="H7" s="56" t="n">
        <v>5</v>
      </c>
      <c r="I7" s="56" t="n">
        <v>1</v>
      </c>
      <c r="J7" s="56" t="n">
        <v>5</v>
      </c>
      <c r="K7" s="59"/>
      <c r="L7" s="59"/>
      <c r="M7" s="59"/>
      <c r="N7" s="59"/>
      <c r="O7" s="59"/>
      <c r="P7" s="59"/>
      <c r="Q7" s="59"/>
      <c r="R7" s="59"/>
      <c r="S7" s="59"/>
      <c r="T7" s="59"/>
      <c r="U7" s="59"/>
      <c r="V7" s="59"/>
      <c r="W7" s="59"/>
      <c r="X7" s="59"/>
      <c r="Y7" s="59"/>
      <c r="Z7" s="59"/>
      <c r="AA7" s="59"/>
      <c r="AB7" s="59"/>
    </row>
    <row r="8" customFormat="false" ht="225" hidden="false" customHeight="true" outlineLevel="0" collapsed="false">
      <c r="A8" s="54"/>
      <c r="B8" s="54"/>
      <c r="C8" s="6" t="s">
        <v>19</v>
      </c>
      <c r="D8" s="49" t="s">
        <v>156</v>
      </c>
      <c r="E8" s="82" t="n">
        <f aca="false">IFERROR(__xludf.dummyfunction("COUNTA(SPLIT(D8,"" ""))/COUNTA(SPLIT($B$7,"" ""))"),0.386904761904762)</f>
        <v>0.3869047619</v>
      </c>
      <c r="F8" s="6" t="n">
        <v>4</v>
      </c>
      <c r="G8" s="6" t="n">
        <v>5</v>
      </c>
      <c r="H8" s="6" t="n">
        <v>4</v>
      </c>
      <c r="I8" s="6" t="n">
        <v>4</v>
      </c>
      <c r="J8" s="6" t="n">
        <v>4</v>
      </c>
      <c r="K8" s="51"/>
      <c r="L8" s="51"/>
      <c r="M8" s="51"/>
      <c r="N8" s="51"/>
      <c r="O8" s="51"/>
      <c r="P8" s="51"/>
      <c r="Q8" s="51"/>
      <c r="R8" s="51"/>
      <c r="S8" s="51"/>
      <c r="T8" s="51"/>
      <c r="U8" s="51"/>
      <c r="V8" s="51"/>
      <c r="W8" s="51"/>
      <c r="X8" s="51"/>
      <c r="Y8" s="51"/>
      <c r="Z8" s="51"/>
      <c r="AA8" s="51"/>
      <c r="AB8" s="51"/>
    </row>
    <row r="9" customFormat="false" ht="225" hidden="false" customHeight="true" outlineLevel="0" collapsed="false">
      <c r="A9" s="54"/>
      <c r="B9" s="54"/>
      <c r="C9" s="6" t="s">
        <v>8</v>
      </c>
      <c r="D9" s="49" t="s">
        <v>157</v>
      </c>
      <c r="E9" s="83" t="n">
        <f aca="false">IFERROR(__xludf.dummyfunction("COUNTA(SPLIT(D9,"" ""))/COUNTA(SPLIT($B$7,"" ""))"),1.16071428571429)</f>
        <v>1.160714286</v>
      </c>
      <c r="F9" s="6" t="n">
        <v>3</v>
      </c>
      <c r="G9" s="6" t="n">
        <v>4</v>
      </c>
      <c r="H9" s="6" t="n">
        <v>4</v>
      </c>
      <c r="I9" s="6" t="n">
        <v>3</v>
      </c>
      <c r="J9" s="6" t="n">
        <v>5</v>
      </c>
      <c r="K9" s="51"/>
      <c r="L9" s="51"/>
      <c r="M9" s="51"/>
      <c r="N9" s="51"/>
      <c r="O9" s="51"/>
      <c r="P9" s="51"/>
      <c r="Q9" s="51"/>
      <c r="R9" s="51"/>
      <c r="S9" s="51"/>
      <c r="T9" s="51"/>
      <c r="U9" s="51"/>
      <c r="V9" s="51"/>
      <c r="W9" s="51"/>
      <c r="X9" s="51"/>
      <c r="Y9" s="51"/>
      <c r="Z9" s="51"/>
      <c r="AA9" s="51"/>
      <c r="AB9" s="51"/>
    </row>
    <row r="10" customFormat="false" ht="225" hidden="false" customHeight="true" outlineLevel="0" collapsed="false">
      <c r="A10" s="54"/>
      <c r="B10" s="54"/>
      <c r="C10" s="6" t="s">
        <v>20</v>
      </c>
      <c r="D10" s="49" t="s">
        <v>158</v>
      </c>
      <c r="E10" s="66" t="n">
        <f aca="false">IFERROR(__xludf.dummyfunction("COUNTA(SPLIT(D10,"" ""))/COUNTA(SPLIT($B$7,"" ""))"),0.452380952380952)</f>
        <v>0.4523809524</v>
      </c>
      <c r="F10" s="6" t="n">
        <v>4</v>
      </c>
      <c r="G10" s="6" t="n">
        <v>4</v>
      </c>
      <c r="H10" s="6" t="n">
        <v>4</v>
      </c>
      <c r="I10" s="6" t="n">
        <v>4</v>
      </c>
      <c r="J10" s="6" t="n">
        <v>5</v>
      </c>
      <c r="K10" s="51"/>
      <c r="L10" s="51"/>
      <c r="M10" s="51"/>
      <c r="N10" s="51"/>
      <c r="O10" s="51"/>
      <c r="P10" s="51"/>
      <c r="Q10" s="51"/>
      <c r="R10" s="51"/>
      <c r="S10" s="51"/>
      <c r="T10" s="51"/>
      <c r="U10" s="51"/>
      <c r="V10" s="51"/>
      <c r="W10" s="51"/>
      <c r="X10" s="51"/>
      <c r="Y10" s="51"/>
      <c r="Z10" s="51"/>
      <c r="AA10" s="51"/>
      <c r="AB10" s="51"/>
    </row>
    <row r="11" customFormat="false" ht="15.75" hidden="false" customHeight="false" outlineLevel="0" collapsed="false">
      <c r="A11" s="51"/>
      <c r="B11" s="51"/>
      <c r="C11" s="6"/>
      <c r="D11" s="49"/>
      <c r="E11" s="53"/>
      <c r="F11" s="6"/>
      <c r="G11" s="6"/>
      <c r="H11" s="6"/>
      <c r="I11" s="6"/>
      <c r="J11" s="6"/>
      <c r="K11" s="51"/>
      <c r="L11" s="51"/>
      <c r="M11" s="51"/>
      <c r="N11" s="51"/>
      <c r="O11" s="51"/>
      <c r="P11" s="51"/>
      <c r="Q11" s="51"/>
      <c r="R11" s="51"/>
      <c r="S11" s="51"/>
      <c r="T11" s="51"/>
      <c r="U11" s="51"/>
      <c r="V11" s="51"/>
      <c r="W11" s="51"/>
      <c r="X11" s="51"/>
      <c r="Y11" s="51"/>
      <c r="Z11" s="51"/>
      <c r="AA11" s="51"/>
      <c r="AB11" s="51"/>
    </row>
    <row r="12" customFormat="false" ht="225" hidden="false" customHeight="true" outlineLevel="0" collapsed="false">
      <c r="A12" s="54" t="s">
        <v>39</v>
      </c>
      <c r="B12" s="55" t="s">
        <v>40</v>
      </c>
      <c r="C12" s="56" t="s">
        <v>18</v>
      </c>
      <c r="D12" s="57" t="s">
        <v>159</v>
      </c>
      <c r="E12" s="84" t="n">
        <f aca="false">IFERROR(__xludf.dummyfunction("COUNTA(SPLIT(D12,"" ""))/COUNTA(SPLIT($B$12,"" ""))"),0.288329519450801)</f>
        <v>0.2883295195</v>
      </c>
      <c r="F12" s="56" t="n">
        <v>4</v>
      </c>
      <c r="G12" s="56" t="n">
        <v>5</v>
      </c>
      <c r="H12" s="56" t="n">
        <v>4</v>
      </c>
      <c r="I12" s="56" t="n">
        <v>3</v>
      </c>
      <c r="J12" s="56" t="n">
        <v>5</v>
      </c>
      <c r="K12" s="59"/>
      <c r="L12" s="59"/>
      <c r="M12" s="59"/>
      <c r="N12" s="59"/>
      <c r="O12" s="59"/>
      <c r="P12" s="59"/>
      <c r="Q12" s="59"/>
      <c r="R12" s="59"/>
      <c r="S12" s="59"/>
      <c r="T12" s="59"/>
      <c r="U12" s="59"/>
      <c r="V12" s="59"/>
      <c r="W12" s="59"/>
      <c r="X12" s="59"/>
      <c r="Y12" s="59"/>
      <c r="Z12" s="59"/>
      <c r="AA12" s="59"/>
      <c r="AB12" s="59"/>
    </row>
    <row r="13" customFormat="false" ht="225" hidden="false" customHeight="true" outlineLevel="0" collapsed="false">
      <c r="A13" s="54"/>
      <c r="B13" s="54"/>
      <c r="C13" s="6" t="s">
        <v>19</v>
      </c>
      <c r="D13" s="49" t="s">
        <v>160</v>
      </c>
      <c r="E13" s="84" t="n">
        <f aca="false">IFERROR(__xludf.dummyfunction("COUNTA(SPLIT(D13,"" ""))/COUNTA(SPLIT($B$12,"" ""))"),0.185354691075515)</f>
        <v>0.1853546911</v>
      </c>
      <c r="F13" s="6" t="n">
        <v>4</v>
      </c>
      <c r="G13" s="6" t="n">
        <v>5</v>
      </c>
      <c r="H13" s="6" t="n">
        <v>5</v>
      </c>
      <c r="I13" s="6" t="n">
        <v>5</v>
      </c>
      <c r="J13" s="6" t="n">
        <v>4</v>
      </c>
      <c r="K13" s="51"/>
      <c r="L13" s="51"/>
      <c r="M13" s="51"/>
      <c r="N13" s="51"/>
      <c r="O13" s="51"/>
      <c r="P13" s="51"/>
      <c r="Q13" s="51"/>
      <c r="R13" s="51"/>
      <c r="S13" s="51"/>
      <c r="T13" s="51"/>
      <c r="U13" s="51"/>
      <c r="V13" s="51"/>
      <c r="W13" s="51"/>
      <c r="X13" s="51"/>
      <c r="Y13" s="51"/>
      <c r="Z13" s="51"/>
      <c r="AA13" s="51"/>
      <c r="AB13" s="51"/>
    </row>
    <row r="14" customFormat="false" ht="225" hidden="false" customHeight="true" outlineLevel="0" collapsed="false">
      <c r="A14" s="54"/>
      <c r="B14" s="54"/>
      <c r="C14" s="6" t="s">
        <v>8</v>
      </c>
      <c r="D14" s="49" t="s">
        <v>161</v>
      </c>
      <c r="E14" s="85" t="n">
        <f aca="false">IFERROR(__xludf.dummyfunction("COUNTA(SPLIT(D14,"" ""))/COUNTA(SPLIT($B$12,"" ""))"),0.379862700228833)</f>
        <v>0.3798627002</v>
      </c>
      <c r="F14" s="6" t="n">
        <v>3</v>
      </c>
      <c r="G14" s="6" t="n">
        <v>4</v>
      </c>
      <c r="H14" s="6" t="n">
        <v>5</v>
      </c>
      <c r="I14" s="6" t="n">
        <v>3</v>
      </c>
      <c r="J14" s="6" t="n">
        <v>5</v>
      </c>
      <c r="K14" s="51"/>
      <c r="L14" s="51"/>
      <c r="M14" s="51"/>
      <c r="N14" s="51"/>
      <c r="O14" s="51"/>
      <c r="P14" s="51"/>
      <c r="Q14" s="51"/>
      <c r="R14" s="51"/>
      <c r="S14" s="51"/>
      <c r="T14" s="51"/>
      <c r="U14" s="51"/>
      <c r="V14" s="51"/>
      <c r="W14" s="51"/>
      <c r="X14" s="51"/>
      <c r="Y14" s="51"/>
      <c r="Z14" s="51"/>
      <c r="AA14" s="51"/>
      <c r="AB14" s="51"/>
    </row>
    <row r="15" customFormat="false" ht="225" hidden="false" customHeight="true" outlineLevel="0" collapsed="false">
      <c r="A15" s="54"/>
      <c r="B15" s="54"/>
      <c r="C15" s="6" t="s">
        <v>20</v>
      </c>
      <c r="D15" s="49" t="s">
        <v>162</v>
      </c>
      <c r="E15" s="86" t="n">
        <f aca="false">IFERROR(__xludf.dummyfunction("COUNTA(SPLIT(D15,"" ""))/COUNTA(SPLIT($B$12,"" ""))"),0.237986270022883)</f>
        <v>0.23798627</v>
      </c>
      <c r="F15" s="6" t="n">
        <v>3</v>
      </c>
      <c r="G15" s="6" t="n">
        <v>4</v>
      </c>
      <c r="H15" s="6" t="n">
        <v>3</v>
      </c>
      <c r="I15" s="6" t="n">
        <v>5</v>
      </c>
      <c r="J15" s="6" t="n">
        <v>5</v>
      </c>
      <c r="K15" s="51"/>
      <c r="L15" s="51"/>
      <c r="M15" s="51"/>
      <c r="N15" s="51"/>
      <c r="O15" s="51"/>
      <c r="P15" s="51"/>
      <c r="Q15" s="51"/>
      <c r="R15" s="51"/>
      <c r="S15" s="51"/>
      <c r="T15" s="51"/>
      <c r="U15" s="51"/>
      <c r="V15" s="51"/>
      <c r="W15" s="51"/>
      <c r="X15" s="51"/>
      <c r="Y15" s="51"/>
      <c r="Z15" s="51"/>
      <c r="AA15" s="51"/>
      <c r="AB15" s="51"/>
    </row>
    <row r="16" customFormat="false" ht="15.75" hidden="false" customHeight="false" outlineLevel="0" collapsed="false">
      <c r="A16" s="51"/>
      <c r="B16" s="51"/>
      <c r="C16" s="6"/>
      <c r="D16" s="49"/>
      <c r="E16" s="53"/>
      <c r="F16" s="6"/>
      <c r="G16" s="6"/>
      <c r="H16" s="6"/>
      <c r="I16" s="6"/>
      <c r="J16" s="6"/>
      <c r="K16" s="51"/>
      <c r="L16" s="51"/>
      <c r="M16" s="51"/>
      <c r="N16" s="51"/>
      <c r="O16" s="51"/>
      <c r="P16" s="51"/>
      <c r="Q16" s="51"/>
      <c r="R16" s="51"/>
      <c r="S16" s="51"/>
      <c r="T16" s="51"/>
      <c r="U16" s="51"/>
      <c r="V16" s="51"/>
      <c r="W16" s="51"/>
      <c r="X16" s="51"/>
      <c r="Y16" s="51"/>
      <c r="Z16" s="51"/>
      <c r="AA16" s="51"/>
      <c r="AB16" s="51"/>
    </row>
    <row r="17" customFormat="false" ht="225" hidden="false" customHeight="true" outlineLevel="0" collapsed="false">
      <c r="A17" s="54" t="s">
        <v>43</v>
      </c>
      <c r="B17" s="55" t="s">
        <v>44</v>
      </c>
      <c r="C17" s="56" t="s">
        <v>18</v>
      </c>
      <c r="D17" s="57" t="s">
        <v>163</v>
      </c>
      <c r="E17" s="87" t="n">
        <f aca="false">IFERROR(__xludf.dummyfunction("COUNTA(SPLIT(D17,"" ""))/COUNTA(SPLIT($B$17,"" ""))"),0.33756345177665)</f>
        <v>0.3375634518</v>
      </c>
      <c r="F17" s="56" t="n">
        <v>4</v>
      </c>
      <c r="G17" s="56" t="n">
        <v>4</v>
      </c>
      <c r="H17" s="56" t="n">
        <v>4</v>
      </c>
      <c r="I17" s="56" t="n">
        <v>4</v>
      </c>
      <c r="J17" s="56" t="n">
        <v>5</v>
      </c>
      <c r="K17" s="59"/>
      <c r="L17" s="59"/>
      <c r="M17" s="59"/>
      <c r="N17" s="59"/>
      <c r="O17" s="59"/>
      <c r="P17" s="59"/>
      <c r="Q17" s="59"/>
      <c r="R17" s="59"/>
      <c r="S17" s="59"/>
      <c r="T17" s="59"/>
      <c r="U17" s="59"/>
      <c r="V17" s="59"/>
      <c r="W17" s="59"/>
      <c r="X17" s="59"/>
      <c r="Y17" s="59"/>
      <c r="Z17" s="59"/>
      <c r="AA17" s="59"/>
      <c r="AB17" s="59"/>
    </row>
    <row r="18" customFormat="false" ht="225" hidden="false" customHeight="true" outlineLevel="0" collapsed="false">
      <c r="A18" s="54"/>
      <c r="B18" s="54"/>
      <c r="C18" s="6" t="s">
        <v>19</v>
      </c>
      <c r="D18" s="49" t="s">
        <v>164</v>
      </c>
      <c r="E18" s="88" t="n">
        <f aca="false">IFERROR(__xludf.dummyfunction("COUNTA(SPLIT(D18,"" ""))/COUNTA(SPLIT($B$17,"" ""))"),0.228426395939086)</f>
        <v>0.2284263959</v>
      </c>
      <c r="F18" s="6" t="n">
        <v>4</v>
      </c>
      <c r="G18" s="6" t="n">
        <v>4</v>
      </c>
      <c r="H18" s="6" t="n">
        <v>5</v>
      </c>
      <c r="I18" s="6" t="n">
        <v>4</v>
      </c>
      <c r="J18" s="6" t="n">
        <v>4</v>
      </c>
      <c r="K18" s="51"/>
      <c r="L18" s="51"/>
      <c r="M18" s="51"/>
      <c r="N18" s="51"/>
      <c r="O18" s="51"/>
      <c r="P18" s="51"/>
      <c r="Q18" s="51"/>
      <c r="R18" s="51"/>
      <c r="S18" s="51"/>
      <c r="T18" s="51"/>
      <c r="U18" s="51"/>
      <c r="V18" s="51"/>
      <c r="W18" s="51"/>
      <c r="X18" s="51"/>
      <c r="Y18" s="51"/>
      <c r="Z18" s="51"/>
      <c r="AA18" s="51"/>
      <c r="AB18" s="51"/>
    </row>
    <row r="19" customFormat="false" ht="225" hidden="false" customHeight="true" outlineLevel="0" collapsed="false">
      <c r="A19" s="54"/>
      <c r="B19" s="54"/>
      <c r="C19" s="6" t="s">
        <v>8</v>
      </c>
      <c r="D19" s="49" t="s">
        <v>165</v>
      </c>
      <c r="E19" s="84" t="n">
        <f aca="false">IFERROR(__xludf.dummyfunction("COUNTA(SPLIT(D19,"" ""))/COUNTA(SPLIT($B$17,"" ""))"),0.388324873096447)</f>
        <v>0.3883248731</v>
      </c>
      <c r="F19" s="6" t="n">
        <v>3</v>
      </c>
      <c r="G19" s="6" t="n">
        <v>5</v>
      </c>
      <c r="H19" s="6" t="n">
        <v>4</v>
      </c>
      <c r="I19" s="6" t="n">
        <v>3</v>
      </c>
      <c r="J19" s="6" t="n">
        <v>4</v>
      </c>
      <c r="K19" s="51"/>
      <c r="L19" s="51"/>
      <c r="M19" s="51"/>
      <c r="N19" s="51"/>
      <c r="O19" s="51"/>
      <c r="P19" s="51"/>
      <c r="Q19" s="51"/>
      <c r="R19" s="51"/>
      <c r="S19" s="51"/>
      <c r="T19" s="51"/>
      <c r="U19" s="51"/>
      <c r="V19" s="51"/>
      <c r="W19" s="51"/>
      <c r="X19" s="51"/>
      <c r="Y19" s="51"/>
      <c r="Z19" s="51"/>
      <c r="AA19" s="51"/>
      <c r="AB19" s="51"/>
    </row>
    <row r="20" customFormat="false" ht="225" hidden="false" customHeight="true" outlineLevel="0" collapsed="false">
      <c r="A20" s="54"/>
      <c r="B20" s="54"/>
      <c r="C20" s="6" t="s">
        <v>20</v>
      </c>
      <c r="D20" s="49" t="s">
        <v>166</v>
      </c>
      <c r="E20" s="89" t="n">
        <f aca="false">IFERROR(__xludf.dummyfunction("COUNTA(SPLIT(D20,"" ""))/COUNTA(SPLIT($B$17,"" ""))"),0.17258883248731)</f>
        <v>0.1725888325</v>
      </c>
      <c r="F20" s="6" t="n">
        <v>4</v>
      </c>
      <c r="G20" s="6" t="n">
        <v>5</v>
      </c>
      <c r="H20" s="6" t="n">
        <v>4</v>
      </c>
      <c r="I20" s="6" t="n">
        <v>5</v>
      </c>
      <c r="J20" s="6" t="n">
        <v>4</v>
      </c>
      <c r="K20" s="51"/>
      <c r="L20" s="51"/>
      <c r="M20" s="51"/>
      <c r="N20" s="51"/>
      <c r="O20" s="51"/>
      <c r="P20" s="51"/>
      <c r="Q20" s="51"/>
      <c r="R20" s="51"/>
      <c r="S20" s="51"/>
      <c r="T20" s="51"/>
      <c r="U20" s="51"/>
      <c r="V20" s="51"/>
      <c r="W20" s="51"/>
      <c r="X20" s="51"/>
      <c r="Y20" s="51"/>
      <c r="Z20" s="51"/>
      <c r="AA20" s="51"/>
      <c r="AB20" s="51"/>
    </row>
    <row r="21" customFormat="false" ht="15.75" hidden="false" customHeight="false" outlineLevel="0" collapsed="false">
      <c r="A21" s="51"/>
      <c r="B21" s="51"/>
      <c r="C21" s="6"/>
      <c r="D21" s="49"/>
      <c r="E21" s="53"/>
      <c r="F21" s="6"/>
      <c r="G21" s="6"/>
      <c r="H21" s="6"/>
      <c r="I21" s="6"/>
      <c r="J21" s="6"/>
      <c r="K21" s="51"/>
      <c r="L21" s="51"/>
      <c r="M21" s="51"/>
      <c r="N21" s="51"/>
      <c r="O21" s="51"/>
      <c r="P21" s="51"/>
      <c r="Q21" s="51"/>
      <c r="R21" s="51"/>
      <c r="S21" s="51"/>
      <c r="T21" s="51"/>
      <c r="U21" s="51"/>
      <c r="V21" s="51"/>
      <c r="W21" s="51"/>
      <c r="X21" s="51"/>
      <c r="Y21" s="51"/>
      <c r="Z21" s="51"/>
      <c r="AA21" s="51"/>
      <c r="AB21" s="51"/>
    </row>
    <row r="22" customFormat="false" ht="225" hidden="false" customHeight="true" outlineLevel="0" collapsed="false">
      <c r="A22" s="54" t="s">
        <v>47</v>
      </c>
      <c r="B22" s="55" t="s">
        <v>48</v>
      </c>
      <c r="C22" s="56" t="s">
        <v>18</v>
      </c>
      <c r="D22" s="57" t="s">
        <v>167</v>
      </c>
      <c r="E22" s="90" t="n">
        <f aca="false">IFERROR(__xludf.dummyfunction("COUNTA(SPLIT(D22,"" ""))/COUNTA(SPLIT($B$22,"" ""))"),0.408988764044944)</f>
        <v>0.408988764</v>
      </c>
      <c r="F22" s="56" t="n">
        <v>4</v>
      </c>
      <c r="G22" s="56" t="n">
        <v>4</v>
      </c>
      <c r="H22" s="56" t="n">
        <v>5</v>
      </c>
      <c r="I22" s="56" t="n">
        <v>3</v>
      </c>
      <c r="J22" s="56" t="n">
        <v>5</v>
      </c>
      <c r="K22" s="59"/>
      <c r="L22" s="59"/>
      <c r="M22" s="59"/>
      <c r="N22" s="59"/>
      <c r="O22" s="59"/>
      <c r="P22" s="59"/>
      <c r="Q22" s="59"/>
      <c r="R22" s="59"/>
      <c r="S22" s="59"/>
      <c r="T22" s="59"/>
      <c r="U22" s="59"/>
      <c r="V22" s="59"/>
      <c r="W22" s="59"/>
      <c r="X22" s="59"/>
      <c r="Y22" s="59"/>
      <c r="Z22" s="59"/>
      <c r="AA22" s="59"/>
      <c r="AB22" s="59"/>
    </row>
    <row r="23" customFormat="false" ht="225" hidden="false" customHeight="true" outlineLevel="0" collapsed="false">
      <c r="A23" s="54"/>
      <c r="B23" s="54"/>
      <c r="C23" s="6" t="s">
        <v>19</v>
      </c>
      <c r="D23" s="49" t="s">
        <v>168</v>
      </c>
      <c r="E23" s="91" t="n">
        <f aca="false">IFERROR(__xludf.dummyfunction("COUNTA(SPLIT(D23,"" ""))/COUNTA(SPLIT($B$22,"" ""))"),0.159550561797753)</f>
        <v>0.1595505618</v>
      </c>
      <c r="F23" s="6" t="n">
        <v>4</v>
      </c>
      <c r="G23" s="6" t="n">
        <v>5</v>
      </c>
      <c r="H23" s="6" t="n">
        <v>4</v>
      </c>
      <c r="I23" s="6" t="n">
        <v>4</v>
      </c>
      <c r="J23" s="6" t="n">
        <v>4</v>
      </c>
      <c r="K23" s="51"/>
      <c r="L23" s="51"/>
      <c r="M23" s="51"/>
      <c r="N23" s="51"/>
      <c r="O23" s="51"/>
      <c r="P23" s="51"/>
      <c r="Q23" s="51"/>
      <c r="R23" s="51"/>
      <c r="S23" s="51"/>
      <c r="T23" s="51"/>
      <c r="U23" s="51"/>
      <c r="V23" s="51"/>
      <c r="W23" s="51"/>
      <c r="X23" s="51"/>
      <c r="Y23" s="51"/>
      <c r="Z23" s="51"/>
      <c r="AA23" s="51"/>
      <c r="AB23" s="51"/>
    </row>
    <row r="24" customFormat="false" ht="225" hidden="false" customHeight="true" outlineLevel="0" collapsed="false">
      <c r="A24" s="54"/>
      <c r="B24" s="54"/>
      <c r="C24" s="6" t="s">
        <v>8</v>
      </c>
      <c r="D24" s="49" t="s">
        <v>169</v>
      </c>
      <c r="E24" s="92" t="n">
        <f aca="false">IFERROR(__xludf.dummyfunction("COUNTA(SPLIT(D24,"" ""))/COUNTA(SPLIT($B$22,"" ""))"),0.462921348314607)</f>
        <v>0.4629213483</v>
      </c>
      <c r="F24" s="6" t="n">
        <v>3</v>
      </c>
      <c r="G24" s="6" t="n">
        <v>4</v>
      </c>
      <c r="H24" s="6" t="n">
        <v>5</v>
      </c>
      <c r="I24" s="6" t="n">
        <v>3</v>
      </c>
      <c r="J24" s="6" t="n">
        <v>5</v>
      </c>
      <c r="K24" s="51"/>
      <c r="L24" s="51"/>
      <c r="M24" s="51"/>
      <c r="N24" s="51"/>
      <c r="O24" s="51"/>
      <c r="P24" s="51"/>
      <c r="Q24" s="51"/>
      <c r="R24" s="51"/>
      <c r="S24" s="51"/>
      <c r="T24" s="51"/>
      <c r="U24" s="51"/>
      <c r="V24" s="51"/>
      <c r="W24" s="51"/>
      <c r="X24" s="51"/>
      <c r="Y24" s="51"/>
      <c r="Z24" s="51"/>
      <c r="AA24" s="51"/>
      <c r="AB24" s="51"/>
    </row>
    <row r="25" customFormat="false" ht="225" hidden="false" customHeight="true" outlineLevel="0" collapsed="false">
      <c r="A25" s="54"/>
      <c r="B25" s="54"/>
      <c r="C25" s="6" t="s">
        <v>20</v>
      </c>
      <c r="D25" s="49" t="s">
        <v>170</v>
      </c>
      <c r="E25" s="69" t="n">
        <f aca="false">IFERROR(__xludf.dummyfunction("COUNTA(SPLIT(D25,"" ""))/COUNTA(SPLIT($B$22,"" ""))"),0.152808988764045)</f>
        <v>0.1528089888</v>
      </c>
      <c r="F25" s="6" t="n">
        <v>3</v>
      </c>
      <c r="G25" s="6" t="n">
        <v>4</v>
      </c>
      <c r="H25" s="6" t="n">
        <v>4</v>
      </c>
      <c r="I25" s="6" t="n">
        <v>5</v>
      </c>
      <c r="J25" s="6" t="n">
        <v>4</v>
      </c>
      <c r="K25" s="51"/>
      <c r="L25" s="51"/>
      <c r="M25" s="51"/>
      <c r="N25" s="51"/>
      <c r="O25" s="51"/>
      <c r="P25" s="51"/>
      <c r="Q25" s="51"/>
      <c r="R25" s="51"/>
      <c r="S25" s="51"/>
      <c r="T25" s="51"/>
      <c r="U25" s="51"/>
      <c r="V25" s="51"/>
      <c r="W25" s="51"/>
      <c r="X25" s="51"/>
      <c r="Y25" s="51"/>
      <c r="Z25" s="51"/>
      <c r="AA25" s="51"/>
      <c r="AB25" s="51"/>
    </row>
    <row r="26" customFormat="false" ht="15.75" hidden="false" customHeight="false" outlineLevel="0" collapsed="false">
      <c r="A26" s="51"/>
      <c r="B26" s="51"/>
      <c r="C26" s="6"/>
      <c r="D26" s="49"/>
      <c r="E26" s="53"/>
      <c r="F26" s="6"/>
      <c r="G26" s="6"/>
      <c r="H26" s="6"/>
      <c r="I26" s="6"/>
      <c r="J26" s="6"/>
      <c r="K26" s="51"/>
      <c r="L26" s="51"/>
      <c r="M26" s="51"/>
      <c r="N26" s="51"/>
      <c r="O26" s="51"/>
      <c r="P26" s="51"/>
      <c r="Q26" s="51"/>
      <c r="R26" s="51"/>
      <c r="S26" s="51"/>
      <c r="T26" s="51"/>
      <c r="U26" s="51"/>
      <c r="V26" s="51"/>
      <c r="W26" s="51"/>
      <c r="X26" s="51"/>
      <c r="Y26" s="51"/>
      <c r="Z26" s="51"/>
      <c r="AA26" s="51"/>
      <c r="AB26" s="51"/>
    </row>
    <row r="27" customFormat="false" ht="225" hidden="false" customHeight="true" outlineLevel="0" collapsed="false">
      <c r="A27" s="54" t="s">
        <v>51</v>
      </c>
      <c r="B27" s="55" t="s">
        <v>52</v>
      </c>
      <c r="C27" s="56" t="s">
        <v>18</v>
      </c>
      <c r="D27" s="57" t="s">
        <v>171</v>
      </c>
      <c r="E27" s="94" t="n">
        <f aca="false">IFERROR(__xludf.dummyfunction("COUNTA(SPLIT(D27,"" ""))/COUNTA(SPLIT($B$27,"" ""))"),0.248337028824834)</f>
        <v>0.2483370288</v>
      </c>
      <c r="F27" s="56" t="n">
        <v>3</v>
      </c>
      <c r="G27" s="56" t="n">
        <v>5</v>
      </c>
      <c r="H27" s="56" t="n">
        <v>4</v>
      </c>
      <c r="I27" s="56" t="n">
        <v>3</v>
      </c>
      <c r="J27" s="56" t="n">
        <v>5</v>
      </c>
      <c r="K27" s="59"/>
      <c r="L27" s="59"/>
      <c r="M27" s="59"/>
      <c r="N27" s="59"/>
      <c r="O27" s="59"/>
      <c r="P27" s="59"/>
      <c r="Q27" s="59"/>
      <c r="R27" s="59"/>
      <c r="S27" s="59"/>
      <c r="T27" s="59"/>
      <c r="U27" s="59"/>
      <c r="V27" s="59"/>
      <c r="W27" s="59"/>
      <c r="X27" s="59"/>
      <c r="Y27" s="59"/>
      <c r="Z27" s="59"/>
      <c r="AA27" s="59"/>
      <c r="AB27" s="59"/>
    </row>
    <row r="28" customFormat="false" ht="225" hidden="false" customHeight="true" outlineLevel="0" collapsed="false">
      <c r="A28" s="54"/>
      <c r="B28" s="54"/>
      <c r="C28" s="6" t="s">
        <v>19</v>
      </c>
      <c r="D28" s="49" t="s">
        <v>172</v>
      </c>
      <c r="E28" s="95" t="n">
        <f aca="false">IFERROR(__xludf.dummyfunction("COUNTA(SPLIT(D28,"" ""))/COUNTA(SPLIT($B$27,"" ""))"),0.170731707317073)</f>
        <v>0.1707317073</v>
      </c>
      <c r="F28" s="6" t="n">
        <v>4</v>
      </c>
      <c r="G28" s="6" t="n">
        <v>5</v>
      </c>
      <c r="H28" s="6" t="n">
        <v>4</v>
      </c>
      <c r="I28" s="6" t="n">
        <v>4</v>
      </c>
      <c r="J28" s="6" t="n">
        <v>4</v>
      </c>
      <c r="K28" s="51"/>
      <c r="L28" s="51"/>
      <c r="M28" s="51"/>
      <c r="N28" s="51"/>
      <c r="O28" s="51"/>
      <c r="P28" s="51"/>
      <c r="Q28" s="51"/>
      <c r="R28" s="51"/>
      <c r="S28" s="51"/>
      <c r="T28" s="51"/>
      <c r="U28" s="51"/>
      <c r="V28" s="51"/>
      <c r="W28" s="51"/>
      <c r="X28" s="51"/>
      <c r="Y28" s="51"/>
      <c r="Z28" s="51"/>
      <c r="AA28" s="51"/>
      <c r="AB28" s="51"/>
    </row>
    <row r="29" customFormat="false" ht="225" hidden="false" customHeight="true" outlineLevel="0" collapsed="false">
      <c r="A29" s="54"/>
      <c r="B29" s="54"/>
      <c r="C29" s="6" t="s">
        <v>8</v>
      </c>
      <c r="D29" s="49" t="s">
        <v>173</v>
      </c>
      <c r="E29" s="89" t="n">
        <f aca="false">IFERROR(__xludf.dummyfunction("COUNTA(SPLIT(D29,"" ""))/COUNTA(SPLIT($B$27,"" ""))"),0.403547671840355)</f>
        <v>0.4035476718</v>
      </c>
      <c r="F29" s="6" t="n">
        <v>3</v>
      </c>
      <c r="G29" s="6" t="n">
        <v>4</v>
      </c>
      <c r="H29" s="6" t="n">
        <v>4</v>
      </c>
      <c r="I29" s="6" t="n">
        <v>3</v>
      </c>
      <c r="J29" s="6" t="n">
        <v>5</v>
      </c>
      <c r="K29" s="51"/>
      <c r="L29" s="51"/>
      <c r="M29" s="51"/>
      <c r="N29" s="51"/>
      <c r="O29" s="51"/>
      <c r="P29" s="51"/>
      <c r="Q29" s="51"/>
      <c r="R29" s="51"/>
      <c r="S29" s="51"/>
      <c r="T29" s="51"/>
      <c r="U29" s="51"/>
      <c r="V29" s="51"/>
      <c r="W29" s="51"/>
      <c r="X29" s="51"/>
      <c r="Y29" s="51"/>
      <c r="Z29" s="51"/>
      <c r="AA29" s="51"/>
      <c r="AB29" s="51"/>
    </row>
    <row r="30" customFormat="false" ht="225" hidden="false" customHeight="true" outlineLevel="0" collapsed="false">
      <c r="A30" s="54"/>
      <c r="B30" s="54"/>
      <c r="C30" s="6" t="s">
        <v>20</v>
      </c>
      <c r="D30" s="49" t="s">
        <v>174</v>
      </c>
      <c r="E30" s="96" t="n">
        <f aca="false">IFERROR(__xludf.dummyfunction("COUNTA(SPLIT(D30,"" ""))/COUNTA(SPLIT($B$27,"" ""))"),0.150776053215078)</f>
        <v>0.1507760532</v>
      </c>
      <c r="F30" s="6" t="n">
        <v>4</v>
      </c>
      <c r="G30" s="6" t="n">
        <v>5</v>
      </c>
      <c r="H30" s="6" t="n">
        <v>5</v>
      </c>
      <c r="I30" s="6" t="n">
        <v>5</v>
      </c>
      <c r="J30" s="6" t="n">
        <v>5</v>
      </c>
      <c r="K30" s="51"/>
      <c r="L30" s="51"/>
      <c r="M30" s="51"/>
      <c r="N30" s="51"/>
      <c r="O30" s="51"/>
      <c r="P30" s="51"/>
      <c r="Q30" s="51"/>
      <c r="R30" s="51"/>
      <c r="S30" s="51"/>
      <c r="T30" s="51"/>
      <c r="U30" s="51"/>
      <c r="V30" s="51"/>
      <c r="W30" s="51"/>
      <c r="X30" s="51"/>
      <c r="Y30" s="51"/>
      <c r="Z30" s="51"/>
      <c r="AA30" s="51"/>
      <c r="AB30" s="51"/>
    </row>
    <row r="31" customFormat="false" ht="15.75" hidden="false" customHeight="false" outlineLevel="0" collapsed="false">
      <c r="A31" s="51"/>
      <c r="B31" s="51"/>
      <c r="C31" s="6"/>
      <c r="D31" s="49"/>
      <c r="E31" s="53"/>
      <c r="F31" s="6"/>
      <c r="G31" s="6"/>
      <c r="H31" s="6"/>
      <c r="I31" s="6"/>
      <c r="J31" s="6"/>
      <c r="K31" s="51"/>
      <c r="L31" s="51"/>
      <c r="M31" s="51"/>
      <c r="N31" s="51"/>
      <c r="O31" s="51"/>
      <c r="P31" s="51"/>
      <c r="Q31" s="51"/>
      <c r="R31" s="51"/>
      <c r="S31" s="51"/>
      <c r="T31" s="51"/>
      <c r="U31" s="51"/>
      <c r="V31" s="51"/>
      <c r="W31" s="51"/>
      <c r="X31" s="51"/>
      <c r="Y31" s="51"/>
      <c r="Z31" s="51"/>
      <c r="AA31" s="51"/>
      <c r="AB31" s="51"/>
    </row>
    <row r="32" customFormat="false" ht="225" hidden="false" customHeight="true" outlineLevel="0" collapsed="false">
      <c r="A32" s="54" t="s">
        <v>55</v>
      </c>
      <c r="B32" s="55" t="s">
        <v>56</v>
      </c>
      <c r="C32" s="56" t="s">
        <v>18</v>
      </c>
      <c r="D32" s="57" t="s">
        <v>175</v>
      </c>
      <c r="E32" s="68" t="n">
        <f aca="false">IFERROR(__xludf.dummyfunction("COUNTA(SPLIT(D32,"" ""))/COUNTA(SPLIT($B$32,"" ""))"),0.4)</f>
        <v>0.4</v>
      </c>
      <c r="F32" s="56" t="n">
        <v>3</v>
      </c>
      <c r="G32" s="56" t="n">
        <v>5</v>
      </c>
      <c r="H32" s="56" t="n">
        <v>5</v>
      </c>
      <c r="I32" s="56" t="n">
        <v>4</v>
      </c>
      <c r="J32" s="56" t="n">
        <v>4</v>
      </c>
      <c r="K32" s="59"/>
      <c r="L32" s="59"/>
      <c r="M32" s="59"/>
      <c r="N32" s="59"/>
      <c r="O32" s="59"/>
      <c r="P32" s="59"/>
      <c r="Q32" s="59"/>
      <c r="R32" s="59"/>
      <c r="S32" s="59"/>
      <c r="T32" s="59"/>
      <c r="U32" s="59"/>
      <c r="V32" s="59"/>
      <c r="W32" s="59"/>
      <c r="X32" s="59"/>
      <c r="Y32" s="59"/>
      <c r="Z32" s="59"/>
      <c r="AA32" s="59"/>
      <c r="AB32" s="59"/>
    </row>
    <row r="33" customFormat="false" ht="225" hidden="false" customHeight="true" outlineLevel="0" collapsed="false">
      <c r="A33" s="54"/>
      <c r="B33" s="54"/>
      <c r="C33" s="6" t="s">
        <v>19</v>
      </c>
      <c r="D33" s="49" t="s">
        <v>176</v>
      </c>
      <c r="E33" s="97" t="n">
        <f aca="false">IFERROR(__xludf.dummyfunction("COUNTA(SPLIT(D33,"" ""))/COUNTA(SPLIT($B$32,"" ""))"),0.277777777777778)</f>
        <v>0.2777777778</v>
      </c>
      <c r="F33" s="6" t="n">
        <v>4</v>
      </c>
      <c r="G33" s="6" t="n">
        <v>5</v>
      </c>
      <c r="H33" s="6" t="n">
        <v>4</v>
      </c>
      <c r="I33" s="6" t="n">
        <v>5</v>
      </c>
      <c r="J33" s="6" t="n">
        <v>3</v>
      </c>
      <c r="K33" s="51"/>
      <c r="L33" s="51"/>
      <c r="M33" s="51"/>
      <c r="N33" s="51"/>
      <c r="O33" s="51"/>
      <c r="P33" s="51"/>
      <c r="Q33" s="51"/>
      <c r="R33" s="51"/>
      <c r="S33" s="51"/>
      <c r="T33" s="51"/>
      <c r="U33" s="51"/>
      <c r="V33" s="51"/>
      <c r="W33" s="51"/>
      <c r="X33" s="51"/>
      <c r="Y33" s="51"/>
      <c r="Z33" s="51"/>
      <c r="AA33" s="51"/>
      <c r="AB33" s="51"/>
    </row>
    <row r="34" customFormat="false" ht="225" hidden="false" customHeight="true" outlineLevel="0" collapsed="false">
      <c r="A34" s="54"/>
      <c r="B34" s="54"/>
      <c r="C34" s="6" t="s">
        <v>8</v>
      </c>
      <c r="D34" s="49" t="s">
        <v>177</v>
      </c>
      <c r="E34" s="98" t="n">
        <f aca="false">IFERROR(__xludf.dummyfunction("COUNTA(SPLIT(D34,"" ""))/COUNTA(SPLIT($B$32,"" ""))"),0.459259259259259)</f>
        <v>0.4592592593</v>
      </c>
      <c r="F34" s="6" t="n">
        <v>3</v>
      </c>
      <c r="G34" s="6" t="n">
        <v>4</v>
      </c>
      <c r="H34" s="6" t="n">
        <v>4</v>
      </c>
      <c r="I34" s="6" t="n">
        <v>3</v>
      </c>
      <c r="J34" s="6" t="n">
        <v>4</v>
      </c>
      <c r="K34" s="51"/>
      <c r="L34" s="51"/>
      <c r="M34" s="51"/>
      <c r="N34" s="51"/>
      <c r="O34" s="51"/>
      <c r="P34" s="51"/>
      <c r="Q34" s="51"/>
      <c r="R34" s="51"/>
      <c r="S34" s="51"/>
      <c r="T34" s="51"/>
      <c r="U34" s="51"/>
      <c r="V34" s="51"/>
      <c r="W34" s="51"/>
      <c r="X34" s="51"/>
      <c r="Y34" s="51"/>
      <c r="Z34" s="51"/>
      <c r="AA34" s="51"/>
      <c r="AB34" s="51"/>
    </row>
    <row r="35" customFormat="false" ht="225" hidden="false" customHeight="true" outlineLevel="0" collapsed="false">
      <c r="A35" s="54"/>
      <c r="B35" s="54"/>
      <c r="C35" s="6" t="s">
        <v>20</v>
      </c>
      <c r="D35" s="49" t="s">
        <v>178</v>
      </c>
      <c r="E35" s="64" t="n">
        <f aca="false">IFERROR(__xludf.dummyfunction("COUNTA(SPLIT(D35,"" ""))/COUNTA(SPLIT($B$32,"" ""))"),0.274074074074074)</f>
        <v>0.2740740741</v>
      </c>
      <c r="F35" s="6" t="n">
        <v>4</v>
      </c>
      <c r="G35" s="6" t="n">
        <v>4</v>
      </c>
      <c r="H35" s="6" t="n">
        <v>4</v>
      </c>
      <c r="I35" s="6" t="n">
        <v>4</v>
      </c>
      <c r="J35" s="6" t="n">
        <v>3</v>
      </c>
      <c r="K35" s="51"/>
      <c r="L35" s="51"/>
      <c r="M35" s="51"/>
      <c r="N35" s="51"/>
      <c r="O35" s="51"/>
      <c r="P35" s="51"/>
      <c r="Q35" s="51"/>
      <c r="R35" s="51"/>
      <c r="S35" s="51"/>
      <c r="T35" s="51"/>
      <c r="U35" s="51"/>
      <c r="V35" s="51"/>
      <c r="W35" s="51"/>
      <c r="X35" s="51"/>
      <c r="Y35" s="51"/>
      <c r="Z35" s="51"/>
      <c r="AA35" s="51"/>
      <c r="AB35" s="51"/>
    </row>
    <row r="36" customFormat="false" ht="15.75" hidden="false" customHeight="false" outlineLevel="0" collapsed="false">
      <c r="A36" s="51"/>
      <c r="B36" s="51"/>
      <c r="C36" s="6"/>
      <c r="D36" s="49"/>
      <c r="E36" s="53"/>
      <c r="F36" s="6"/>
      <c r="G36" s="6"/>
      <c r="H36" s="6"/>
      <c r="I36" s="6"/>
      <c r="J36" s="6"/>
      <c r="K36" s="51"/>
      <c r="L36" s="51"/>
      <c r="M36" s="51"/>
      <c r="N36" s="51"/>
      <c r="O36" s="51"/>
      <c r="P36" s="51"/>
      <c r="Q36" s="51"/>
      <c r="R36" s="51"/>
      <c r="S36" s="51"/>
      <c r="T36" s="51"/>
      <c r="U36" s="51"/>
      <c r="V36" s="51"/>
      <c r="W36" s="51"/>
      <c r="X36" s="51"/>
      <c r="Y36" s="51"/>
      <c r="Z36" s="51"/>
      <c r="AA36" s="51"/>
      <c r="AB36" s="51"/>
    </row>
    <row r="37" customFormat="false" ht="225" hidden="false" customHeight="true" outlineLevel="0" collapsed="false">
      <c r="A37" s="99" t="s">
        <v>59</v>
      </c>
      <c r="B37" s="55" t="s">
        <v>60</v>
      </c>
      <c r="C37" s="56" t="s">
        <v>18</v>
      </c>
      <c r="D37" s="57" t="s">
        <v>179</v>
      </c>
      <c r="E37" s="78" t="n">
        <f aca="false">IFERROR(__xludf.dummyfunction("COUNTA(SPLIT(D37,"" ""))/COUNTA(SPLIT($B$37,"" ""))"),0.72877358490566)</f>
        <v>0.7287735849</v>
      </c>
      <c r="F37" s="56" t="n">
        <v>5</v>
      </c>
      <c r="G37" s="56" t="n">
        <v>4</v>
      </c>
      <c r="H37" s="56" t="n">
        <v>5</v>
      </c>
      <c r="I37" s="56" t="n">
        <v>2</v>
      </c>
      <c r="J37" s="56" t="n">
        <v>5</v>
      </c>
      <c r="K37" s="59"/>
      <c r="L37" s="59"/>
      <c r="M37" s="59"/>
      <c r="N37" s="59"/>
      <c r="O37" s="59"/>
      <c r="P37" s="59"/>
      <c r="Q37" s="59"/>
      <c r="R37" s="59"/>
      <c r="S37" s="59"/>
      <c r="T37" s="59"/>
      <c r="U37" s="59"/>
      <c r="V37" s="59"/>
      <c r="W37" s="59"/>
      <c r="X37" s="59"/>
      <c r="Y37" s="59"/>
      <c r="Z37" s="59"/>
      <c r="AA37" s="59"/>
      <c r="AB37" s="59"/>
    </row>
    <row r="38" customFormat="false" ht="225" hidden="false" customHeight="true" outlineLevel="0" collapsed="false">
      <c r="A38" s="99"/>
      <c r="B38" s="99"/>
      <c r="C38" s="6" t="s">
        <v>19</v>
      </c>
      <c r="D38" s="49" t="s">
        <v>180</v>
      </c>
      <c r="E38" s="100" t="n">
        <f aca="false">IFERROR(__xludf.dummyfunction("COUNTA(SPLIT(D38,"" ""))/COUNTA(SPLIT($B$37,"" ""))"),0.273584905660377)</f>
        <v>0.2735849057</v>
      </c>
      <c r="F38" s="6" t="n">
        <v>3</v>
      </c>
      <c r="G38" s="6" t="n">
        <v>4</v>
      </c>
      <c r="H38" s="6" t="n">
        <v>5</v>
      </c>
      <c r="I38" s="6" t="n">
        <v>5</v>
      </c>
      <c r="J38" s="6" t="n">
        <v>5</v>
      </c>
      <c r="K38" s="51"/>
      <c r="L38" s="51"/>
      <c r="M38" s="51"/>
      <c r="N38" s="51"/>
      <c r="O38" s="51"/>
      <c r="P38" s="51"/>
      <c r="Q38" s="51"/>
      <c r="R38" s="51"/>
      <c r="S38" s="51"/>
      <c r="T38" s="51"/>
      <c r="U38" s="51"/>
      <c r="V38" s="51"/>
      <c r="W38" s="51"/>
      <c r="X38" s="51"/>
      <c r="Y38" s="51"/>
      <c r="Z38" s="51"/>
      <c r="AA38" s="51"/>
      <c r="AB38" s="51"/>
    </row>
    <row r="39" customFormat="false" ht="225" hidden="false" customHeight="true" outlineLevel="0" collapsed="false">
      <c r="A39" s="99"/>
      <c r="B39" s="99"/>
      <c r="C39" s="6" t="s">
        <v>8</v>
      </c>
      <c r="D39" s="49" t="s">
        <v>181</v>
      </c>
      <c r="E39" s="86" t="n">
        <f aca="false">IFERROR(__xludf.dummyfunction("COUNTA(SPLIT(D39,"" ""))/COUNTA(SPLIT($B$37,"" ""))"),0.450471698113208)</f>
        <v>0.4504716981</v>
      </c>
      <c r="F39" s="6" t="n">
        <v>2</v>
      </c>
      <c r="G39" s="6" t="n">
        <v>4</v>
      </c>
      <c r="H39" s="6" t="n">
        <v>5</v>
      </c>
      <c r="I39" s="6" t="n">
        <v>2</v>
      </c>
      <c r="J39" s="6" t="n">
        <v>5</v>
      </c>
      <c r="K39" s="51"/>
      <c r="L39" s="51"/>
      <c r="M39" s="51"/>
      <c r="N39" s="51"/>
      <c r="O39" s="51"/>
      <c r="P39" s="51"/>
      <c r="Q39" s="51"/>
      <c r="R39" s="51"/>
      <c r="S39" s="51"/>
      <c r="T39" s="51"/>
      <c r="U39" s="51"/>
      <c r="V39" s="51"/>
      <c r="W39" s="51"/>
      <c r="X39" s="51"/>
      <c r="Y39" s="51"/>
      <c r="Z39" s="51"/>
      <c r="AA39" s="51"/>
      <c r="AB39" s="51"/>
    </row>
    <row r="40" customFormat="false" ht="225" hidden="false" customHeight="true" outlineLevel="0" collapsed="false">
      <c r="A40" s="99"/>
      <c r="B40" s="99"/>
      <c r="C40" s="6" t="s">
        <v>20</v>
      </c>
      <c r="D40" s="49" t="s">
        <v>182</v>
      </c>
      <c r="E40" s="80" t="n">
        <f aca="false">IFERROR(__xludf.dummyfunction("COUNTA(SPLIT(D40,"" ""))/COUNTA(SPLIT($B$37,"" ""))"),0.212264150943396)</f>
        <v>0.2122641509</v>
      </c>
      <c r="F40" s="6" t="n">
        <v>4</v>
      </c>
      <c r="G40" s="6" t="n">
        <v>5</v>
      </c>
      <c r="H40" s="6" t="n">
        <v>5</v>
      </c>
      <c r="I40" s="6" t="n">
        <v>5</v>
      </c>
      <c r="J40" s="6" t="n">
        <v>4</v>
      </c>
      <c r="K40" s="51"/>
      <c r="L40" s="51"/>
      <c r="M40" s="51"/>
      <c r="N40" s="51"/>
      <c r="O40" s="51"/>
      <c r="P40" s="51"/>
      <c r="Q40" s="51"/>
      <c r="R40" s="51"/>
      <c r="S40" s="51"/>
      <c r="T40" s="51"/>
      <c r="U40" s="51"/>
      <c r="V40" s="51"/>
      <c r="W40" s="51"/>
      <c r="X40" s="51"/>
      <c r="Y40" s="51"/>
      <c r="Z40" s="51"/>
      <c r="AA40" s="51"/>
      <c r="AB40" s="51"/>
    </row>
    <row r="41" customFormat="false" ht="15.75" hidden="false" customHeight="false" outlineLevel="0" collapsed="false">
      <c r="A41" s="51"/>
      <c r="B41" s="51"/>
      <c r="C41" s="6"/>
      <c r="D41" s="49"/>
      <c r="E41" s="53"/>
      <c r="F41" s="6"/>
      <c r="G41" s="6"/>
      <c r="H41" s="6"/>
      <c r="I41" s="6"/>
      <c r="J41" s="6"/>
      <c r="K41" s="51"/>
      <c r="L41" s="51"/>
      <c r="M41" s="51"/>
      <c r="N41" s="51"/>
      <c r="O41" s="51"/>
      <c r="P41" s="51"/>
      <c r="Q41" s="51"/>
      <c r="R41" s="51"/>
      <c r="S41" s="51"/>
      <c r="T41" s="51"/>
      <c r="U41" s="51"/>
      <c r="V41" s="51"/>
      <c r="W41" s="51"/>
      <c r="X41" s="51"/>
      <c r="Y41" s="51"/>
      <c r="Z41" s="51"/>
      <c r="AA41" s="51"/>
      <c r="AB41" s="51"/>
    </row>
    <row r="42" customFormat="false" ht="225" hidden="false" customHeight="true" outlineLevel="0" collapsed="false">
      <c r="A42" s="54" t="s">
        <v>63</v>
      </c>
      <c r="B42" s="55" t="s">
        <v>64</v>
      </c>
      <c r="C42" s="56" t="s">
        <v>18</v>
      </c>
      <c r="D42" s="57" t="s">
        <v>183</v>
      </c>
      <c r="E42" s="78" t="n">
        <f aca="false">IFERROR(__xludf.dummyfunction("COUNTA(SPLIT(D42,"" ""))/COUNTA(SPLIT($B$42,"" ""))"),0.506920415224914)</f>
        <v>0.5069204152</v>
      </c>
      <c r="F42" s="56" t="n">
        <v>4</v>
      </c>
      <c r="G42" s="56" t="n">
        <v>5</v>
      </c>
      <c r="H42" s="56" t="n">
        <v>4</v>
      </c>
      <c r="I42" s="56" t="n">
        <v>2</v>
      </c>
      <c r="J42" s="56" t="n">
        <v>5</v>
      </c>
      <c r="K42" s="59"/>
      <c r="L42" s="59"/>
      <c r="M42" s="59"/>
      <c r="N42" s="59"/>
      <c r="O42" s="59"/>
      <c r="P42" s="59"/>
      <c r="Q42" s="59"/>
      <c r="R42" s="59"/>
      <c r="S42" s="59"/>
      <c r="T42" s="59"/>
      <c r="U42" s="59"/>
      <c r="V42" s="59"/>
      <c r="W42" s="59"/>
      <c r="X42" s="59"/>
      <c r="Y42" s="59"/>
      <c r="Z42" s="59"/>
      <c r="AA42" s="59"/>
      <c r="AB42" s="59"/>
    </row>
    <row r="43" customFormat="false" ht="225" hidden="false" customHeight="true" outlineLevel="0" collapsed="false">
      <c r="A43" s="54"/>
      <c r="B43" s="54"/>
      <c r="C43" s="6" t="s">
        <v>19</v>
      </c>
      <c r="D43" s="49" t="s">
        <v>184</v>
      </c>
      <c r="E43" s="78" t="n">
        <f aca="false">IFERROR(__xludf.dummyfunction("COUNTA(SPLIT(D43,"" ""))/COUNTA(SPLIT($B$42,"" ""))"),0.179930795847751)</f>
        <v>0.1799307958</v>
      </c>
      <c r="F43" s="6" t="n">
        <v>4</v>
      </c>
      <c r="G43" s="6" t="n">
        <v>5</v>
      </c>
      <c r="H43" s="6" t="n">
        <v>4</v>
      </c>
      <c r="I43" s="6" t="n">
        <v>5</v>
      </c>
      <c r="J43" s="6" t="n">
        <v>4</v>
      </c>
      <c r="K43" s="51"/>
      <c r="L43" s="51"/>
      <c r="M43" s="51"/>
      <c r="N43" s="51"/>
      <c r="O43" s="51"/>
      <c r="P43" s="51"/>
      <c r="Q43" s="51"/>
      <c r="R43" s="51"/>
      <c r="S43" s="51"/>
      <c r="T43" s="51"/>
      <c r="U43" s="51"/>
      <c r="V43" s="51"/>
      <c r="W43" s="51"/>
      <c r="X43" s="51"/>
      <c r="Y43" s="51"/>
      <c r="Z43" s="51"/>
      <c r="AA43" s="51"/>
      <c r="AB43" s="51"/>
    </row>
    <row r="44" customFormat="false" ht="225" hidden="false" customHeight="true" outlineLevel="0" collapsed="false">
      <c r="A44" s="54"/>
      <c r="B44" s="54"/>
      <c r="C44" s="6" t="s">
        <v>8</v>
      </c>
      <c r="D44" s="49" t="s">
        <v>185</v>
      </c>
      <c r="E44" s="101" t="n">
        <f aca="false">IFERROR(__xludf.dummyfunction("COUNTA(SPLIT(D44,"" ""))/COUNTA(SPLIT($B$42,"" ""))"),0.242214532871972)</f>
        <v>0.2422145329</v>
      </c>
      <c r="F44" s="6" t="n">
        <v>4</v>
      </c>
      <c r="G44" s="6" t="n">
        <v>5</v>
      </c>
      <c r="H44" s="6" t="n">
        <v>4</v>
      </c>
      <c r="I44" s="6" t="n">
        <v>4</v>
      </c>
      <c r="J44" s="6" t="n">
        <v>5</v>
      </c>
      <c r="K44" s="51"/>
      <c r="L44" s="51"/>
      <c r="M44" s="51"/>
      <c r="N44" s="51"/>
      <c r="O44" s="51"/>
      <c r="P44" s="51"/>
      <c r="Q44" s="51"/>
      <c r="R44" s="51"/>
      <c r="S44" s="51"/>
      <c r="T44" s="51"/>
      <c r="U44" s="51"/>
      <c r="V44" s="51"/>
      <c r="W44" s="51"/>
      <c r="X44" s="51"/>
      <c r="Y44" s="51"/>
      <c r="Z44" s="51"/>
      <c r="AA44" s="51"/>
      <c r="AB44" s="51"/>
    </row>
    <row r="45" customFormat="false" ht="225" hidden="false" customHeight="true" outlineLevel="0" collapsed="false">
      <c r="A45" s="54"/>
      <c r="B45" s="54"/>
      <c r="C45" s="6" t="s">
        <v>20</v>
      </c>
      <c r="D45" s="49" t="s">
        <v>186</v>
      </c>
      <c r="E45" s="96" t="n">
        <f aca="false">IFERROR(__xludf.dummyfunction("COUNTA(SPLIT(D45,"" ""))/COUNTA(SPLIT($B$42,"" ""))"),0.188581314878893)</f>
        <v>0.1885813149</v>
      </c>
      <c r="F45" s="6" t="n">
        <v>4</v>
      </c>
      <c r="G45" s="6" t="n">
        <v>4</v>
      </c>
      <c r="H45" s="6" t="n">
        <v>4</v>
      </c>
      <c r="I45" s="6" t="n">
        <v>4</v>
      </c>
      <c r="J45" s="6" t="n">
        <v>5</v>
      </c>
      <c r="K45" s="51"/>
      <c r="L45" s="51"/>
      <c r="M45" s="51"/>
      <c r="N45" s="51"/>
      <c r="O45" s="51"/>
      <c r="P45" s="51"/>
      <c r="Q45" s="51"/>
      <c r="R45" s="51"/>
      <c r="S45" s="51"/>
      <c r="T45" s="51"/>
      <c r="U45" s="51"/>
      <c r="V45" s="51"/>
      <c r="W45" s="51"/>
      <c r="X45" s="51"/>
      <c r="Y45" s="51"/>
      <c r="Z45" s="51"/>
      <c r="AA45" s="51"/>
      <c r="AB45" s="51"/>
    </row>
    <row r="46" customFormat="false" ht="15.75" hidden="false" customHeight="false" outlineLevel="0" collapsed="false">
      <c r="A46" s="51"/>
      <c r="B46" s="51"/>
      <c r="C46" s="6"/>
      <c r="D46" s="49"/>
      <c r="E46" s="53"/>
      <c r="F46" s="6"/>
      <c r="G46" s="6"/>
      <c r="H46" s="6"/>
      <c r="I46" s="6"/>
      <c r="J46" s="6"/>
      <c r="K46" s="51"/>
      <c r="L46" s="51"/>
      <c r="M46" s="51"/>
      <c r="N46" s="51"/>
      <c r="O46" s="51"/>
      <c r="P46" s="51"/>
      <c r="Q46" s="51"/>
      <c r="R46" s="51"/>
      <c r="S46" s="51"/>
      <c r="T46" s="51"/>
      <c r="U46" s="51"/>
      <c r="V46" s="51"/>
      <c r="W46" s="51"/>
      <c r="X46" s="51"/>
      <c r="Y46" s="51"/>
      <c r="Z46" s="51"/>
      <c r="AA46" s="51"/>
      <c r="AB46" s="51"/>
    </row>
    <row r="47" customFormat="false" ht="225" hidden="false" customHeight="true" outlineLevel="0" collapsed="false">
      <c r="A47" s="54" t="s">
        <v>67</v>
      </c>
      <c r="B47" s="55" t="s">
        <v>68</v>
      </c>
      <c r="C47" s="56" t="s">
        <v>18</v>
      </c>
      <c r="D47" s="57" t="s">
        <v>187</v>
      </c>
      <c r="E47" s="102" t="n">
        <f aca="false">IFERROR(__xludf.dummyfunction("COUNTA(SPLIT(D47,"" ""))/COUNTA(SPLIT($B$47,"" ""))"),0.642857142857143)</f>
        <v>0.6428571429</v>
      </c>
      <c r="F47" s="56" t="n">
        <v>4</v>
      </c>
      <c r="G47" s="56" t="n">
        <v>4</v>
      </c>
      <c r="H47" s="56" t="n">
        <v>5</v>
      </c>
      <c r="I47" s="56" t="n">
        <v>3</v>
      </c>
      <c r="J47" s="56" t="n">
        <v>5</v>
      </c>
      <c r="K47" s="59"/>
      <c r="L47" s="59"/>
      <c r="M47" s="59"/>
      <c r="N47" s="59"/>
      <c r="O47" s="59"/>
      <c r="P47" s="59"/>
      <c r="Q47" s="59"/>
      <c r="R47" s="59"/>
      <c r="S47" s="59"/>
      <c r="T47" s="59"/>
      <c r="U47" s="59"/>
      <c r="V47" s="59"/>
      <c r="W47" s="59"/>
      <c r="X47" s="59"/>
      <c r="Y47" s="59"/>
      <c r="Z47" s="59"/>
      <c r="AA47" s="59"/>
      <c r="AB47" s="59"/>
    </row>
    <row r="48" customFormat="false" ht="225" hidden="false" customHeight="true" outlineLevel="0" collapsed="false">
      <c r="A48" s="54"/>
      <c r="B48" s="54"/>
      <c r="C48" s="6" t="s">
        <v>19</v>
      </c>
      <c r="D48" s="49" t="s">
        <v>188</v>
      </c>
      <c r="E48" s="73" t="n">
        <f aca="false">IFERROR(__xludf.dummyfunction("COUNTA(SPLIT(D48,"" ""))/COUNTA(SPLIT($B$47,"" ""))"),0.338095238095238)</f>
        <v>0.3380952381</v>
      </c>
      <c r="F48" s="6" t="n">
        <v>4</v>
      </c>
      <c r="G48" s="6" t="n">
        <v>4</v>
      </c>
      <c r="H48" s="6" t="n">
        <v>5</v>
      </c>
      <c r="I48" s="6" t="n">
        <v>4</v>
      </c>
      <c r="J48" s="6" t="n">
        <v>4</v>
      </c>
      <c r="K48" s="51"/>
      <c r="L48" s="51"/>
      <c r="M48" s="51"/>
      <c r="N48" s="51"/>
      <c r="O48" s="51"/>
      <c r="P48" s="51"/>
      <c r="Q48" s="51"/>
      <c r="R48" s="51"/>
      <c r="S48" s="51"/>
      <c r="T48" s="51"/>
      <c r="U48" s="51"/>
      <c r="V48" s="51"/>
      <c r="W48" s="51"/>
      <c r="X48" s="51"/>
      <c r="Y48" s="51"/>
      <c r="Z48" s="51"/>
      <c r="AA48" s="51"/>
      <c r="AB48" s="51"/>
    </row>
    <row r="49" customFormat="false" ht="225" hidden="false" customHeight="true" outlineLevel="0" collapsed="false">
      <c r="A49" s="54"/>
      <c r="B49" s="54"/>
      <c r="C49" s="6" t="s">
        <v>8</v>
      </c>
      <c r="D49" s="49" t="s">
        <v>189</v>
      </c>
      <c r="E49" s="74" t="n">
        <f aca="false">IFERROR(__xludf.dummyfunction("COUNTA(SPLIT(D49,"" ""))/COUNTA(SPLIT($B$47,"" ""))"),0.657142857142857)</f>
        <v>0.6571428571</v>
      </c>
      <c r="F49" s="6" t="n">
        <v>3</v>
      </c>
      <c r="G49" s="6" t="n">
        <v>4</v>
      </c>
      <c r="H49" s="6" t="n">
        <v>5</v>
      </c>
      <c r="I49" s="6" t="n">
        <v>3</v>
      </c>
      <c r="J49" s="6" t="n">
        <v>5</v>
      </c>
      <c r="K49" s="51"/>
      <c r="L49" s="51"/>
      <c r="M49" s="51"/>
      <c r="N49" s="51"/>
      <c r="O49" s="51"/>
      <c r="P49" s="51"/>
      <c r="Q49" s="51"/>
      <c r="R49" s="51"/>
      <c r="S49" s="51"/>
      <c r="T49" s="51"/>
      <c r="U49" s="51"/>
      <c r="V49" s="51"/>
      <c r="W49" s="51"/>
      <c r="X49" s="51"/>
      <c r="Y49" s="51"/>
      <c r="Z49" s="51"/>
      <c r="AA49" s="51"/>
      <c r="AB49" s="51"/>
    </row>
    <row r="50" customFormat="false" ht="225" hidden="false" customHeight="true" outlineLevel="0" collapsed="false">
      <c r="A50" s="54"/>
      <c r="B50" s="54"/>
      <c r="C50" s="6" t="s">
        <v>20</v>
      </c>
      <c r="D50" s="49" t="s">
        <v>190</v>
      </c>
      <c r="E50" s="75" t="n">
        <f aca="false">IFERROR(__xludf.dummyfunction("COUNTA(SPLIT(D50,"" ""))/COUNTA(SPLIT($B$47,"" ""))"),0.333333333333333)</f>
        <v>0.3333333333</v>
      </c>
      <c r="F50" s="6" t="n">
        <v>4</v>
      </c>
      <c r="G50" s="6" t="n">
        <v>5</v>
      </c>
      <c r="H50" s="6" t="n">
        <v>5</v>
      </c>
      <c r="I50" s="6" t="n">
        <v>5</v>
      </c>
      <c r="J50" s="6" t="n">
        <v>5</v>
      </c>
      <c r="K50" s="51"/>
      <c r="L50" s="51"/>
      <c r="M50" s="51"/>
      <c r="N50" s="51"/>
      <c r="O50" s="51"/>
      <c r="P50" s="51"/>
      <c r="Q50" s="51"/>
      <c r="R50" s="51"/>
      <c r="S50" s="51"/>
      <c r="T50" s="51"/>
      <c r="U50" s="51"/>
      <c r="V50" s="51"/>
      <c r="W50" s="51"/>
      <c r="X50" s="51"/>
      <c r="Y50" s="51"/>
      <c r="Z50" s="51"/>
      <c r="AA50" s="51"/>
      <c r="AB50" s="51"/>
    </row>
    <row r="51" customFormat="false" ht="15.75" hidden="false" customHeight="false" outlineLevel="0" collapsed="false">
      <c r="A51" s="51"/>
      <c r="B51" s="51"/>
      <c r="C51" s="6"/>
      <c r="D51" s="49"/>
      <c r="E51" s="51"/>
      <c r="F51" s="6"/>
      <c r="G51" s="6"/>
      <c r="H51" s="6"/>
      <c r="I51" s="6"/>
      <c r="J51" s="6"/>
      <c r="K51" s="51"/>
      <c r="L51" s="51"/>
      <c r="M51" s="51"/>
      <c r="N51" s="51"/>
      <c r="O51" s="51"/>
      <c r="P51" s="51"/>
      <c r="Q51" s="51"/>
      <c r="R51" s="51"/>
      <c r="S51" s="51"/>
      <c r="T51" s="51"/>
      <c r="U51" s="51"/>
      <c r="V51" s="51"/>
      <c r="W51" s="51"/>
      <c r="X51" s="51"/>
      <c r="Y51" s="51"/>
      <c r="Z51" s="51"/>
      <c r="AA51" s="51"/>
      <c r="AB51" s="51"/>
    </row>
    <row r="52" customFormat="false" ht="15.75" hidden="false" customHeight="false" outlineLevel="0" collapsed="false">
      <c r="A52" s="71"/>
      <c r="B52" s="55"/>
      <c r="C52" s="56" t="s">
        <v>18</v>
      </c>
      <c r="D52" s="57"/>
      <c r="E52" s="72" t="n">
        <f aca="false">IFERROR(__xludf.dummyfunction("COUNTA(SPLIT(D52,"" ""))/COUNTA(SPLIT($B$47,"" ""))"),0.00476190476190476)</f>
        <v>0.004761904762</v>
      </c>
      <c r="F52" s="56"/>
      <c r="G52" s="56"/>
      <c r="H52" s="56"/>
      <c r="I52" s="56"/>
      <c r="J52" s="56"/>
      <c r="K52" s="59"/>
      <c r="L52" s="59"/>
      <c r="M52" s="59"/>
      <c r="N52" s="59"/>
      <c r="O52" s="59"/>
      <c r="P52" s="59"/>
      <c r="Q52" s="59"/>
      <c r="R52" s="59"/>
      <c r="S52" s="59"/>
      <c r="T52" s="59"/>
      <c r="U52" s="59"/>
      <c r="V52" s="59"/>
      <c r="W52" s="59"/>
      <c r="X52" s="59"/>
      <c r="Y52" s="59"/>
      <c r="Z52" s="59"/>
      <c r="AA52" s="59"/>
      <c r="AB52" s="59"/>
    </row>
    <row r="53" customFormat="false" ht="15.75" hidden="false" customHeight="false" outlineLevel="0" collapsed="false">
      <c r="A53" s="71"/>
      <c r="B53" s="71"/>
      <c r="C53" s="6" t="s">
        <v>19</v>
      </c>
      <c r="D53" s="49"/>
      <c r="E53" s="73" t="n">
        <f aca="false">IFERROR(__xludf.dummyfunction("COUNTA(SPLIT(D53,"" ""))/COUNTA(SPLIT($B$47,"" ""))"),0.00476190476190476)</f>
        <v>0.004761904762</v>
      </c>
      <c r="F53" s="6"/>
      <c r="G53" s="6"/>
      <c r="H53" s="6"/>
      <c r="I53" s="6"/>
      <c r="J53" s="6"/>
      <c r="K53" s="51"/>
      <c r="L53" s="51"/>
      <c r="M53" s="51"/>
      <c r="N53" s="51"/>
      <c r="O53" s="51"/>
      <c r="P53" s="51"/>
      <c r="Q53" s="51"/>
      <c r="R53" s="51"/>
      <c r="S53" s="51"/>
      <c r="T53" s="51"/>
      <c r="U53" s="51"/>
      <c r="V53" s="51"/>
      <c r="W53" s="51"/>
      <c r="X53" s="51"/>
      <c r="Y53" s="51"/>
      <c r="Z53" s="51"/>
      <c r="AA53" s="51"/>
      <c r="AB53" s="51"/>
    </row>
    <row r="54" customFormat="false" ht="15.75" hidden="false" customHeight="false" outlineLevel="0" collapsed="false">
      <c r="A54" s="71"/>
      <c r="B54" s="71"/>
      <c r="C54" s="6" t="s">
        <v>8</v>
      </c>
      <c r="D54" s="49"/>
      <c r="E54" s="74" t="n">
        <f aca="false">IFERROR(__xludf.dummyfunction("COUNTA(SPLIT(D54,"" ""))/COUNTA(SPLIT($B$47,"" ""))"),0.00476190476190476)</f>
        <v>0.004761904762</v>
      </c>
      <c r="F54" s="6"/>
      <c r="G54" s="6"/>
      <c r="H54" s="6"/>
      <c r="I54" s="6"/>
      <c r="J54" s="6"/>
      <c r="K54" s="51"/>
      <c r="L54" s="51"/>
      <c r="M54" s="51"/>
      <c r="N54" s="51"/>
      <c r="O54" s="51"/>
      <c r="P54" s="51"/>
      <c r="Q54" s="51"/>
      <c r="R54" s="51"/>
      <c r="S54" s="51"/>
      <c r="T54" s="51"/>
      <c r="U54" s="51"/>
      <c r="V54" s="51"/>
      <c r="W54" s="51"/>
      <c r="X54" s="51"/>
      <c r="Y54" s="51"/>
      <c r="Z54" s="51"/>
      <c r="AA54" s="51"/>
      <c r="AB54" s="51"/>
    </row>
    <row r="55" customFormat="false" ht="15.75" hidden="false" customHeight="false" outlineLevel="0" collapsed="false">
      <c r="A55" s="71"/>
      <c r="B55" s="71"/>
      <c r="C55" s="6" t="s">
        <v>20</v>
      </c>
      <c r="D55" s="49"/>
      <c r="E55" s="75" t="n">
        <f aca="false">IFERROR(__xludf.dummyfunction("COUNTA(SPLIT(D55,"" ""))/COUNTA(SPLIT($B$47,"" ""))"),0.00476190476190476)</f>
        <v>0.004761904762</v>
      </c>
      <c r="F55" s="6"/>
      <c r="G55" s="6"/>
      <c r="H55" s="6"/>
      <c r="I55" s="6"/>
      <c r="J55" s="6"/>
      <c r="K55" s="51"/>
      <c r="L55" s="51"/>
      <c r="M55" s="51"/>
      <c r="N55" s="51"/>
      <c r="O55" s="51"/>
      <c r="P55" s="51"/>
      <c r="Q55" s="51"/>
      <c r="R55" s="51"/>
      <c r="S55" s="51"/>
      <c r="T55" s="51"/>
      <c r="U55" s="51"/>
      <c r="V55" s="51"/>
      <c r="W55" s="51"/>
      <c r="X55" s="51"/>
      <c r="Y55" s="51"/>
      <c r="Z55" s="51"/>
      <c r="AA55" s="51"/>
      <c r="AB55" s="51"/>
    </row>
    <row r="56" customFormat="false" ht="15.75" hidden="false" customHeight="false" outlineLevel="0" collapsed="false">
      <c r="A56" s="51"/>
      <c r="B56" s="51"/>
      <c r="C56" s="6"/>
      <c r="D56" s="49"/>
      <c r="E56" s="51"/>
      <c r="F56" s="6"/>
      <c r="G56" s="6"/>
      <c r="H56" s="6"/>
      <c r="I56" s="6"/>
      <c r="J56" s="6"/>
      <c r="K56" s="51"/>
      <c r="L56" s="51"/>
      <c r="M56" s="51"/>
      <c r="N56" s="51"/>
      <c r="O56" s="51"/>
      <c r="P56" s="51"/>
      <c r="Q56" s="51"/>
      <c r="R56" s="51"/>
      <c r="S56" s="51"/>
      <c r="T56" s="51"/>
      <c r="U56" s="51"/>
      <c r="V56" s="51"/>
      <c r="W56" s="51"/>
      <c r="X56" s="51"/>
      <c r="Y56" s="51"/>
      <c r="Z56" s="51"/>
      <c r="AA56" s="51"/>
      <c r="AB56" s="51"/>
    </row>
    <row r="57" customFormat="false" ht="15.75" hidden="false" customHeight="false" outlineLevel="0" collapsed="false">
      <c r="A57" s="71"/>
      <c r="B57" s="55"/>
      <c r="C57" s="56" t="s">
        <v>18</v>
      </c>
      <c r="D57" s="57"/>
      <c r="E57" s="72" t="n">
        <f aca="false">IFERROR(__xludf.dummyfunction("COUNTA(SPLIT(D57,"" ""))/COUNTA(SPLIT($B$47,"" ""))"),0.00476190476190476)</f>
        <v>0.004761904762</v>
      </c>
      <c r="F57" s="56"/>
      <c r="G57" s="56"/>
      <c r="H57" s="56"/>
      <c r="I57" s="56"/>
      <c r="J57" s="56"/>
      <c r="K57" s="59"/>
      <c r="L57" s="59"/>
      <c r="M57" s="59"/>
      <c r="N57" s="59"/>
      <c r="O57" s="59"/>
      <c r="P57" s="59"/>
      <c r="Q57" s="59"/>
      <c r="R57" s="59"/>
      <c r="S57" s="59"/>
      <c r="T57" s="59"/>
      <c r="U57" s="59"/>
      <c r="V57" s="59"/>
      <c r="W57" s="59"/>
      <c r="X57" s="59"/>
      <c r="Y57" s="59"/>
      <c r="Z57" s="59"/>
      <c r="AA57" s="59"/>
      <c r="AB57" s="59"/>
    </row>
    <row r="58" customFormat="false" ht="15.75" hidden="false" customHeight="false" outlineLevel="0" collapsed="false">
      <c r="A58" s="71"/>
      <c r="B58" s="71"/>
      <c r="C58" s="6" t="s">
        <v>19</v>
      </c>
      <c r="D58" s="49"/>
      <c r="E58" s="73" t="n">
        <f aca="false">IFERROR(__xludf.dummyfunction("COUNTA(SPLIT(D58,"" ""))/COUNTA(SPLIT($B$47,"" ""))"),0.00476190476190476)</f>
        <v>0.004761904762</v>
      </c>
      <c r="F58" s="6"/>
      <c r="G58" s="6"/>
      <c r="H58" s="6"/>
      <c r="I58" s="6"/>
      <c r="J58" s="6"/>
      <c r="K58" s="51"/>
      <c r="L58" s="51"/>
      <c r="M58" s="51"/>
      <c r="N58" s="51"/>
      <c r="O58" s="51"/>
      <c r="P58" s="51"/>
      <c r="Q58" s="51"/>
      <c r="R58" s="51"/>
      <c r="S58" s="51"/>
      <c r="T58" s="51"/>
      <c r="U58" s="51"/>
      <c r="V58" s="51"/>
      <c r="W58" s="51"/>
      <c r="X58" s="51"/>
      <c r="Y58" s="51"/>
      <c r="Z58" s="51"/>
      <c r="AA58" s="51"/>
      <c r="AB58" s="51"/>
    </row>
    <row r="59" customFormat="false" ht="15.75" hidden="false" customHeight="false" outlineLevel="0" collapsed="false">
      <c r="A59" s="71"/>
      <c r="B59" s="71"/>
      <c r="C59" s="6" t="s">
        <v>8</v>
      </c>
      <c r="D59" s="49"/>
      <c r="E59" s="74" t="n">
        <f aca="false">IFERROR(__xludf.dummyfunction("COUNTA(SPLIT(D59,"" ""))/COUNTA(SPLIT($B$47,"" ""))"),0.00476190476190476)</f>
        <v>0.004761904762</v>
      </c>
      <c r="F59" s="6"/>
      <c r="G59" s="6"/>
      <c r="H59" s="6"/>
      <c r="I59" s="6"/>
      <c r="J59" s="6"/>
      <c r="K59" s="51"/>
      <c r="L59" s="51"/>
      <c r="M59" s="51"/>
      <c r="N59" s="51"/>
      <c r="O59" s="51"/>
      <c r="P59" s="51"/>
      <c r="Q59" s="51"/>
      <c r="R59" s="51"/>
      <c r="S59" s="51"/>
      <c r="T59" s="51"/>
      <c r="U59" s="51"/>
      <c r="V59" s="51"/>
      <c r="W59" s="51"/>
      <c r="X59" s="51"/>
      <c r="Y59" s="51"/>
      <c r="Z59" s="51"/>
      <c r="AA59" s="51"/>
      <c r="AB59" s="51"/>
    </row>
    <row r="60" customFormat="false" ht="15.75" hidden="false" customHeight="false" outlineLevel="0" collapsed="false">
      <c r="A60" s="71"/>
      <c r="B60" s="71"/>
      <c r="C60" s="6" t="s">
        <v>20</v>
      </c>
      <c r="D60" s="49"/>
      <c r="E60" s="75" t="n">
        <f aca="false">IFERROR(__xludf.dummyfunction("COUNTA(SPLIT(D60,"" ""))/COUNTA(SPLIT($B$47,"" ""))"),0.00476190476190476)</f>
        <v>0.004761904762</v>
      </c>
      <c r="F60" s="6"/>
      <c r="G60" s="6"/>
      <c r="H60" s="6"/>
      <c r="I60" s="6"/>
      <c r="J60" s="6"/>
      <c r="K60" s="51"/>
      <c r="L60" s="51"/>
      <c r="M60" s="51"/>
      <c r="N60" s="51"/>
      <c r="O60" s="51"/>
      <c r="P60" s="51"/>
      <c r="Q60" s="51"/>
      <c r="R60" s="51"/>
      <c r="S60" s="51"/>
      <c r="T60" s="51"/>
      <c r="U60" s="51"/>
      <c r="V60" s="51"/>
      <c r="W60" s="51"/>
      <c r="X60" s="51"/>
      <c r="Y60" s="51"/>
      <c r="Z60" s="51"/>
      <c r="AA60" s="51"/>
      <c r="AB60" s="51"/>
    </row>
    <row r="61" customFormat="false" ht="15.75" hidden="false" customHeight="false" outlineLevel="0" collapsed="false">
      <c r="A61" s="51"/>
      <c r="B61" s="51"/>
      <c r="C61" s="6"/>
      <c r="D61" s="49"/>
      <c r="E61" s="51"/>
      <c r="F61" s="6"/>
      <c r="G61" s="6"/>
      <c r="H61" s="6"/>
      <c r="I61" s="6"/>
      <c r="J61" s="6"/>
      <c r="K61" s="51"/>
      <c r="L61" s="51"/>
      <c r="M61" s="51"/>
      <c r="N61" s="51"/>
      <c r="O61" s="51"/>
      <c r="P61" s="51"/>
      <c r="Q61" s="51"/>
      <c r="R61" s="51"/>
      <c r="S61" s="51"/>
      <c r="T61" s="51"/>
      <c r="U61" s="51"/>
      <c r="V61" s="51"/>
      <c r="W61" s="51"/>
      <c r="X61" s="51"/>
      <c r="Y61" s="51"/>
      <c r="Z61" s="51"/>
      <c r="AA61" s="51"/>
      <c r="AB61" s="51"/>
    </row>
    <row r="62" customFormat="false" ht="15.75" hidden="false" customHeight="false" outlineLevel="0" collapsed="false">
      <c r="A62" s="71"/>
      <c r="B62" s="55"/>
      <c r="C62" s="56" t="s">
        <v>18</v>
      </c>
      <c r="D62" s="57"/>
      <c r="E62" s="72" t="n">
        <f aca="false">IFERROR(__xludf.dummyfunction("COUNTA(SPLIT(D62,"" ""))/COUNTA(SPLIT($B$47,"" ""))"),0.00476190476190476)</f>
        <v>0.004761904762</v>
      </c>
      <c r="F62" s="56"/>
      <c r="G62" s="56"/>
      <c r="H62" s="56"/>
      <c r="I62" s="56"/>
      <c r="J62" s="56"/>
      <c r="K62" s="59"/>
      <c r="L62" s="59"/>
      <c r="M62" s="59"/>
      <c r="N62" s="59"/>
      <c r="O62" s="59"/>
      <c r="P62" s="59"/>
      <c r="Q62" s="59"/>
      <c r="R62" s="59"/>
      <c r="S62" s="59"/>
      <c r="T62" s="59"/>
      <c r="U62" s="59"/>
      <c r="V62" s="59"/>
      <c r="W62" s="59"/>
      <c r="X62" s="59"/>
      <c r="Y62" s="59"/>
      <c r="Z62" s="59"/>
      <c r="AA62" s="59"/>
      <c r="AB62" s="59"/>
    </row>
    <row r="63" customFormat="false" ht="15.75" hidden="false" customHeight="false" outlineLevel="0" collapsed="false">
      <c r="A63" s="71"/>
      <c r="B63" s="71"/>
      <c r="C63" s="6" t="s">
        <v>19</v>
      </c>
      <c r="D63" s="49"/>
      <c r="E63" s="73" t="n">
        <f aca="false">IFERROR(__xludf.dummyfunction("COUNTA(SPLIT(D63,"" ""))/COUNTA(SPLIT($B$47,"" ""))"),0.00476190476190476)</f>
        <v>0.004761904762</v>
      </c>
      <c r="F63" s="6"/>
      <c r="G63" s="6"/>
      <c r="H63" s="6"/>
      <c r="I63" s="6"/>
      <c r="J63" s="6"/>
      <c r="K63" s="51"/>
      <c r="L63" s="51"/>
      <c r="M63" s="51"/>
      <c r="N63" s="51"/>
      <c r="O63" s="51"/>
      <c r="P63" s="51"/>
      <c r="Q63" s="51"/>
      <c r="R63" s="51"/>
      <c r="S63" s="51"/>
      <c r="T63" s="51"/>
      <c r="U63" s="51"/>
      <c r="V63" s="51"/>
      <c r="W63" s="51"/>
      <c r="X63" s="51"/>
      <c r="Y63" s="51"/>
      <c r="Z63" s="51"/>
      <c r="AA63" s="51"/>
      <c r="AB63" s="51"/>
    </row>
    <row r="64" customFormat="false" ht="15.75" hidden="false" customHeight="false" outlineLevel="0" collapsed="false">
      <c r="A64" s="71"/>
      <c r="B64" s="71"/>
      <c r="C64" s="6" t="s">
        <v>8</v>
      </c>
      <c r="D64" s="49"/>
      <c r="E64" s="74" t="n">
        <f aca="false">IFERROR(__xludf.dummyfunction("COUNTA(SPLIT(D64,"" ""))/COUNTA(SPLIT($B$47,"" ""))"),0.00476190476190476)</f>
        <v>0.004761904762</v>
      </c>
      <c r="F64" s="6"/>
      <c r="G64" s="6"/>
      <c r="H64" s="6"/>
      <c r="I64" s="6"/>
      <c r="J64" s="6"/>
      <c r="K64" s="51"/>
      <c r="L64" s="51"/>
      <c r="M64" s="51"/>
      <c r="N64" s="51"/>
      <c r="O64" s="51"/>
      <c r="P64" s="51"/>
      <c r="Q64" s="51"/>
      <c r="R64" s="51"/>
      <c r="S64" s="51"/>
      <c r="T64" s="51"/>
      <c r="U64" s="51"/>
      <c r="V64" s="51"/>
      <c r="W64" s="51"/>
      <c r="X64" s="51"/>
      <c r="Y64" s="51"/>
      <c r="Z64" s="51"/>
      <c r="AA64" s="51"/>
      <c r="AB64" s="51"/>
    </row>
    <row r="65" customFormat="false" ht="15.75" hidden="false" customHeight="false" outlineLevel="0" collapsed="false">
      <c r="A65" s="71"/>
      <c r="B65" s="71"/>
      <c r="C65" s="6" t="s">
        <v>20</v>
      </c>
      <c r="D65" s="49"/>
      <c r="E65" s="75" t="n">
        <f aca="false">IFERROR(__xludf.dummyfunction("COUNTA(SPLIT(D65,"" ""))/COUNTA(SPLIT($B$47,"" ""))"),0.00476190476190476)</f>
        <v>0.004761904762</v>
      </c>
      <c r="F65" s="6"/>
      <c r="G65" s="6"/>
      <c r="H65" s="6"/>
      <c r="I65" s="6"/>
      <c r="J65" s="6"/>
      <c r="K65" s="51"/>
      <c r="L65" s="51"/>
      <c r="M65" s="51"/>
      <c r="N65" s="51"/>
      <c r="O65" s="51"/>
      <c r="P65" s="51"/>
      <c r="Q65" s="51"/>
      <c r="R65" s="51"/>
      <c r="S65" s="51"/>
      <c r="T65" s="51"/>
      <c r="U65" s="51"/>
      <c r="V65" s="51"/>
      <c r="W65" s="51"/>
      <c r="X65" s="51"/>
      <c r="Y65" s="51"/>
      <c r="Z65" s="51"/>
      <c r="AA65" s="51"/>
      <c r="AB65" s="51"/>
    </row>
    <row r="66" customFormat="false" ht="15.75" hidden="false" customHeight="false" outlineLevel="0" collapsed="false">
      <c r="A66" s="51"/>
      <c r="B66" s="51"/>
      <c r="C66" s="6"/>
      <c r="D66" s="49"/>
      <c r="E66" s="51"/>
      <c r="F66" s="6"/>
      <c r="G66" s="6"/>
      <c r="H66" s="6"/>
      <c r="I66" s="6"/>
      <c r="J66" s="6"/>
      <c r="K66" s="51"/>
      <c r="L66" s="51"/>
      <c r="M66" s="51"/>
      <c r="N66" s="51"/>
      <c r="O66" s="51"/>
      <c r="P66" s="51"/>
      <c r="Q66" s="51"/>
      <c r="R66" s="51"/>
      <c r="S66" s="51"/>
      <c r="T66" s="51"/>
      <c r="U66" s="51"/>
      <c r="V66" s="51"/>
      <c r="W66" s="51"/>
      <c r="X66" s="51"/>
      <c r="Y66" s="51"/>
      <c r="Z66" s="51"/>
      <c r="AA66" s="51"/>
      <c r="AB66" s="51"/>
    </row>
    <row r="67" customFormat="false" ht="15.75" hidden="false" customHeight="false" outlineLevel="0" collapsed="false">
      <c r="A67" s="71"/>
      <c r="B67" s="55"/>
      <c r="C67" s="56" t="s">
        <v>18</v>
      </c>
      <c r="D67" s="57"/>
      <c r="E67" s="72" t="n">
        <f aca="false">IFERROR(__xludf.dummyfunction("COUNTA(SPLIT(D67,"" ""))/COUNTA(SPLIT($B$47,"" ""))"),0.00476190476190476)</f>
        <v>0.004761904762</v>
      </c>
      <c r="F67" s="56"/>
      <c r="G67" s="56"/>
      <c r="H67" s="56"/>
      <c r="I67" s="56"/>
      <c r="J67" s="56"/>
      <c r="K67" s="59"/>
      <c r="L67" s="59"/>
      <c r="M67" s="59"/>
      <c r="N67" s="59"/>
      <c r="O67" s="59"/>
      <c r="P67" s="59"/>
      <c r="Q67" s="59"/>
      <c r="R67" s="59"/>
      <c r="S67" s="59"/>
      <c r="T67" s="59"/>
      <c r="U67" s="59"/>
      <c r="V67" s="59"/>
      <c r="W67" s="59"/>
      <c r="X67" s="59"/>
      <c r="Y67" s="59"/>
      <c r="Z67" s="59"/>
      <c r="AA67" s="59"/>
      <c r="AB67" s="59"/>
    </row>
    <row r="68" customFormat="false" ht="15.75" hidden="false" customHeight="false" outlineLevel="0" collapsed="false">
      <c r="A68" s="71"/>
      <c r="B68" s="71"/>
      <c r="C68" s="6" t="s">
        <v>19</v>
      </c>
      <c r="D68" s="49"/>
      <c r="E68" s="73" t="n">
        <f aca="false">IFERROR(__xludf.dummyfunction("COUNTA(SPLIT(D68,"" ""))/COUNTA(SPLIT($B$47,"" ""))"),0.00476190476190476)</f>
        <v>0.004761904762</v>
      </c>
      <c r="F68" s="6"/>
      <c r="G68" s="6"/>
      <c r="H68" s="6"/>
      <c r="I68" s="6"/>
      <c r="J68" s="6"/>
      <c r="K68" s="51"/>
      <c r="L68" s="51"/>
      <c r="M68" s="51"/>
      <c r="N68" s="51"/>
      <c r="O68" s="51"/>
      <c r="P68" s="51"/>
      <c r="Q68" s="51"/>
      <c r="R68" s="51"/>
      <c r="S68" s="51"/>
      <c r="T68" s="51"/>
      <c r="U68" s="51"/>
      <c r="V68" s="51"/>
      <c r="W68" s="51"/>
      <c r="X68" s="51"/>
      <c r="Y68" s="51"/>
      <c r="Z68" s="51"/>
      <c r="AA68" s="51"/>
      <c r="AB68" s="51"/>
    </row>
    <row r="69" customFormat="false" ht="15.75" hidden="false" customHeight="false" outlineLevel="0" collapsed="false">
      <c r="A69" s="71"/>
      <c r="B69" s="71"/>
      <c r="C69" s="6" t="s">
        <v>8</v>
      </c>
      <c r="D69" s="49"/>
      <c r="E69" s="74" t="n">
        <f aca="false">IFERROR(__xludf.dummyfunction("COUNTA(SPLIT(D69,"" ""))/COUNTA(SPLIT($B$47,"" ""))"),0.00476190476190476)</f>
        <v>0.004761904762</v>
      </c>
      <c r="F69" s="6"/>
      <c r="G69" s="6"/>
      <c r="H69" s="6"/>
      <c r="I69" s="6"/>
      <c r="J69" s="6"/>
      <c r="K69" s="51"/>
      <c r="L69" s="51"/>
      <c r="M69" s="51"/>
      <c r="N69" s="51"/>
      <c r="O69" s="51"/>
      <c r="P69" s="51"/>
      <c r="Q69" s="51"/>
      <c r="R69" s="51"/>
      <c r="S69" s="51"/>
      <c r="T69" s="51"/>
      <c r="U69" s="51"/>
      <c r="V69" s="51"/>
      <c r="W69" s="51"/>
      <c r="X69" s="51"/>
      <c r="Y69" s="51"/>
      <c r="Z69" s="51"/>
      <c r="AA69" s="51"/>
      <c r="AB69" s="51"/>
    </row>
    <row r="70" customFormat="false" ht="15.75" hidden="false" customHeight="false" outlineLevel="0" collapsed="false">
      <c r="A70" s="71"/>
      <c r="B70" s="71"/>
      <c r="C70" s="6" t="s">
        <v>20</v>
      </c>
      <c r="D70" s="49"/>
      <c r="E70" s="75" t="n">
        <f aca="false">IFERROR(__xludf.dummyfunction("COUNTA(SPLIT(D70,"" ""))/COUNTA(SPLIT($B$47,"" ""))"),0.00476190476190476)</f>
        <v>0.004761904762</v>
      </c>
      <c r="F70" s="6"/>
      <c r="G70" s="6"/>
      <c r="H70" s="6"/>
      <c r="I70" s="6"/>
      <c r="J70" s="6"/>
      <c r="K70" s="51"/>
      <c r="L70" s="51"/>
      <c r="M70" s="51"/>
      <c r="N70" s="51"/>
      <c r="O70" s="51"/>
      <c r="P70" s="51"/>
      <c r="Q70" s="51"/>
      <c r="R70" s="51"/>
      <c r="S70" s="51"/>
      <c r="T70" s="51"/>
      <c r="U70" s="51"/>
      <c r="V70" s="51"/>
      <c r="W70" s="51"/>
      <c r="X70" s="51"/>
      <c r="Y70" s="51"/>
      <c r="Z70" s="51"/>
      <c r="AA70" s="51"/>
      <c r="AB70" s="51"/>
    </row>
    <row r="71" customFormat="false" ht="15.75" hidden="false" customHeight="false" outlineLevel="0" collapsed="false">
      <c r="A71" s="51"/>
      <c r="B71" s="51"/>
      <c r="C71" s="6"/>
      <c r="D71" s="49"/>
      <c r="E71" s="51"/>
      <c r="F71" s="6"/>
      <c r="G71" s="6"/>
      <c r="H71" s="6"/>
      <c r="I71" s="6"/>
      <c r="J71" s="6"/>
      <c r="K71" s="51"/>
      <c r="L71" s="51"/>
      <c r="M71" s="51"/>
      <c r="N71" s="51"/>
      <c r="O71" s="51"/>
      <c r="P71" s="51"/>
      <c r="Q71" s="51"/>
      <c r="R71" s="51"/>
      <c r="S71" s="51"/>
      <c r="T71" s="51"/>
      <c r="U71" s="51"/>
      <c r="V71" s="51"/>
      <c r="W71" s="51"/>
      <c r="X71" s="51"/>
      <c r="Y71" s="51"/>
      <c r="Z71" s="51"/>
      <c r="AA71" s="51"/>
      <c r="AB71" s="51"/>
    </row>
    <row r="72" customFormat="false" ht="15.75" hidden="false" customHeight="false" outlineLevel="0" collapsed="false">
      <c r="A72" s="71"/>
      <c r="B72" s="55"/>
      <c r="C72" s="56" t="s">
        <v>18</v>
      </c>
      <c r="D72" s="57"/>
      <c r="E72" s="72" t="n">
        <f aca="false">IFERROR(__xludf.dummyfunction("COUNTA(SPLIT(D72,"" ""))/COUNTA(SPLIT($B$47,"" ""))"),0.00476190476190476)</f>
        <v>0.004761904762</v>
      </c>
      <c r="F72" s="56"/>
      <c r="G72" s="56"/>
      <c r="H72" s="56"/>
      <c r="I72" s="56"/>
      <c r="J72" s="56"/>
      <c r="K72" s="59"/>
      <c r="L72" s="59"/>
      <c r="M72" s="59"/>
      <c r="N72" s="59"/>
      <c r="O72" s="59"/>
      <c r="P72" s="59"/>
      <c r="Q72" s="59"/>
      <c r="R72" s="59"/>
      <c r="S72" s="59"/>
      <c r="T72" s="59"/>
      <c r="U72" s="59"/>
      <c r="V72" s="59"/>
      <c r="W72" s="59"/>
      <c r="X72" s="59"/>
      <c r="Y72" s="59"/>
      <c r="Z72" s="59"/>
      <c r="AA72" s="59"/>
      <c r="AB72" s="59"/>
    </row>
    <row r="73" customFormat="false" ht="15.75" hidden="false" customHeight="false" outlineLevel="0" collapsed="false">
      <c r="A73" s="71"/>
      <c r="B73" s="71"/>
      <c r="C73" s="6" t="s">
        <v>19</v>
      </c>
      <c r="D73" s="49"/>
      <c r="E73" s="73" t="n">
        <f aca="false">IFERROR(__xludf.dummyfunction("COUNTA(SPLIT(D73,"" ""))/COUNTA(SPLIT($B$47,"" ""))"),0.00476190476190476)</f>
        <v>0.004761904762</v>
      </c>
      <c r="F73" s="6"/>
      <c r="G73" s="6"/>
      <c r="H73" s="6"/>
      <c r="I73" s="6"/>
      <c r="J73" s="6"/>
      <c r="K73" s="51"/>
      <c r="L73" s="51"/>
      <c r="M73" s="51"/>
      <c r="N73" s="51"/>
      <c r="O73" s="51"/>
      <c r="P73" s="51"/>
      <c r="Q73" s="51"/>
      <c r="R73" s="51"/>
      <c r="S73" s="51"/>
      <c r="T73" s="51"/>
      <c r="U73" s="51"/>
      <c r="V73" s="51"/>
      <c r="W73" s="51"/>
      <c r="X73" s="51"/>
      <c r="Y73" s="51"/>
      <c r="Z73" s="51"/>
      <c r="AA73" s="51"/>
      <c r="AB73" s="51"/>
    </row>
    <row r="74" customFormat="false" ht="15.75" hidden="false" customHeight="false" outlineLevel="0" collapsed="false">
      <c r="A74" s="71"/>
      <c r="B74" s="71"/>
      <c r="C74" s="6" t="s">
        <v>8</v>
      </c>
      <c r="D74" s="49"/>
      <c r="E74" s="74" t="n">
        <f aca="false">IFERROR(__xludf.dummyfunction("COUNTA(SPLIT(D74,"" ""))/COUNTA(SPLIT($B$47,"" ""))"),0.00476190476190476)</f>
        <v>0.004761904762</v>
      </c>
      <c r="F74" s="6"/>
      <c r="G74" s="6"/>
      <c r="H74" s="6"/>
      <c r="I74" s="6"/>
      <c r="J74" s="6"/>
      <c r="K74" s="51"/>
      <c r="L74" s="51"/>
      <c r="M74" s="51"/>
      <c r="N74" s="51"/>
      <c r="O74" s="51"/>
      <c r="P74" s="51"/>
      <c r="Q74" s="51"/>
      <c r="R74" s="51"/>
      <c r="S74" s="51"/>
      <c r="T74" s="51"/>
      <c r="U74" s="51"/>
      <c r="V74" s="51"/>
      <c r="W74" s="51"/>
      <c r="X74" s="51"/>
      <c r="Y74" s="51"/>
      <c r="Z74" s="51"/>
      <c r="AA74" s="51"/>
      <c r="AB74" s="51"/>
    </row>
    <row r="75" customFormat="false" ht="15.75" hidden="false" customHeight="false" outlineLevel="0" collapsed="false">
      <c r="A75" s="71"/>
      <c r="B75" s="71"/>
      <c r="C75" s="6" t="s">
        <v>20</v>
      </c>
      <c r="D75" s="49"/>
      <c r="E75" s="75" t="n">
        <f aca="false">IFERROR(__xludf.dummyfunction("COUNTA(SPLIT(D75,"" ""))/COUNTA(SPLIT($B$47,"" ""))"),0.00476190476190476)</f>
        <v>0.004761904762</v>
      </c>
      <c r="F75" s="6"/>
      <c r="G75" s="6"/>
      <c r="H75" s="6"/>
      <c r="I75" s="6"/>
      <c r="J75" s="6"/>
      <c r="K75" s="51"/>
      <c r="L75" s="51"/>
      <c r="M75" s="51"/>
      <c r="N75" s="51"/>
      <c r="O75" s="51"/>
      <c r="P75" s="51"/>
      <c r="Q75" s="51"/>
      <c r="R75" s="51"/>
      <c r="S75" s="51"/>
      <c r="T75" s="51"/>
      <c r="U75" s="51"/>
      <c r="V75" s="51"/>
      <c r="W75" s="51"/>
      <c r="X75" s="51"/>
      <c r="Y75" s="51"/>
      <c r="Z75" s="51"/>
      <c r="AA75" s="51"/>
      <c r="AB75" s="51"/>
    </row>
    <row r="76" customFormat="false" ht="15.75" hidden="false" customHeight="false" outlineLevel="0" collapsed="false">
      <c r="A76" s="51"/>
      <c r="B76" s="51"/>
      <c r="C76" s="6"/>
      <c r="D76" s="49"/>
      <c r="E76" s="51"/>
      <c r="F76" s="6"/>
      <c r="G76" s="6"/>
      <c r="H76" s="6"/>
      <c r="I76" s="6"/>
      <c r="J76" s="6"/>
      <c r="K76" s="51"/>
      <c r="L76" s="51"/>
      <c r="M76" s="51"/>
      <c r="N76" s="51"/>
      <c r="O76" s="51"/>
      <c r="P76" s="51"/>
      <c r="Q76" s="51"/>
      <c r="R76" s="51"/>
      <c r="S76" s="51"/>
      <c r="T76" s="51"/>
      <c r="U76" s="51"/>
      <c r="V76" s="51"/>
      <c r="W76" s="51"/>
      <c r="X76" s="51"/>
      <c r="Y76" s="51"/>
      <c r="Z76" s="51"/>
      <c r="AA76" s="51"/>
      <c r="AB76" s="51"/>
    </row>
    <row r="77" customFormat="false" ht="15.75" hidden="false" customHeight="false" outlineLevel="0" collapsed="false">
      <c r="A77" s="71"/>
      <c r="B77" s="55"/>
      <c r="C77" s="56" t="s">
        <v>18</v>
      </c>
      <c r="D77" s="57"/>
      <c r="E77" s="72" t="n">
        <f aca="false">IFERROR(__xludf.dummyfunction("COUNTA(SPLIT(D77,"" ""))/COUNTA(SPLIT($B$47,"" ""))"),0.00476190476190476)</f>
        <v>0.004761904762</v>
      </c>
      <c r="F77" s="56"/>
      <c r="G77" s="56"/>
      <c r="H77" s="56"/>
      <c r="I77" s="56"/>
      <c r="J77" s="56"/>
      <c r="K77" s="59"/>
      <c r="L77" s="59"/>
      <c r="M77" s="59"/>
      <c r="N77" s="59"/>
      <c r="O77" s="59"/>
      <c r="P77" s="59"/>
      <c r="Q77" s="59"/>
      <c r="R77" s="59"/>
      <c r="S77" s="59"/>
      <c r="T77" s="59"/>
      <c r="U77" s="59"/>
      <c r="V77" s="59"/>
      <c r="W77" s="59"/>
      <c r="X77" s="59"/>
      <c r="Y77" s="59"/>
      <c r="Z77" s="59"/>
      <c r="AA77" s="59"/>
      <c r="AB77" s="59"/>
    </row>
    <row r="78" customFormat="false" ht="15.75" hidden="false" customHeight="false" outlineLevel="0" collapsed="false">
      <c r="A78" s="71"/>
      <c r="B78" s="71"/>
      <c r="C78" s="6" t="s">
        <v>19</v>
      </c>
      <c r="D78" s="49"/>
      <c r="E78" s="73" t="n">
        <f aca="false">IFERROR(__xludf.dummyfunction("COUNTA(SPLIT(D78,"" ""))/COUNTA(SPLIT($B$47,"" ""))"),0.00476190476190476)</f>
        <v>0.004761904762</v>
      </c>
      <c r="F78" s="6"/>
      <c r="G78" s="6"/>
      <c r="H78" s="6"/>
      <c r="I78" s="6"/>
      <c r="J78" s="6"/>
      <c r="K78" s="51"/>
      <c r="L78" s="51"/>
      <c r="M78" s="51"/>
      <c r="N78" s="51"/>
      <c r="O78" s="51"/>
      <c r="P78" s="51"/>
      <c r="Q78" s="51"/>
      <c r="R78" s="51"/>
      <c r="S78" s="51"/>
      <c r="T78" s="51"/>
      <c r="U78" s="51"/>
      <c r="V78" s="51"/>
      <c r="W78" s="51"/>
      <c r="X78" s="51"/>
      <c r="Y78" s="51"/>
      <c r="Z78" s="51"/>
      <c r="AA78" s="51"/>
      <c r="AB78" s="51"/>
    </row>
    <row r="79" customFormat="false" ht="15.75" hidden="false" customHeight="false" outlineLevel="0" collapsed="false">
      <c r="A79" s="71"/>
      <c r="B79" s="71"/>
      <c r="C79" s="6" t="s">
        <v>8</v>
      </c>
      <c r="D79" s="49"/>
      <c r="E79" s="74" t="n">
        <f aca="false">IFERROR(__xludf.dummyfunction("COUNTA(SPLIT(D79,"" ""))/COUNTA(SPLIT($B$47,"" ""))"),0.00476190476190476)</f>
        <v>0.004761904762</v>
      </c>
      <c r="F79" s="6"/>
      <c r="G79" s="6"/>
      <c r="H79" s="6"/>
      <c r="I79" s="6"/>
      <c r="J79" s="6"/>
      <c r="K79" s="51"/>
      <c r="L79" s="51"/>
      <c r="M79" s="51"/>
      <c r="N79" s="51"/>
      <c r="O79" s="51"/>
      <c r="P79" s="51"/>
      <c r="Q79" s="51"/>
      <c r="R79" s="51"/>
      <c r="S79" s="51"/>
      <c r="T79" s="51"/>
      <c r="U79" s="51"/>
      <c r="V79" s="51"/>
      <c r="W79" s="51"/>
      <c r="X79" s="51"/>
      <c r="Y79" s="51"/>
      <c r="Z79" s="51"/>
      <c r="AA79" s="51"/>
      <c r="AB79" s="51"/>
    </row>
    <row r="80" customFormat="false" ht="15.75" hidden="false" customHeight="false" outlineLevel="0" collapsed="false">
      <c r="A80" s="71"/>
      <c r="B80" s="71"/>
      <c r="C80" s="6" t="s">
        <v>20</v>
      </c>
      <c r="D80" s="49"/>
      <c r="E80" s="75" t="n">
        <f aca="false">IFERROR(__xludf.dummyfunction("COUNTA(SPLIT(D80,"" ""))/COUNTA(SPLIT($B$47,"" ""))"),0.00476190476190476)</f>
        <v>0.004761904762</v>
      </c>
      <c r="F80" s="6"/>
      <c r="G80" s="6"/>
      <c r="H80" s="6"/>
      <c r="I80" s="6"/>
      <c r="J80" s="6"/>
      <c r="K80" s="51"/>
      <c r="L80" s="51"/>
      <c r="M80" s="51"/>
      <c r="N80" s="51"/>
      <c r="O80" s="51"/>
      <c r="P80" s="51"/>
      <c r="Q80" s="51"/>
      <c r="R80" s="51"/>
      <c r="S80" s="51"/>
      <c r="T80" s="51"/>
      <c r="U80" s="51"/>
      <c r="V80" s="51"/>
      <c r="W80" s="51"/>
      <c r="X80" s="51"/>
      <c r="Y80" s="51"/>
      <c r="Z80" s="51"/>
      <c r="AA80" s="51"/>
      <c r="AB80" s="51"/>
    </row>
    <row r="81" customFormat="false" ht="15.75" hidden="false" customHeight="false" outlineLevel="0" collapsed="false">
      <c r="A81" s="51"/>
      <c r="B81" s="51"/>
      <c r="C81" s="6"/>
      <c r="D81" s="49"/>
      <c r="E81" s="51"/>
      <c r="F81" s="6"/>
      <c r="G81" s="6"/>
      <c r="H81" s="6"/>
      <c r="I81" s="6"/>
      <c r="J81" s="6"/>
      <c r="K81" s="51"/>
      <c r="L81" s="51"/>
      <c r="M81" s="51"/>
      <c r="N81" s="51"/>
      <c r="O81" s="51"/>
      <c r="P81" s="51"/>
      <c r="Q81" s="51"/>
      <c r="R81" s="51"/>
      <c r="S81" s="51"/>
      <c r="T81" s="51"/>
      <c r="U81" s="51"/>
      <c r="V81" s="51"/>
      <c r="W81" s="51"/>
      <c r="X81" s="51"/>
      <c r="Y81" s="51"/>
      <c r="Z81" s="51"/>
      <c r="AA81" s="51"/>
      <c r="AB81" s="51"/>
    </row>
    <row r="82" customFormat="false" ht="15.75" hidden="false" customHeight="false" outlineLevel="0" collapsed="false">
      <c r="A82" s="71"/>
      <c r="B82" s="55"/>
      <c r="C82" s="56" t="s">
        <v>18</v>
      </c>
      <c r="D82" s="57"/>
      <c r="E82" s="72" t="n">
        <f aca="false">IFERROR(__xludf.dummyfunction("COUNTA(SPLIT(D82,"" ""))/COUNTA(SPLIT($B$47,"" ""))"),0.00476190476190476)</f>
        <v>0.004761904762</v>
      </c>
      <c r="F82" s="56"/>
      <c r="G82" s="56"/>
      <c r="H82" s="56"/>
      <c r="I82" s="56"/>
      <c r="J82" s="56"/>
      <c r="K82" s="59"/>
      <c r="L82" s="59"/>
      <c r="M82" s="59"/>
      <c r="N82" s="59"/>
      <c r="O82" s="59"/>
      <c r="P82" s="59"/>
      <c r="Q82" s="59"/>
      <c r="R82" s="59"/>
      <c r="S82" s="59"/>
      <c r="T82" s="59"/>
      <c r="U82" s="59"/>
      <c r="V82" s="59"/>
      <c r="W82" s="59"/>
      <c r="X82" s="59"/>
      <c r="Y82" s="59"/>
      <c r="Z82" s="59"/>
      <c r="AA82" s="59"/>
      <c r="AB82" s="59"/>
    </row>
    <row r="83" customFormat="false" ht="15.75" hidden="false" customHeight="false" outlineLevel="0" collapsed="false">
      <c r="A83" s="71"/>
      <c r="B83" s="71"/>
      <c r="C83" s="6" t="s">
        <v>19</v>
      </c>
      <c r="D83" s="49"/>
      <c r="E83" s="73" t="n">
        <f aca="false">IFERROR(__xludf.dummyfunction("COUNTA(SPLIT(D83,"" ""))/COUNTA(SPLIT($B$47,"" ""))"),0.00476190476190476)</f>
        <v>0.004761904762</v>
      </c>
      <c r="F83" s="6"/>
      <c r="G83" s="6"/>
      <c r="H83" s="6"/>
      <c r="I83" s="6"/>
      <c r="J83" s="6"/>
      <c r="K83" s="51"/>
      <c r="L83" s="51"/>
      <c r="M83" s="51"/>
      <c r="N83" s="51"/>
      <c r="O83" s="51"/>
      <c r="P83" s="51"/>
      <c r="Q83" s="51"/>
      <c r="R83" s="51"/>
      <c r="S83" s="51"/>
      <c r="T83" s="51"/>
      <c r="U83" s="51"/>
      <c r="V83" s="51"/>
      <c r="W83" s="51"/>
      <c r="X83" s="51"/>
      <c r="Y83" s="51"/>
      <c r="Z83" s="51"/>
      <c r="AA83" s="51"/>
      <c r="AB83" s="51"/>
    </row>
    <row r="84" customFormat="false" ht="15.75" hidden="false" customHeight="false" outlineLevel="0" collapsed="false">
      <c r="A84" s="71"/>
      <c r="B84" s="71"/>
      <c r="C84" s="6" t="s">
        <v>8</v>
      </c>
      <c r="D84" s="49"/>
      <c r="E84" s="74" t="n">
        <f aca="false">IFERROR(__xludf.dummyfunction("COUNTA(SPLIT(D84,"" ""))/COUNTA(SPLIT($B$47,"" ""))"),0.00476190476190476)</f>
        <v>0.004761904762</v>
      </c>
      <c r="F84" s="6"/>
      <c r="G84" s="6"/>
      <c r="H84" s="6"/>
      <c r="I84" s="6"/>
      <c r="J84" s="6"/>
      <c r="K84" s="51"/>
      <c r="L84" s="51"/>
      <c r="M84" s="51"/>
      <c r="N84" s="51"/>
      <c r="O84" s="51"/>
      <c r="P84" s="51"/>
      <c r="Q84" s="51"/>
      <c r="R84" s="51"/>
      <c r="S84" s="51"/>
      <c r="T84" s="51"/>
      <c r="U84" s="51"/>
      <c r="V84" s="51"/>
      <c r="W84" s="51"/>
      <c r="X84" s="51"/>
      <c r="Y84" s="51"/>
      <c r="Z84" s="51"/>
      <c r="AA84" s="51"/>
      <c r="AB84" s="51"/>
    </row>
    <row r="85" customFormat="false" ht="15.75" hidden="false" customHeight="false" outlineLevel="0" collapsed="false">
      <c r="A85" s="71"/>
      <c r="B85" s="71"/>
      <c r="C85" s="6" t="s">
        <v>20</v>
      </c>
      <c r="D85" s="49"/>
      <c r="E85" s="75" t="n">
        <f aca="false">IFERROR(__xludf.dummyfunction("COUNTA(SPLIT(D85,"" ""))/COUNTA(SPLIT($B$47,"" ""))"),0.00476190476190476)</f>
        <v>0.004761904762</v>
      </c>
      <c r="F85" s="6"/>
      <c r="G85" s="6"/>
      <c r="H85" s="6"/>
      <c r="I85" s="6"/>
      <c r="J85" s="6"/>
      <c r="K85" s="51"/>
      <c r="L85" s="51"/>
      <c r="M85" s="51"/>
      <c r="N85" s="51"/>
      <c r="O85" s="51"/>
      <c r="P85" s="51"/>
      <c r="Q85" s="51"/>
      <c r="R85" s="51"/>
      <c r="S85" s="51"/>
      <c r="T85" s="51"/>
      <c r="U85" s="51"/>
      <c r="V85" s="51"/>
      <c r="W85" s="51"/>
      <c r="X85" s="51"/>
      <c r="Y85" s="51"/>
      <c r="Z85" s="51"/>
      <c r="AA85" s="51"/>
      <c r="AB85" s="51"/>
    </row>
    <row r="86" customFormat="false" ht="15.75" hidden="false" customHeight="false" outlineLevel="0" collapsed="false">
      <c r="A86" s="51"/>
      <c r="B86" s="51"/>
      <c r="C86" s="6"/>
      <c r="D86" s="49"/>
      <c r="E86" s="51"/>
      <c r="F86" s="6"/>
      <c r="G86" s="6"/>
      <c r="H86" s="6"/>
      <c r="I86" s="6"/>
      <c r="J86" s="6"/>
      <c r="K86" s="51"/>
      <c r="L86" s="51"/>
      <c r="M86" s="51"/>
      <c r="N86" s="51"/>
      <c r="O86" s="51"/>
      <c r="P86" s="51"/>
      <c r="Q86" s="51"/>
      <c r="R86" s="51"/>
      <c r="S86" s="51"/>
      <c r="T86" s="51"/>
      <c r="U86" s="51"/>
      <c r="V86" s="51"/>
      <c r="W86" s="51"/>
      <c r="X86" s="51"/>
      <c r="Y86" s="51"/>
      <c r="Z86" s="51"/>
      <c r="AA86" s="51"/>
      <c r="AB86" s="51"/>
    </row>
    <row r="87" customFormat="false" ht="15.75" hidden="false" customHeight="false" outlineLevel="0" collapsed="false">
      <c r="A87" s="71"/>
      <c r="B87" s="55"/>
      <c r="C87" s="56" t="s">
        <v>18</v>
      </c>
      <c r="D87" s="57"/>
      <c r="E87" s="72" t="n">
        <f aca="false">IFERROR(__xludf.dummyfunction("COUNTA(SPLIT(D87,"" ""))/COUNTA(SPLIT($B$47,"" ""))"),0.00476190476190476)</f>
        <v>0.004761904762</v>
      </c>
      <c r="F87" s="56"/>
      <c r="G87" s="56"/>
      <c r="H87" s="56"/>
      <c r="I87" s="56"/>
      <c r="J87" s="56"/>
      <c r="K87" s="59"/>
      <c r="L87" s="59"/>
      <c r="M87" s="59"/>
      <c r="N87" s="59"/>
      <c r="O87" s="59"/>
      <c r="P87" s="59"/>
      <c r="Q87" s="59"/>
      <c r="R87" s="59"/>
      <c r="S87" s="59"/>
      <c r="T87" s="59"/>
      <c r="U87" s="59"/>
      <c r="V87" s="59"/>
      <c r="W87" s="59"/>
      <c r="X87" s="59"/>
      <c r="Y87" s="59"/>
      <c r="Z87" s="59"/>
      <c r="AA87" s="59"/>
      <c r="AB87" s="59"/>
    </row>
    <row r="88" customFormat="false" ht="15.75" hidden="false" customHeight="false" outlineLevel="0" collapsed="false">
      <c r="A88" s="71"/>
      <c r="B88" s="71"/>
      <c r="C88" s="6" t="s">
        <v>19</v>
      </c>
      <c r="D88" s="49"/>
      <c r="E88" s="73" t="n">
        <f aca="false">IFERROR(__xludf.dummyfunction("COUNTA(SPLIT(D88,"" ""))/COUNTA(SPLIT($B$47,"" ""))"),0.00476190476190476)</f>
        <v>0.004761904762</v>
      </c>
      <c r="F88" s="6"/>
      <c r="G88" s="6"/>
      <c r="H88" s="6"/>
      <c r="I88" s="6"/>
      <c r="J88" s="6"/>
      <c r="K88" s="51"/>
      <c r="L88" s="51"/>
      <c r="M88" s="51"/>
      <c r="N88" s="51"/>
      <c r="O88" s="51"/>
      <c r="P88" s="51"/>
      <c r="Q88" s="51"/>
      <c r="R88" s="51"/>
      <c r="S88" s="51"/>
      <c r="T88" s="51"/>
      <c r="U88" s="51"/>
      <c r="V88" s="51"/>
      <c r="W88" s="51"/>
      <c r="X88" s="51"/>
      <c r="Y88" s="51"/>
      <c r="Z88" s="51"/>
      <c r="AA88" s="51"/>
      <c r="AB88" s="51"/>
    </row>
    <row r="89" customFormat="false" ht="15.75" hidden="false" customHeight="false" outlineLevel="0" collapsed="false">
      <c r="A89" s="71"/>
      <c r="B89" s="71"/>
      <c r="C89" s="6" t="s">
        <v>8</v>
      </c>
      <c r="D89" s="49"/>
      <c r="E89" s="74" t="n">
        <f aca="false">IFERROR(__xludf.dummyfunction("COUNTA(SPLIT(D89,"" ""))/COUNTA(SPLIT($B$47,"" ""))"),0.00476190476190476)</f>
        <v>0.004761904762</v>
      </c>
      <c r="F89" s="6"/>
      <c r="G89" s="6"/>
      <c r="H89" s="6"/>
      <c r="I89" s="6"/>
      <c r="J89" s="6"/>
      <c r="K89" s="51"/>
      <c r="L89" s="51"/>
      <c r="M89" s="51"/>
      <c r="N89" s="51"/>
      <c r="O89" s="51"/>
      <c r="P89" s="51"/>
      <c r="Q89" s="51"/>
      <c r="R89" s="51"/>
      <c r="S89" s="51"/>
      <c r="T89" s="51"/>
      <c r="U89" s="51"/>
      <c r="V89" s="51"/>
      <c r="W89" s="51"/>
      <c r="X89" s="51"/>
      <c r="Y89" s="51"/>
      <c r="Z89" s="51"/>
      <c r="AA89" s="51"/>
      <c r="AB89" s="51"/>
    </row>
    <row r="90" customFormat="false" ht="15.75" hidden="false" customHeight="false" outlineLevel="0" collapsed="false">
      <c r="A90" s="71"/>
      <c r="B90" s="71"/>
      <c r="C90" s="6" t="s">
        <v>20</v>
      </c>
      <c r="D90" s="49"/>
      <c r="E90" s="75" t="n">
        <f aca="false">IFERROR(__xludf.dummyfunction("COUNTA(SPLIT(D90,"" ""))/COUNTA(SPLIT($B$47,"" ""))"),0.00476190476190476)</f>
        <v>0.004761904762</v>
      </c>
      <c r="F90" s="6"/>
      <c r="G90" s="6"/>
      <c r="H90" s="6"/>
      <c r="I90" s="6"/>
      <c r="J90" s="6"/>
      <c r="K90" s="51"/>
      <c r="L90" s="51"/>
      <c r="M90" s="51"/>
      <c r="N90" s="51"/>
      <c r="O90" s="51"/>
      <c r="P90" s="51"/>
      <c r="Q90" s="51"/>
      <c r="R90" s="51"/>
      <c r="S90" s="51"/>
      <c r="T90" s="51"/>
      <c r="U90" s="51"/>
      <c r="V90" s="51"/>
      <c r="W90" s="51"/>
      <c r="X90" s="51"/>
      <c r="Y90" s="51"/>
      <c r="Z90" s="51"/>
      <c r="AA90" s="51"/>
      <c r="AB90" s="51"/>
    </row>
    <row r="91" customFormat="false" ht="15.75" hidden="false" customHeight="false" outlineLevel="0" collapsed="false">
      <c r="A91" s="51"/>
      <c r="B91" s="51"/>
      <c r="C91" s="6"/>
      <c r="D91" s="49"/>
      <c r="E91" s="51"/>
      <c r="F91" s="6"/>
      <c r="G91" s="6"/>
      <c r="H91" s="6"/>
      <c r="I91" s="6"/>
      <c r="J91" s="6"/>
      <c r="K91" s="51"/>
      <c r="L91" s="51"/>
      <c r="M91" s="51"/>
      <c r="N91" s="51"/>
      <c r="O91" s="51"/>
      <c r="P91" s="51"/>
      <c r="Q91" s="51"/>
      <c r="R91" s="51"/>
      <c r="S91" s="51"/>
      <c r="T91" s="51"/>
      <c r="U91" s="51"/>
      <c r="V91" s="51"/>
      <c r="W91" s="51"/>
      <c r="X91" s="51"/>
      <c r="Y91" s="51"/>
      <c r="Z91" s="51"/>
      <c r="AA91" s="51"/>
      <c r="AB91" s="51"/>
    </row>
    <row r="92" customFormat="false" ht="15.75" hidden="false" customHeight="false" outlineLevel="0" collapsed="false">
      <c r="A92" s="71"/>
      <c r="B92" s="55"/>
      <c r="C92" s="56" t="s">
        <v>18</v>
      </c>
      <c r="D92" s="57"/>
      <c r="E92" s="72" t="n">
        <f aca="false">IFERROR(__xludf.dummyfunction("COUNTA(SPLIT(D92,"" ""))/COUNTA(SPLIT($B$47,"" ""))"),0.00476190476190476)</f>
        <v>0.004761904762</v>
      </c>
      <c r="F92" s="56"/>
      <c r="G92" s="56"/>
      <c r="H92" s="56"/>
      <c r="I92" s="56"/>
      <c r="J92" s="56"/>
      <c r="K92" s="59"/>
      <c r="L92" s="59"/>
      <c r="M92" s="59"/>
      <c r="N92" s="59"/>
      <c r="O92" s="59"/>
      <c r="P92" s="59"/>
      <c r="Q92" s="59"/>
      <c r="R92" s="59"/>
      <c r="S92" s="59"/>
      <c r="T92" s="59"/>
      <c r="U92" s="59"/>
      <c r="V92" s="59"/>
      <c r="W92" s="59"/>
      <c r="X92" s="59"/>
      <c r="Y92" s="59"/>
      <c r="Z92" s="59"/>
      <c r="AA92" s="59"/>
      <c r="AB92" s="59"/>
    </row>
    <row r="93" customFormat="false" ht="15.75" hidden="false" customHeight="false" outlineLevel="0" collapsed="false">
      <c r="A93" s="71"/>
      <c r="B93" s="71"/>
      <c r="C93" s="6" t="s">
        <v>19</v>
      </c>
      <c r="D93" s="49"/>
      <c r="E93" s="73" t="n">
        <f aca="false">IFERROR(__xludf.dummyfunction("COUNTA(SPLIT(D93,"" ""))/COUNTA(SPLIT($B$47,"" ""))"),0.00476190476190476)</f>
        <v>0.004761904762</v>
      </c>
      <c r="F93" s="6"/>
      <c r="G93" s="6"/>
      <c r="H93" s="6"/>
      <c r="I93" s="6"/>
      <c r="J93" s="6"/>
      <c r="K93" s="51"/>
      <c r="L93" s="51"/>
      <c r="M93" s="51"/>
      <c r="N93" s="51"/>
      <c r="O93" s="51"/>
      <c r="P93" s="51"/>
      <c r="Q93" s="51"/>
      <c r="R93" s="51"/>
      <c r="S93" s="51"/>
      <c r="T93" s="51"/>
      <c r="U93" s="51"/>
      <c r="V93" s="51"/>
      <c r="W93" s="51"/>
      <c r="X93" s="51"/>
      <c r="Y93" s="51"/>
      <c r="Z93" s="51"/>
      <c r="AA93" s="51"/>
      <c r="AB93" s="51"/>
    </row>
    <row r="94" customFormat="false" ht="15.75" hidden="false" customHeight="false" outlineLevel="0" collapsed="false">
      <c r="A94" s="71"/>
      <c r="B94" s="71"/>
      <c r="C94" s="6" t="s">
        <v>8</v>
      </c>
      <c r="D94" s="49"/>
      <c r="E94" s="74" t="n">
        <f aca="false">IFERROR(__xludf.dummyfunction("COUNTA(SPLIT(D94,"" ""))/COUNTA(SPLIT($B$47,"" ""))"),0.00476190476190476)</f>
        <v>0.004761904762</v>
      </c>
      <c r="F94" s="6"/>
      <c r="G94" s="6"/>
      <c r="H94" s="6"/>
      <c r="I94" s="6"/>
      <c r="J94" s="6"/>
      <c r="K94" s="51"/>
      <c r="L94" s="51"/>
      <c r="M94" s="51"/>
      <c r="N94" s="51"/>
      <c r="O94" s="51"/>
      <c r="P94" s="51"/>
      <c r="Q94" s="51"/>
      <c r="R94" s="51"/>
      <c r="S94" s="51"/>
      <c r="T94" s="51"/>
      <c r="U94" s="51"/>
      <c r="V94" s="51"/>
      <c r="W94" s="51"/>
      <c r="X94" s="51"/>
      <c r="Y94" s="51"/>
      <c r="Z94" s="51"/>
      <c r="AA94" s="51"/>
      <c r="AB94" s="51"/>
    </row>
    <row r="95" customFormat="false" ht="15.75" hidden="false" customHeight="false" outlineLevel="0" collapsed="false">
      <c r="A95" s="71"/>
      <c r="B95" s="71"/>
      <c r="C95" s="6" t="s">
        <v>20</v>
      </c>
      <c r="D95" s="49"/>
      <c r="E95" s="75" t="n">
        <f aca="false">IFERROR(__xludf.dummyfunction("COUNTA(SPLIT(D95,"" ""))/COUNTA(SPLIT($B$47,"" ""))"),0.00476190476190476)</f>
        <v>0.004761904762</v>
      </c>
      <c r="F95" s="6"/>
      <c r="G95" s="6"/>
      <c r="H95" s="6"/>
      <c r="I95" s="6"/>
      <c r="J95" s="6"/>
      <c r="K95" s="51"/>
      <c r="L95" s="51"/>
      <c r="M95" s="51"/>
      <c r="N95" s="51"/>
      <c r="O95" s="51"/>
      <c r="P95" s="51"/>
      <c r="Q95" s="51"/>
      <c r="R95" s="51"/>
      <c r="S95" s="51"/>
      <c r="T95" s="51"/>
      <c r="U95" s="51"/>
      <c r="V95" s="51"/>
      <c r="W95" s="51"/>
      <c r="X95" s="51"/>
      <c r="Y95" s="51"/>
      <c r="Z95" s="51"/>
      <c r="AA95" s="51"/>
      <c r="AB95" s="51"/>
    </row>
    <row r="96" customFormat="false" ht="15.75" hidden="false" customHeight="false" outlineLevel="0" collapsed="false">
      <c r="A96" s="51"/>
      <c r="B96" s="51"/>
      <c r="C96" s="6"/>
      <c r="D96" s="49"/>
      <c r="E96" s="51"/>
      <c r="F96" s="6"/>
      <c r="G96" s="6"/>
      <c r="H96" s="6"/>
      <c r="I96" s="6"/>
      <c r="J96" s="6"/>
      <c r="K96" s="51"/>
      <c r="L96" s="51"/>
      <c r="M96" s="51"/>
      <c r="N96" s="51"/>
      <c r="O96" s="51"/>
      <c r="P96" s="51"/>
      <c r="Q96" s="51"/>
      <c r="R96" s="51"/>
      <c r="S96" s="51"/>
      <c r="T96" s="51"/>
      <c r="U96" s="51"/>
      <c r="V96" s="51"/>
      <c r="W96" s="51"/>
      <c r="X96" s="51"/>
      <c r="Y96" s="51"/>
      <c r="Z96" s="51"/>
      <c r="AA96" s="51"/>
      <c r="AB96" s="51"/>
    </row>
    <row r="97" customFormat="false" ht="15.75" hidden="false" customHeight="false" outlineLevel="0" collapsed="false">
      <c r="A97" s="71"/>
      <c r="B97" s="55"/>
      <c r="C97" s="56" t="s">
        <v>18</v>
      </c>
      <c r="D97" s="57"/>
      <c r="E97" s="72" t="n">
        <f aca="false">IFERROR(__xludf.dummyfunction("COUNTA(SPLIT(D97,"" ""))/COUNTA(SPLIT($B$47,"" ""))"),0.00476190476190476)</f>
        <v>0.004761904762</v>
      </c>
      <c r="F97" s="56"/>
      <c r="G97" s="56"/>
      <c r="H97" s="56"/>
      <c r="I97" s="56"/>
      <c r="J97" s="56"/>
      <c r="K97" s="59"/>
      <c r="L97" s="59"/>
      <c r="M97" s="59"/>
      <c r="N97" s="59"/>
      <c r="O97" s="59"/>
      <c r="P97" s="59"/>
      <c r="Q97" s="59"/>
      <c r="R97" s="59"/>
      <c r="S97" s="59"/>
      <c r="T97" s="59"/>
      <c r="U97" s="59"/>
      <c r="V97" s="59"/>
      <c r="W97" s="59"/>
      <c r="X97" s="59"/>
      <c r="Y97" s="59"/>
      <c r="Z97" s="59"/>
      <c r="AA97" s="59"/>
      <c r="AB97" s="59"/>
    </row>
    <row r="98" customFormat="false" ht="15.75" hidden="false" customHeight="false" outlineLevel="0" collapsed="false">
      <c r="A98" s="71"/>
      <c r="B98" s="71"/>
      <c r="C98" s="6" t="s">
        <v>19</v>
      </c>
      <c r="D98" s="49"/>
      <c r="E98" s="73" t="n">
        <f aca="false">IFERROR(__xludf.dummyfunction("COUNTA(SPLIT(D98,"" ""))/COUNTA(SPLIT($B$47,"" ""))"),0.00476190476190476)</f>
        <v>0.004761904762</v>
      </c>
      <c r="F98" s="6"/>
      <c r="G98" s="6"/>
      <c r="H98" s="6"/>
      <c r="I98" s="6"/>
      <c r="J98" s="6"/>
      <c r="K98" s="5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71"/>
      <c r="B99" s="71"/>
      <c r="C99" s="6" t="s">
        <v>8</v>
      </c>
      <c r="D99" s="49"/>
      <c r="E99" s="74" t="n">
        <f aca="false">IFERROR(__xludf.dummyfunction("COUNTA(SPLIT(D99,"" ""))/COUNTA(SPLIT($B$47,"" ""))"),0.00476190476190476)</f>
        <v>0.004761904762</v>
      </c>
      <c r="F99" s="6"/>
      <c r="G99" s="6"/>
      <c r="H99" s="6"/>
      <c r="I99" s="6"/>
      <c r="J99" s="6"/>
      <c r="K99" s="51"/>
      <c r="L99" s="51"/>
      <c r="M99" s="51"/>
      <c r="N99" s="51"/>
      <c r="O99" s="51"/>
      <c r="P99" s="51"/>
      <c r="Q99" s="51"/>
      <c r="R99" s="51"/>
      <c r="S99" s="51"/>
      <c r="T99" s="51"/>
      <c r="U99" s="51"/>
      <c r="V99" s="51"/>
      <c r="W99" s="51"/>
      <c r="X99" s="51"/>
      <c r="Y99" s="51"/>
      <c r="Z99" s="51"/>
      <c r="AA99" s="51"/>
      <c r="AB99" s="51"/>
    </row>
    <row r="100" customFormat="false" ht="15.75" hidden="false" customHeight="false" outlineLevel="0" collapsed="false">
      <c r="A100" s="71"/>
      <c r="B100" s="71"/>
      <c r="C100" s="6" t="s">
        <v>20</v>
      </c>
      <c r="D100" s="49"/>
      <c r="E100" s="75" t="n">
        <f aca="false">IFERROR(__xludf.dummyfunction("COUNTA(SPLIT(D100,"" ""))/COUNTA(SPLIT($B$47,"" ""))"),0.00476190476190476)</f>
        <v>0.004761904762</v>
      </c>
      <c r="F100" s="6"/>
      <c r="G100" s="6"/>
      <c r="H100" s="6"/>
      <c r="I100" s="6"/>
      <c r="J100" s="6"/>
      <c r="K100" s="51"/>
      <c r="L100" s="51"/>
      <c r="M100" s="51"/>
      <c r="N100" s="51"/>
      <c r="O100" s="51"/>
      <c r="P100" s="51"/>
      <c r="Q100" s="51"/>
      <c r="R100" s="51"/>
      <c r="S100" s="51"/>
      <c r="T100" s="51"/>
      <c r="U100" s="51"/>
      <c r="V100" s="51"/>
      <c r="W100" s="51"/>
      <c r="X100" s="51"/>
      <c r="Y100" s="51"/>
      <c r="Z100" s="51"/>
      <c r="AA100" s="51"/>
      <c r="AB100" s="51"/>
    </row>
    <row r="101" customFormat="false" ht="15.75" hidden="false" customHeight="false" outlineLevel="0" collapsed="false">
      <c r="A101" s="51"/>
      <c r="B101" s="51"/>
      <c r="C101" s="6"/>
      <c r="D101" s="49"/>
      <c r="E101" s="51"/>
      <c r="F101" s="6"/>
      <c r="G101" s="6"/>
      <c r="H101" s="6"/>
      <c r="I101" s="6"/>
      <c r="J101" s="6"/>
      <c r="K101" s="5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71"/>
      <c r="B102" s="55"/>
      <c r="C102" s="56" t="s">
        <v>18</v>
      </c>
      <c r="D102" s="57"/>
      <c r="E102" s="72" t="n">
        <f aca="false">IFERROR(__xludf.dummyfunction("COUNTA(SPLIT(D102,"" ""))/COUNTA(SPLIT($B$47,"" ""))"),0.00476190476190476)</f>
        <v>0.004761904762</v>
      </c>
      <c r="F102" s="56"/>
      <c r="G102" s="56"/>
      <c r="H102" s="56"/>
      <c r="I102" s="56"/>
      <c r="J102" s="56"/>
      <c r="K102" s="59"/>
      <c r="L102" s="59"/>
      <c r="M102" s="59"/>
      <c r="N102" s="59"/>
      <c r="O102" s="59"/>
      <c r="P102" s="59"/>
      <c r="Q102" s="59"/>
      <c r="R102" s="59"/>
      <c r="S102" s="59"/>
      <c r="T102" s="59"/>
      <c r="U102" s="59"/>
      <c r="V102" s="59"/>
      <c r="W102" s="59"/>
      <c r="X102" s="59"/>
      <c r="Y102" s="59"/>
      <c r="Z102" s="59"/>
      <c r="AA102" s="59"/>
      <c r="AB102" s="59"/>
    </row>
    <row r="103" customFormat="false" ht="15.75" hidden="false" customHeight="false" outlineLevel="0" collapsed="false">
      <c r="A103" s="71"/>
      <c r="B103" s="71"/>
      <c r="C103" s="6" t="s">
        <v>19</v>
      </c>
      <c r="D103" s="49"/>
      <c r="E103" s="73" t="n">
        <f aca="false">IFERROR(__xludf.dummyfunction("COUNTA(SPLIT(D103,"" ""))/COUNTA(SPLIT($B$47,"" ""))"),0.00476190476190476)</f>
        <v>0.004761904762</v>
      </c>
      <c r="F103" s="6"/>
      <c r="G103" s="6"/>
      <c r="H103" s="6"/>
      <c r="I103" s="6"/>
      <c r="J103" s="6"/>
      <c r="K103" s="51"/>
      <c r="L103" s="51"/>
      <c r="M103" s="51"/>
      <c r="N103" s="51"/>
      <c r="O103" s="51"/>
      <c r="P103" s="51"/>
      <c r="Q103" s="51"/>
      <c r="R103" s="51"/>
      <c r="S103" s="51"/>
      <c r="T103" s="51"/>
      <c r="U103" s="51"/>
      <c r="V103" s="51"/>
      <c r="W103" s="51"/>
      <c r="X103" s="51"/>
      <c r="Y103" s="51"/>
      <c r="Z103" s="51"/>
      <c r="AA103" s="51"/>
      <c r="AB103" s="51"/>
    </row>
    <row r="104" customFormat="false" ht="15.75" hidden="false" customHeight="false" outlineLevel="0" collapsed="false">
      <c r="A104" s="71"/>
      <c r="B104" s="71"/>
      <c r="C104" s="6" t="s">
        <v>8</v>
      </c>
      <c r="D104" s="49"/>
      <c r="E104" s="74" t="n">
        <f aca="false">IFERROR(__xludf.dummyfunction("COUNTA(SPLIT(D104,"" ""))/COUNTA(SPLIT($B$47,"" ""))"),0.00476190476190476)</f>
        <v>0.004761904762</v>
      </c>
      <c r="F104" s="6"/>
      <c r="G104" s="6"/>
      <c r="H104" s="6"/>
      <c r="I104" s="6"/>
      <c r="J104" s="6"/>
      <c r="K104" s="51"/>
      <c r="L104" s="51"/>
      <c r="M104" s="51"/>
      <c r="N104" s="51"/>
      <c r="O104" s="51"/>
      <c r="P104" s="51"/>
      <c r="Q104" s="51"/>
      <c r="R104" s="51"/>
      <c r="S104" s="51"/>
      <c r="T104" s="51"/>
      <c r="U104" s="51"/>
      <c r="V104" s="51"/>
      <c r="W104" s="51"/>
      <c r="X104" s="51"/>
      <c r="Y104" s="51"/>
      <c r="Z104" s="51"/>
      <c r="AA104" s="51"/>
      <c r="AB104" s="51"/>
    </row>
    <row r="105" customFormat="false" ht="15.75" hidden="false" customHeight="false" outlineLevel="0" collapsed="false">
      <c r="A105" s="71"/>
      <c r="B105" s="71"/>
      <c r="C105" s="6" t="s">
        <v>20</v>
      </c>
      <c r="D105" s="49"/>
      <c r="E105" s="75" t="n">
        <f aca="false">IFERROR(__xludf.dummyfunction("COUNTA(SPLIT(D105,"" ""))/COUNTA(SPLIT($B$47,"" ""))"),0.00476190476190476)</f>
        <v>0.004761904762</v>
      </c>
      <c r="F105" s="6"/>
      <c r="G105" s="6"/>
      <c r="H105" s="6"/>
      <c r="I105" s="6"/>
      <c r="J105" s="6"/>
      <c r="K105" s="51"/>
      <c r="L105" s="51"/>
      <c r="M105" s="51"/>
      <c r="N105" s="51"/>
      <c r="O105" s="51"/>
      <c r="P105" s="51"/>
      <c r="Q105" s="51"/>
      <c r="R105" s="51"/>
      <c r="S105" s="51"/>
      <c r="T105" s="51"/>
      <c r="U105" s="51"/>
      <c r="V105" s="51"/>
      <c r="W105" s="51"/>
      <c r="X105" s="51"/>
      <c r="Y105" s="51"/>
      <c r="Z105" s="51"/>
      <c r="AA105" s="51"/>
      <c r="AB105" s="51"/>
    </row>
    <row r="106" customFormat="false" ht="15.75" hidden="false" customHeight="false" outlineLevel="0" collapsed="false">
      <c r="A106" s="51"/>
      <c r="B106" s="51"/>
      <c r="C106" s="6"/>
      <c r="D106" s="49"/>
      <c r="E106" s="51"/>
      <c r="F106" s="6"/>
      <c r="G106" s="6"/>
      <c r="H106" s="6"/>
      <c r="I106" s="6"/>
      <c r="J106" s="6"/>
      <c r="K106" s="51"/>
      <c r="L106" s="51"/>
      <c r="M106" s="51"/>
      <c r="N106" s="51"/>
      <c r="O106" s="51"/>
      <c r="P106" s="51"/>
      <c r="Q106" s="51"/>
      <c r="R106" s="51"/>
      <c r="S106" s="51"/>
      <c r="T106" s="51"/>
      <c r="U106" s="51"/>
      <c r="V106" s="51"/>
      <c r="W106" s="51"/>
      <c r="X106" s="51"/>
      <c r="Y106" s="51"/>
      <c r="Z106" s="51"/>
      <c r="AA106" s="51"/>
      <c r="AB106" s="51"/>
    </row>
    <row r="107" customFormat="false" ht="15.75" hidden="false" customHeight="false" outlineLevel="0" collapsed="false">
      <c r="A107" s="71"/>
      <c r="B107" s="55"/>
      <c r="C107" s="56" t="s">
        <v>18</v>
      </c>
      <c r="D107" s="57"/>
      <c r="E107" s="72" t="n">
        <f aca="false">IFERROR(__xludf.dummyfunction("COUNTA(SPLIT(D107,"" ""))/COUNTA(SPLIT($B$47,"" ""))"),0.00476190476190476)</f>
        <v>0.004761904762</v>
      </c>
      <c r="F107" s="56"/>
      <c r="G107" s="56"/>
      <c r="H107" s="56"/>
      <c r="I107" s="56"/>
      <c r="J107" s="56"/>
      <c r="K107" s="59"/>
      <c r="L107" s="59"/>
      <c r="M107" s="59"/>
      <c r="N107" s="59"/>
      <c r="O107" s="59"/>
      <c r="P107" s="59"/>
      <c r="Q107" s="59"/>
      <c r="R107" s="59"/>
      <c r="S107" s="59"/>
      <c r="T107" s="59"/>
      <c r="U107" s="59"/>
      <c r="V107" s="59"/>
      <c r="W107" s="59"/>
      <c r="X107" s="59"/>
      <c r="Y107" s="59"/>
      <c r="Z107" s="59"/>
      <c r="AA107" s="59"/>
      <c r="AB107" s="59"/>
    </row>
    <row r="108" customFormat="false" ht="15.75" hidden="false" customHeight="false" outlineLevel="0" collapsed="false">
      <c r="A108" s="71"/>
      <c r="B108" s="71"/>
      <c r="C108" s="6" t="s">
        <v>19</v>
      </c>
      <c r="D108" s="49"/>
      <c r="E108" s="73" t="n">
        <f aca="false">IFERROR(__xludf.dummyfunction("COUNTA(SPLIT(D108,"" ""))/COUNTA(SPLIT($B$47,"" ""))"),0.00476190476190476)</f>
        <v>0.004761904762</v>
      </c>
      <c r="F108" s="6"/>
      <c r="G108" s="6"/>
      <c r="H108" s="6"/>
      <c r="I108" s="6"/>
      <c r="J108" s="6"/>
      <c r="K108" s="51"/>
      <c r="L108" s="51"/>
      <c r="M108" s="51"/>
      <c r="N108" s="51"/>
      <c r="O108" s="51"/>
      <c r="P108" s="51"/>
      <c r="Q108" s="51"/>
      <c r="R108" s="51"/>
      <c r="S108" s="51"/>
      <c r="T108" s="51"/>
      <c r="U108" s="51"/>
      <c r="V108" s="51"/>
      <c r="W108" s="51"/>
      <c r="X108" s="51"/>
      <c r="Y108" s="51"/>
      <c r="Z108" s="51"/>
      <c r="AA108" s="51"/>
      <c r="AB108" s="51"/>
    </row>
    <row r="109" customFormat="false" ht="15.75" hidden="false" customHeight="false" outlineLevel="0" collapsed="false">
      <c r="A109" s="71"/>
      <c r="B109" s="71"/>
      <c r="C109" s="6" t="s">
        <v>8</v>
      </c>
      <c r="D109" s="49"/>
      <c r="E109" s="74" t="n">
        <f aca="false">IFERROR(__xludf.dummyfunction("COUNTA(SPLIT(D109,"" ""))/COUNTA(SPLIT($B$47,"" ""))"),0.00476190476190476)</f>
        <v>0.004761904762</v>
      </c>
      <c r="F109" s="6"/>
      <c r="G109" s="6"/>
      <c r="H109" s="6"/>
      <c r="I109" s="6"/>
      <c r="J109" s="6"/>
      <c r="K109" s="51"/>
      <c r="L109" s="51"/>
      <c r="M109" s="51"/>
      <c r="N109" s="51"/>
      <c r="O109" s="51"/>
      <c r="P109" s="51"/>
      <c r="Q109" s="51"/>
      <c r="R109" s="51"/>
      <c r="S109" s="51"/>
      <c r="T109" s="51"/>
      <c r="U109" s="51"/>
      <c r="V109" s="51"/>
      <c r="W109" s="51"/>
      <c r="X109" s="51"/>
      <c r="Y109" s="51"/>
      <c r="Z109" s="51"/>
      <c r="AA109" s="51"/>
      <c r="AB109" s="51"/>
    </row>
    <row r="110" customFormat="false" ht="15.75" hidden="false" customHeight="false" outlineLevel="0" collapsed="false">
      <c r="A110" s="71"/>
      <c r="B110" s="71"/>
      <c r="C110" s="6" t="s">
        <v>20</v>
      </c>
      <c r="D110" s="49"/>
      <c r="E110" s="75" t="n">
        <f aca="false">IFERROR(__xludf.dummyfunction("COUNTA(SPLIT(D110,"" ""))/COUNTA(SPLIT($B$47,"" ""))"),0.00476190476190476)</f>
        <v>0.004761904762</v>
      </c>
      <c r="F110" s="6"/>
      <c r="G110" s="6"/>
      <c r="H110" s="6"/>
      <c r="I110" s="6"/>
      <c r="J110" s="6"/>
      <c r="K110" s="51"/>
      <c r="L110" s="51"/>
      <c r="M110" s="51"/>
      <c r="N110" s="51"/>
      <c r="O110" s="51"/>
      <c r="P110" s="51"/>
      <c r="Q110" s="51"/>
      <c r="R110" s="51"/>
      <c r="S110" s="51"/>
      <c r="T110" s="51"/>
      <c r="U110" s="51"/>
      <c r="V110" s="51"/>
      <c r="W110" s="51"/>
      <c r="X110" s="51"/>
      <c r="Y110" s="51"/>
      <c r="Z110" s="51"/>
      <c r="AA110" s="51"/>
      <c r="AB110" s="51"/>
    </row>
    <row r="111" customFormat="false" ht="15.75" hidden="false" customHeight="false" outlineLevel="0" collapsed="false">
      <c r="A111" s="51"/>
      <c r="B111" s="51"/>
      <c r="C111" s="6"/>
      <c r="D111" s="49"/>
      <c r="E111" s="51"/>
      <c r="F111" s="6"/>
      <c r="G111" s="6"/>
      <c r="H111" s="6"/>
      <c r="I111" s="6"/>
      <c r="J111" s="6"/>
      <c r="K111" s="51"/>
      <c r="L111" s="51"/>
      <c r="M111" s="51"/>
      <c r="N111" s="51"/>
      <c r="O111" s="51"/>
      <c r="P111" s="51"/>
      <c r="Q111" s="51"/>
      <c r="R111" s="51"/>
      <c r="S111" s="51"/>
      <c r="T111" s="51"/>
      <c r="U111" s="51"/>
      <c r="V111" s="51"/>
      <c r="W111" s="51"/>
      <c r="X111" s="51"/>
      <c r="Y111" s="51"/>
      <c r="Z111" s="51"/>
      <c r="AA111" s="51"/>
      <c r="AB111" s="51"/>
    </row>
    <row r="112" customFormat="false" ht="15.75" hidden="false" customHeight="false" outlineLevel="0" collapsed="false">
      <c r="A112" s="71"/>
      <c r="B112" s="55"/>
      <c r="C112" s="56" t="s">
        <v>18</v>
      </c>
      <c r="D112" s="57"/>
      <c r="E112" s="72" t="n">
        <f aca="false">IFERROR(__xludf.dummyfunction("COUNTA(SPLIT(D112,"" ""))/COUNTA(SPLIT($B$47,"" ""))"),0.00476190476190476)</f>
        <v>0.004761904762</v>
      </c>
      <c r="F112" s="56"/>
      <c r="G112" s="56"/>
      <c r="H112" s="56"/>
      <c r="I112" s="56"/>
      <c r="J112" s="56"/>
      <c r="K112" s="59"/>
      <c r="L112" s="59"/>
      <c r="M112" s="59"/>
      <c r="N112" s="59"/>
      <c r="O112" s="59"/>
      <c r="P112" s="59"/>
      <c r="Q112" s="59"/>
      <c r="R112" s="59"/>
      <c r="S112" s="59"/>
      <c r="T112" s="59"/>
      <c r="U112" s="59"/>
      <c r="V112" s="59"/>
      <c r="W112" s="59"/>
      <c r="X112" s="59"/>
      <c r="Y112" s="59"/>
      <c r="Z112" s="59"/>
      <c r="AA112" s="59"/>
      <c r="AB112" s="59"/>
    </row>
    <row r="113" customFormat="false" ht="15.75" hidden="false" customHeight="false" outlineLevel="0" collapsed="false">
      <c r="A113" s="71"/>
      <c r="B113" s="71"/>
      <c r="C113" s="6" t="s">
        <v>19</v>
      </c>
      <c r="D113" s="49"/>
      <c r="E113" s="73" t="n">
        <f aca="false">IFERROR(__xludf.dummyfunction("COUNTA(SPLIT(D113,"" ""))/COUNTA(SPLIT($B$47,"" ""))"),0.00476190476190476)</f>
        <v>0.004761904762</v>
      </c>
      <c r="F113" s="6"/>
      <c r="G113" s="6"/>
      <c r="H113" s="6"/>
      <c r="I113" s="6"/>
      <c r="J113" s="6"/>
      <c r="K113" s="51"/>
      <c r="L113" s="51"/>
      <c r="M113" s="51"/>
      <c r="N113" s="51"/>
      <c r="O113" s="51"/>
      <c r="P113" s="51"/>
      <c r="Q113" s="51"/>
      <c r="R113" s="51"/>
      <c r="S113" s="51"/>
      <c r="T113" s="51"/>
      <c r="U113" s="51"/>
      <c r="V113" s="51"/>
      <c r="W113" s="51"/>
      <c r="X113" s="51"/>
      <c r="Y113" s="51"/>
      <c r="Z113" s="51"/>
      <c r="AA113" s="51"/>
      <c r="AB113" s="51"/>
    </row>
    <row r="114" customFormat="false" ht="15.75" hidden="false" customHeight="false" outlineLevel="0" collapsed="false">
      <c r="A114" s="71"/>
      <c r="B114" s="71"/>
      <c r="C114" s="6" t="s">
        <v>8</v>
      </c>
      <c r="D114" s="49"/>
      <c r="E114" s="74" t="n">
        <f aca="false">IFERROR(__xludf.dummyfunction("COUNTA(SPLIT(D114,"" ""))/COUNTA(SPLIT($B$47,"" ""))"),0.00476190476190476)</f>
        <v>0.004761904762</v>
      </c>
      <c r="F114" s="6"/>
      <c r="G114" s="6"/>
      <c r="H114" s="6"/>
      <c r="I114" s="6"/>
      <c r="J114" s="6"/>
      <c r="K114" s="51"/>
      <c r="L114" s="51"/>
      <c r="M114" s="51"/>
      <c r="N114" s="51"/>
      <c r="O114" s="51"/>
      <c r="P114" s="51"/>
      <c r="Q114" s="51"/>
      <c r="R114" s="51"/>
      <c r="S114" s="51"/>
      <c r="T114" s="51"/>
      <c r="U114" s="51"/>
      <c r="V114" s="51"/>
      <c r="W114" s="51"/>
      <c r="X114" s="51"/>
      <c r="Y114" s="51"/>
      <c r="Z114" s="51"/>
      <c r="AA114" s="51"/>
      <c r="AB114" s="51"/>
    </row>
    <row r="115" customFormat="false" ht="15.75" hidden="false" customHeight="false" outlineLevel="0" collapsed="false">
      <c r="A115" s="71"/>
      <c r="B115" s="71"/>
      <c r="C115" s="6" t="s">
        <v>20</v>
      </c>
      <c r="D115" s="49"/>
      <c r="E115" s="75" t="n">
        <f aca="false">IFERROR(__xludf.dummyfunction("COUNTA(SPLIT(D115,"" ""))/COUNTA(SPLIT($B$47,"" ""))"),0.00476190476190476)</f>
        <v>0.004761904762</v>
      </c>
      <c r="F115" s="6"/>
      <c r="G115" s="6"/>
      <c r="H115" s="6"/>
      <c r="I115" s="6"/>
      <c r="J115" s="6"/>
      <c r="K115" s="51"/>
      <c r="L115" s="51"/>
      <c r="M115" s="51"/>
      <c r="N115" s="51"/>
      <c r="O115" s="51"/>
      <c r="P115" s="51"/>
      <c r="Q115" s="51"/>
      <c r="R115" s="51"/>
      <c r="S115" s="51"/>
      <c r="T115" s="51"/>
      <c r="U115" s="51"/>
      <c r="V115" s="51"/>
      <c r="W115" s="51"/>
      <c r="X115" s="51"/>
      <c r="Y115" s="51"/>
      <c r="Z115" s="51"/>
      <c r="AA115" s="51"/>
      <c r="AB115" s="51"/>
    </row>
    <row r="116" customFormat="false" ht="15.75" hidden="false" customHeight="false" outlineLevel="0" collapsed="false">
      <c r="A116" s="51"/>
      <c r="B116" s="51"/>
      <c r="C116" s="6"/>
      <c r="D116" s="49"/>
      <c r="E116" s="51"/>
      <c r="F116" s="6"/>
      <c r="G116" s="6"/>
      <c r="H116" s="6"/>
      <c r="I116" s="6"/>
      <c r="J116" s="6"/>
      <c r="K116" s="51"/>
      <c r="L116" s="51"/>
      <c r="M116" s="51"/>
      <c r="N116" s="51"/>
      <c r="O116" s="51"/>
      <c r="P116" s="51"/>
      <c r="Q116" s="51"/>
      <c r="R116" s="51"/>
      <c r="S116" s="51"/>
      <c r="T116" s="51"/>
      <c r="U116" s="51"/>
      <c r="V116" s="51"/>
      <c r="W116" s="51"/>
      <c r="X116" s="51"/>
      <c r="Y116" s="51"/>
      <c r="Z116" s="51"/>
      <c r="AA116" s="51"/>
      <c r="AB116" s="51"/>
    </row>
    <row r="117" customFormat="false" ht="15.75" hidden="false" customHeight="false" outlineLevel="0" collapsed="false">
      <c r="A117" s="71"/>
      <c r="B117" s="55"/>
      <c r="C117" s="56" t="s">
        <v>18</v>
      </c>
      <c r="D117" s="57"/>
      <c r="E117" s="72" t="n">
        <f aca="false">IFERROR(__xludf.dummyfunction("COUNTA(SPLIT(D117,"" ""))/COUNTA(SPLIT($B$47,"" ""))"),0.00476190476190476)</f>
        <v>0.004761904762</v>
      </c>
      <c r="F117" s="56"/>
      <c r="G117" s="56"/>
      <c r="H117" s="56"/>
      <c r="I117" s="56"/>
      <c r="J117" s="56"/>
      <c r="K117" s="59"/>
      <c r="L117" s="59"/>
      <c r="M117" s="59"/>
      <c r="N117" s="59"/>
      <c r="O117" s="59"/>
      <c r="P117" s="59"/>
      <c r="Q117" s="59"/>
      <c r="R117" s="59"/>
      <c r="S117" s="59"/>
      <c r="T117" s="59"/>
      <c r="U117" s="59"/>
      <c r="V117" s="59"/>
      <c r="W117" s="59"/>
      <c r="X117" s="59"/>
      <c r="Y117" s="59"/>
      <c r="Z117" s="59"/>
      <c r="AA117" s="59"/>
      <c r="AB117" s="59"/>
    </row>
    <row r="118" customFormat="false" ht="15.75" hidden="false" customHeight="false" outlineLevel="0" collapsed="false">
      <c r="A118" s="71"/>
      <c r="B118" s="71"/>
      <c r="C118" s="6" t="s">
        <v>19</v>
      </c>
      <c r="D118" s="49"/>
      <c r="E118" s="73" t="n">
        <f aca="false">IFERROR(__xludf.dummyfunction("COUNTA(SPLIT(D118,"" ""))/COUNTA(SPLIT($B$47,"" ""))"),0.00476190476190476)</f>
        <v>0.004761904762</v>
      </c>
      <c r="F118" s="6"/>
      <c r="G118" s="6"/>
      <c r="H118" s="6"/>
      <c r="I118" s="6"/>
      <c r="J118" s="6"/>
      <c r="K118" s="51"/>
      <c r="L118" s="51"/>
      <c r="M118" s="51"/>
      <c r="N118" s="51"/>
      <c r="O118" s="51"/>
      <c r="P118" s="51"/>
      <c r="Q118" s="51"/>
      <c r="R118" s="51"/>
      <c r="S118" s="51"/>
      <c r="T118" s="51"/>
      <c r="U118" s="51"/>
      <c r="V118" s="51"/>
      <c r="W118" s="51"/>
      <c r="X118" s="51"/>
      <c r="Y118" s="51"/>
      <c r="Z118" s="51"/>
      <c r="AA118" s="51"/>
      <c r="AB118" s="51"/>
    </row>
    <row r="119" customFormat="false" ht="15.75" hidden="false" customHeight="false" outlineLevel="0" collapsed="false">
      <c r="A119" s="71"/>
      <c r="B119" s="71"/>
      <c r="C119" s="6" t="s">
        <v>8</v>
      </c>
      <c r="D119" s="49"/>
      <c r="E119" s="74" t="n">
        <f aca="false">IFERROR(__xludf.dummyfunction("COUNTA(SPLIT(D119,"" ""))/COUNTA(SPLIT($B$47,"" ""))"),0.00476190476190476)</f>
        <v>0.004761904762</v>
      </c>
      <c r="F119" s="6"/>
      <c r="G119" s="6"/>
      <c r="H119" s="6"/>
      <c r="I119" s="6"/>
      <c r="J119" s="6"/>
      <c r="K119" s="51"/>
      <c r="L119" s="51"/>
      <c r="M119" s="51"/>
      <c r="N119" s="51"/>
      <c r="O119" s="51"/>
      <c r="P119" s="51"/>
      <c r="Q119" s="51"/>
      <c r="R119" s="51"/>
      <c r="S119" s="51"/>
      <c r="T119" s="51"/>
      <c r="U119" s="51"/>
      <c r="V119" s="51"/>
      <c r="W119" s="51"/>
      <c r="X119" s="51"/>
      <c r="Y119" s="51"/>
      <c r="Z119" s="51"/>
      <c r="AA119" s="51"/>
      <c r="AB119" s="51"/>
    </row>
    <row r="120" customFormat="false" ht="15.75" hidden="false" customHeight="false" outlineLevel="0" collapsed="false">
      <c r="A120" s="71"/>
      <c r="B120" s="71"/>
      <c r="C120" s="6" t="s">
        <v>20</v>
      </c>
      <c r="D120" s="49"/>
      <c r="E120" s="75" t="n">
        <f aca="false">IFERROR(__xludf.dummyfunction("COUNTA(SPLIT(D120,"" ""))/COUNTA(SPLIT($B$47,"" ""))"),0.00476190476190476)</f>
        <v>0.004761904762</v>
      </c>
      <c r="F120" s="6"/>
      <c r="G120" s="6"/>
      <c r="H120" s="6"/>
      <c r="I120" s="6"/>
      <c r="J120" s="6"/>
      <c r="K120" s="51"/>
      <c r="L120" s="51"/>
      <c r="M120" s="51"/>
      <c r="N120" s="51"/>
      <c r="O120" s="51"/>
      <c r="P120" s="51"/>
      <c r="Q120" s="51"/>
      <c r="R120" s="51"/>
      <c r="S120" s="51"/>
      <c r="T120" s="51"/>
      <c r="U120" s="51"/>
      <c r="V120" s="51"/>
      <c r="W120" s="51"/>
      <c r="X120" s="51"/>
      <c r="Y120" s="51"/>
      <c r="Z120" s="51"/>
      <c r="AA120" s="51"/>
      <c r="AB120" s="51"/>
    </row>
    <row r="121" customFormat="false" ht="15.75" hidden="false" customHeight="false" outlineLevel="0" collapsed="false">
      <c r="A121" s="51"/>
      <c r="B121" s="51"/>
      <c r="C121" s="6"/>
      <c r="D121" s="49"/>
      <c r="E121" s="51"/>
      <c r="F121" s="6"/>
      <c r="G121" s="6"/>
      <c r="H121" s="6"/>
      <c r="I121" s="6"/>
      <c r="J121" s="6"/>
      <c r="K121" s="51"/>
      <c r="L121" s="51"/>
      <c r="M121" s="51"/>
      <c r="N121" s="51"/>
      <c r="O121" s="51"/>
      <c r="P121" s="51"/>
      <c r="Q121" s="51"/>
      <c r="R121" s="51"/>
      <c r="S121" s="51"/>
      <c r="T121" s="51"/>
      <c r="U121" s="51"/>
      <c r="V121" s="51"/>
      <c r="W121" s="51"/>
      <c r="X121" s="51"/>
      <c r="Y121" s="51"/>
      <c r="Z121" s="51"/>
      <c r="AA121" s="51"/>
      <c r="AB121" s="51"/>
    </row>
    <row r="122" customFormat="false" ht="15.75" hidden="false" customHeight="false" outlineLevel="0" collapsed="false">
      <c r="A122" s="71"/>
      <c r="B122" s="55"/>
      <c r="C122" s="56" t="s">
        <v>18</v>
      </c>
      <c r="D122" s="57"/>
      <c r="E122" s="72" t="n">
        <f aca="false">IFERROR(__xludf.dummyfunction("COUNTA(SPLIT(D122,"" ""))/COUNTA(SPLIT($B$47,"" ""))"),0.00476190476190476)</f>
        <v>0.004761904762</v>
      </c>
      <c r="F122" s="56"/>
      <c r="G122" s="56"/>
      <c r="H122" s="56"/>
      <c r="I122" s="56"/>
      <c r="J122" s="56"/>
      <c r="K122" s="59"/>
      <c r="L122" s="59"/>
      <c r="M122" s="59"/>
      <c r="N122" s="59"/>
      <c r="O122" s="59"/>
      <c r="P122" s="59"/>
      <c r="Q122" s="59"/>
      <c r="R122" s="59"/>
      <c r="S122" s="59"/>
      <c r="T122" s="59"/>
      <c r="U122" s="59"/>
      <c r="V122" s="59"/>
      <c r="W122" s="59"/>
      <c r="X122" s="59"/>
      <c r="Y122" s="59"/>
      <c r="Z122" s="59"/>
      <c r="AA122" s="59"/>
      <c r="AB122" s="59"/>
    </row>
    <row r="123" customFormat="false" ht="15.75" hidden="false" customHeight="false" outlineLevel="0" collapsed="false">
      <c r="A123" s="71"/>
      <c r="B123" s="71"/>
      <c r="C123" s="6" t="s">
        <v>19</v>
      </c>
      <c r="D123" s="49"/>
      <c r="E123" s="73" t="n">
        <f aca="false">IFERROR(__xludf.dummyfunction("COUNTA(SPLIT(D123,"" ""))/COUNTA(SPLIT($B$47,"" ""))"),0.00476190476190476)</f>
        <v>0.004761904762</v>
      </c>
      <c r="F123" s="6"/>
      <c r="G123" s="6"/>
      <c r="H123" s="6"/>
      <c r="I123" s="6"/>
      <c r="J123" s="6"/>
      <c r="K123" s="51"/>
      <c r="L123" s="51"/>
      <c r="M123" s="51"/>
      <c r="N123" s="51"/>
      <c r="O123" s="51"/>
      <c r="P123" s="51"/>
      <c r="Q123" s="51"/>
      <c r="R123" s="51"/>
      <c r="S123" s="51"/>
      <c r="T123" s="51"/>
      <c r="U123" s="51"/>
      <c r="V123" s="51"/>
      <c r="W123" s="51"/>
      <c r="X123" s="51"/>
      <c r="Y123" s="51"/>
      <c r="Z123" s="51"/>
      <c r="AA123" s="51"/>
      <c r="AB123" s="51"/>
    </row>
    <row r="124" customFormat="false" ht="15.75" hidden="false" customHeight="false" outlineLevel="0" collapsed="false">
      <c r="A124" s="71"/>
      <c r="B124" s="71"/>
      <c r="C124" s="6" t="s">
        <v>8</v>
      </c>
      <c r="D124" s="49"/>
      <c r="E124" s="74" t="n">
        <f aca="false">IFERROR(__xludf.dummyfunction("COUNTA(SPLIT(D124,"" ""))/COUNTA(SPLIT($B$47,"" ""))"),0.00476190476190476)</f>
        <v>0.004761904762</v>
      </c>
      <c r="F124" s="6"/>
      <c r="G124" s="6"/>
      <c r="H124" s="6"/>
      <c r="I124" s="6"/>
      <c r="J124" s="6"/>
      <c r="K124" s="51"/>
      <c r="L124" s="51"/>
      <c r="M124" s="51"/>
      <c r="N124" s="51"/>
      <c r="O124" s="51"/>
      <c r="P124" s="51"/>
      <c r="Q124" s="51"/>
      <c r="R124" s="51"/>
      <c r="S124" s="51"/>
      <c r="T124" s="51"/>
      <c r="U124" s="51"/>
      <c r="V124" s="51"/>
      <c r="W124" s="51"/>
      <c r="X124" s="51"/>
      <c r="Y124" s="51"/>
      <c r="Z124" s="51"/>
      <c r="AA124" s="51"/>
      <c r="AB124" s="51"/>
    </row>
    <row r="125" customFormat="false" ht="15.75" hidden="false" customHeight="false" outlineLevel="0" collapsed="false">
      <c r="A125" s="71"/>
      <c r="B125" s="71"/>
      <c r="C125" s="6" t="s">
        <v>20</v>
      </c>
      <c r="D125" s="49"/>
      <c r="E125" s="75" t="n">
        <f aca="false">IFERROR(__xludf.dummyfunction("COUNTA(SPLIT(D125,"" ""))/COUNTA(SPLIT($B$47,"" ""))"),0.00476190476190476)</f>
        <v>0.004761904762</v>
      </c>
      <c r="F125" s="6"/>
      <c r="G125" s="6"/>
      <c r="H125" s="6"/>
      <c r="I125" s="6"/>
      <c r="J125" s="6"/>
      <c r="K125" s="51"/>
      <c r="L125" s="51"/>
      <c r="M125" s="51"/>
      <c r="N125" s="51"/>
      <c r="O125" s="51"/>
      <c r="P125" s="51"/>
      <c r="Q125" s="51"/>
      <c r="R125" s="51"/>
      <c r="S125" s="51"/>
      <c r="T125" s="51"/>
      <c r="U125" s="51"/>
      <c r="V125" s="51"/>
      <c r="W125" s="51"/>
      <c r="X125" s="51"/>
      <c r="Y125" s="51"/>
      <c r="Z125" s="51"/>
      <c r="AA125" s="51"/>
      <c r="AB125" s="51"/>
    </row>
    <row r="126" customFormat="false" ht="15.75" hidden="false" customHeight="false" outlineLevel="0" collapsed="false">
      <c r="A126" s="51"/>
      <c r="B126" s="51"/>
      <c r="C126" s="6"/>
      <c r="D126" s="49"/>
      <c r="E126" s="51"/>
      <c r="F126" s="6"/>
      <c r="G126" s="6"/>
      <c r="H126" s="6"/>
      <c r="I126" s="6"/>
      <c r="J126" s="6"/>
      <c r="K126" s="51"/>
      <c r="L126" s="51"/>
      <c r="M126" s="51"/>
      <c r="N126" s="51"/>
      <c r="O126" s="51"/>
      <c r="P126" s="51"/>
      <c r="Q126" s="51"/>
      <c r="R126" s="51"/>
      <c r="S126" s="51"/>
      <c r="T126" s="51"/>
      <c r="U126" s="51"/>
      <c r="V126" s="51"/>
      <c r="W126" s="51"/>
      <c r="X126" s="51"/>
      <c r="Y126" s="51"/>
      <c r="Z126" s="51"/>
      <c r="AA126" s="51"/>
      <c r="AB126" s="51"/>
    </row>
    <row r="127" customFormat="false" ht="15.75" hidden="false" customHeight="false" outlineLevel="0" collapsed="false">
      <c r="A127" s="71"/>
      <c r="B127" s="55"/>
      <c r="C127" s="56" t="s">
        <v>18</v>
      </c>
      <c r="D127" s="57"/>
      <c r="E127" s="72" t="n">
        <f aca="false">IFERROR(__xludf.dummyfunction("COUNTA(SPLIT(D127,"" ""))/COUNTA(SPLIT($B$47,"" ""))"),0.00476190476190476)</f>
        <v>0.004761904762</v>
      </c>
      <c r="F127" s="56"/>
      <c r="G127" s="56"/>
      <c r="H127" s="56"/>
      <c r="I127" s="56"/>
      <c r="J127" s="56"/>
      <c r="K127" s="59"/>
      <c r="L127" s="59"/>
      <c r="M127" s="59"/>
      <c r="N127" s="59"/>
      <c r="O127" s="59"/>
      <c r="P127" s="59"/>
      <c r="Q127" s="59"/>
      <c r="R127" s="59"/>
      <c r="S127" s="59"/>
      <c r="T127" s="59"/>
      <c r="U127" s="59"/>
      <c r="V127" s="59"/>
      <c r="W127" s="59"/>
      <c r="X127" s="59"/>
      <c r="Y127" s="59"/>
      <c r="Z127" s="59"/>
      <c r="AA127" s="59"/>
      <c r="AB127" s="59"/>
    </row>
    <row r="128" customFormat="false" ht="15.75" hidden="false" customHeight="false" outlineLevel="0" collapsed="false">
      <c r="A128" s="71"/>
      <c r="B128" s="71"/>
      <c r="C128" s="6" t="s">
        <v>19</v>
      </c>
      <c r="D128" s="49"/>
      <c r="E128" s="73" t="n">
        <f aca="false">IFERROR(__xludf.dummyfunction("COUNTA(SPLIT(D128,"" ""))/COUNTA(SPLIT($B$47,"" ""))"),0.00476190476190476)</f>
        <v>0.004761904762</v>
      </c>
      <c r="F128" s="6"/>
      <c r="G128" s="6"/>
      <c r="H128" s="6"/>
      <c r="I128" s="6"/>
      <c r="J128" s="6"/>
      <c r="K128" s="51"/>
      <c r="L128" s="51"/>
      <c r="M128" s="51"/>
      <c r="N128" s="51"/>
      <c r="O128" s="51"/>
      <c r="P128" s="51"/>
      <c r="Q128" s="51"/>
      <c r="R128" s="51"/>
      <c r="S128" s="51"/>
      <c r="T128" s="51"/>
      <c r="U128" s="51"/>
      <c r="V128" s="51"/>
      <c r="W128" s="51"/>
      <c r="X128" s="51"/>
      <c r="Y128" s="51"/>
      <c r="Z128" s="51"/>
      <c r="AA128" s="51"/>
      <c r="AB128" s="51"/>
    </row>
    <row r="129" customFormat="false" ht="15.75" hidden="false" customHeight="false" outlineLevel="0" collapsed="false">
      <c r="A129" s="71"/>
      <c r="B129" s="71"/>
      <c r="C129" s="6" t="s">
        <v>8</v>
      </c>
      <c r="D129" s="49"/>
      <c r="E129" s="74" t="n">
        <f aca="false">IFERROR(__xludf.dummyfunction("COUNTA(SPLIT(D129,"" ""))/COUNTA(SPLIT($B$47,"" ""))"),0.00476190476190476)</f>
        <v>0.004761904762</v>
      </c>
      <c r="F129" s="6"/>
      <c r="G129" s="6"/>
      <c r="H129" s="6"/>
      <c r="I129" s="6"/>
      <c r="J129" s="6"/>
      <c r="K129" s="51"/>
      <c r="L129" s="51"/>
      <c r="M129" s="51"/>
      <c r="N129" s="51"/>
      <c r="O129" s="51"/>
      <c r="P129" s="51"/>
      <c r="Q129" s="51"/>
      <c r="R129" s="51"/>
      <c r="S129" s="51"/>
      <c r="T129" s="51"/>
      <c r="U129" s="51"/>
      <c r="V129" s="51"/>
      <c r="W129" s="51"/>
      <c r="X129" s="51"/>
      <c r="Y129" s="51"/>
      <c r="Z129" s="51"/>
      <c r="AA129" s="51"/>
      <c r="AB129" s="51"/>
    </row>
    <row r="130" customFormat="false" ht="15.75" hidden="false" customHeight="false" outlineLevel="0" collapsed="false">
      <c r="A130" s="71"/>
      <c r="B130" s="71"/>
      <c r="C130" s="6" t="s">
        <v>20</v>
      </c>
      <c r="D130" s="49"/>
      <c r="E130" s="75" t="n">
        <f aca="false">IFERROR(__xludf.dummyfunction("COUNTA(SPLIT(D130,"" ""))/COUNTA(SPLIT($B$47,"" ""))"),0.00476190476190476)</f>
        <v>0.004761904762</v>
      </c>
      <c r="F130" s="6"/>
      <c r="G130" s="6"/>
      <c r="H130" s="6"/>
      <c r="I130" s="6"/>
      <c r="J130" s="6"/>
      <c r="K130" s="51"/>
      <c r="L130" s="51"/>
      <c r="M130" s="51"/>
      <c r="N130" s="51"/>
      <c r="O130" s="51"/>
      <c r="P130" s="51"/>
      <c r="Q130" s="51"/>
      <c r="R130" s="51"/>
      <c r="S130" s="51"/>
      <c r="T130" s="51"/>
      <c r="U130" s="51"/>
      <c r="V130" s="51"/>
      <c r="W130" s="51"/>
      <c r="X130" s="51"/>
      <c r="Y130" s="51"/>
      <c r="Z130" s="51"/>
      <c r="AA130" s="51"/>
      <c r="AB130" s="51"/>
    </row>
    <row r="131" customFormat="false" ht="15.75" hidden="false" customHeight="false" outlineLevel="0" collapsed="false">
      <c r="A131" s="51"/>
      <c r="B131" s="51"/>
      <c r="C131" s="6"/>
      <c r="D131" s="49"/>
      <c r="E131" s="51"/>
      <c r="F131" s="6"/>
      <c r="G131" s="6"/>
      <c r="H131" s="6"/>
      <c r="I131" s="6"/>
      <c r="J131" s="6"/>
      <c r="K131" s="51"/>
      <c r="L131" s="51"/>
      <c r="M131" s="51"/>
      <c r="N131" s="51"/>
      <c r="O131" s="51"/>
      <c r="P131" s="51"/>
      <c r="Q131" s="51"/>
      <c r="R131" s="51"/>
      <c r="S131" s="51"/>
      <c r="T131" s="51"/>
      <c r="U131" s="51"/>
      <c r="V131" s="51"/>
      <c r="W131" s="51"/>
      <c r="X131" s="51"/>
      <c r="Y131" s="51"/>
      <c r="Z131" s="51"/>
      <c r="AA131" s="51"/>
      <c r="AB131" s="51"/>
    </row>
    <row r="132" customFormat="false" ht="15.75" hidden="false" customHeight="false" outlineLevel="0" collapsed="false">
      <c r="A132" s="71"/>
      <c r="B132" s="55"/>
      <c r="C132" s="56" t="s">
        <v>18</v>
      </c>
      <c r="D132" s="57"/>
      <c r="E132" s="72" t="n">
        <f aca="false">IFERROR(__xludf.dummyfunction("COUNTA(SPLIT(D132,"" ""))/COUNTA(SPLIT($B$47,"" ""))"),0.00476190476190476)</f>
        <v>0.004761904762</v>
      </c>
      <c r="F132" s="56"/>
      <c r="G132" s="56"/>
      <c r="H132" s="56"/>
      <c r="I132" s="56"/>
      <c r="J132" s="56"/>
      <c r="K132" s="59"/>
      <c r="L132" s="59"/>
      <c r="M132" s="59"/>
      <c r="N132" s="59"/>
      <c r="O132" s="59"/>
      <c r="P132" s="59"/>
      <c r="Q132" s="59"/>
      <c r="R132" s="59"/>
      <c r="S132" s="59"/>
      <c r="T132" s="59"/>
      <c r="U132" s="59"/>
      <c r="V132" s="59"/>
      <c r="W132" s="59"/>
      <c r="X132" s="59"/>
      <c r="Y132" s="59"/>
      <c r="Z132" s="59"/>
      <c r="AA132" s="59"/>
      <c r="AB132" s="59"/>
    </row>
    <row r="133" customFormat="false" ht="15.75" hidden="false" customHeight="false" outlineLevel="0" collapsed="false">
      <c r="A133" s="71"/>
      <c r="B133" s="71"/>
      <c r="C133" s="6" t="s">
        <v>19</v>
      </c>
      <c r="D133" s="49"/>
      <c r="E133" s="73" t="n">
        <f aca="false">IFERROR(__xludf.dummyfunction("COUNTA(SPLIT(D133,"" ""))/COUNTA(SPLIT($B$47,"" ""))"),0.00476190476190476)</f>
        <v>0.004761904762</v>
      </c>
      <c r="F133" s="6"/>
      <c r="G133" s="6"/>
      <c r="H133" s="6"/>
      <c r="I133" s="6"/>
      <c r="J133" s="6"/>
      <c r="K133" s="51"/>
      <c r="L133" s="51"/>
      <c r="M133" s="51"/>
      <c r="N133" s="51"/>
      <c r="O133" s="51"/>
      <c r="P133" s="51"/>
      <c r="Q133" s="51"/>
      <c r="R133" s="51"/>
      <c r="S133" s="51"/>
      <c r="T133" s="51"/>
      <c r="U133" s="51"/>
      <c r="V133" s="51"/>
      <c r="W133" s="51"/>
      <c r="X133" s="51"/>
      <c r="Y133" s="51"/>
      <c r="Z133" s="51"/>
      <c r="AA133" s="51"/>
      <c r="AB133" s="51"/>
    </row>
    <row r="134" customFormat="false" ht="15.75" hidden="false" customHeight="false" outlineLevel="0" collapsed="false">
      <c r="A134" s="71"/>
      <c r="B134" s="71"/>
      <c r="C134" s="6" t="s">
        <v>8</v>
      </c>
      <c r="D134" s="49"/>
      <c r="E134" s="74" t="n">
        <f aca="false">IFERROR(__xludf.dummyfunction("COUNTA(SPLIT(D134,"" ""))/COUNTA(SPLIT($B$47,"" ""))"),0.00476190476190476)</f>
        <v>0.004761904762</v>
      </c>
      <c r="F134" s="6"/>
      <c r="G134" s="6"/>
      <c r="H134" s="6"/>
      <c r="I134" s="6"/>
      <c r="J134" s="6"/>
      <c r="K134" s="51"/>
      <c r="L134" s="51"/>
      <c r="M134" s="51"/>
      <c r="N134" s="51"/>
      <c r="O134" s="51"/>
      <c r="P134" s="51"/>
      <c r="Q134" s="51"/>
      <c r="R134" s="51"/>
      <c r="S134" s="51"/>
      <c r="T134" s="51"/>
      <c r="U134" s="51"/>
      <c r="V134" s="51"/>
      <c r="W134" s="51"/>
      <c r="X134" s="51"/>
      <c r="Y134" s="51"/>
      <c r="Z134" s="51"/>
      <c r="AA134" s="51"/>
      <c r="AB134" s="51"/>
    </row>
    <row r="135" customFormat="false" ht="15.75" hidden="false" customHeight="false" outlineLevel="0" collapsed="false">
      <c r="A135" s="71"/>
      <c r="B135" s="71"/>
      <c r="C135" s="6" t="s">
        <v>20</v>
      </c>
      <c r="D135" s="49"/>
      <c r="E135" s="75" t="n">
        <f aca="false">IFERROR(__xludf.dummyfunction("COUNTA(SPLIT(D135,"" ""))/COUNTA(SPLIT($B$47,"" ""))"),0.00476190476190476)</f>
        <v>0.004761904762</v>
      </c>
      <c r="F135" s="6"/>
      <c r="G135" s="6"/>
      <c r="H135" s="6"/>
      <c r="I135" s="6"/>
      <c r="J135" s="6"/>
      <c r="K135" s="51"/>
      <c r="L135" s="51"/>
      <c r="M135" s="51"/>
      <c r="N135" s="51"/>
      <c r="O135" s="51"/>
      <c r="P135" s="51"/>
      <c r="Q135" s="51"/>
      <c r="R135" s="51"/>
      <c r="S135" s="51"/>
      <c r="T135" s="51"/>
      <c r="U135" s="51"/>
      <c r="V135" s="51"/>
      <c r="W135" s="51"/>
      <c r="X135" s="51"/>
      <c r="Y135" s="51"/>
      <c r="Z135" s="51"/>
      <c r="AA135" s="51"/>
      <c r="AB135" s="51"/>
    </row>
    <row r="136" customFormat="false" ht="15.75" hidden="false" customHeight="false" outlineLevel="0" collapsed="false">
      <c r="A136" s="51"/>
      <c r="B136" s="51"/>
      <c r="C136" s="6"/>
      <c r="D136" s="49"/>
      <c r="E136" s="51"/>
      <c r="F136" s="6"/>
      <c r="G136" s="6"/>
      <c r="H136" s="6"/>
      <c r="I136" s="6"/>
      <c r="J136" s="6"/>
      <c r="K136" s="51"/>
      <c r="L136" s="51"/>
      <c r="M136" s="51"/>
      <c r="N136" s="51"/>
      <c r="O136" s="51"/>
      <c r="P136" s="51"/>
      <c r="Q136" s="51"/>
      <c r="R136" s="51"/>
      <c r="S136" s="51"/>
      <c r="T136" s="51"/>
      <c r="U136" s="51"/>
      <c r="V136" s="51"/>
      <c r="W136" s="51"/>
      <c r="X136" s="51"/>
      <c r="Y136" s="51"/>
      <c r="Z136" s="51"/>
      <c r="AA136" s="51"/>
      <c r="AB136" s="51"/>
    </row>
    <row r="137" customFormat="false" ht="15.75" hidden="false" customHeight="false" outlineLevel="0" collapsed="false">
      <c r="A137" s="71"/>
      <c r="B137" s="55"/>
      <c r="C137" s="56" t="s">
        <v>18</v>
      </c>
      <c r="D137" s="57"/>
      <c r="E137" s="72" t="n">
        <f aca="false">IFERROR(__xludf.dummyfunction("COUNTA(SPLIT(D137,"" ""))/COUNTA(SPLIT($B$47,"" ""))"),0.00476190476190476)</f>
        <v>0.004761904762</v>
      </c>
      <c r="F137" s="56"/>
      <c r="G137" s="56"/>
      <c r="H137" s="56"/>
      <c r="I137" s="56"/>
      <c r="J137" s="56"/>
      <c r="K137" s="59"/>
      <c r="L137" s="59"/>
      <c r="M137" s="59"/>
      <c r="N137" s="59"/>
      <c r="O137" s="59"/>
      <c r="P137" s="59"/>
      <c r="Q137" s="59"/>
      <c r="R137" s="59"/>
      <c r="S137" s="59"/>
      <c r="T137" s="59"/>
      <c r="U137" s="59"/>
      <c r="V137" s="59"/>
      <c r="W137" s="59"/>
      <c r="X137" s="59"/>
      <c r="Y137" s="59"/>
      <c r="Z137" s="59"/>
      <c r="AA137" s="59"/>
      <c r="AB137" s="59"/>
    </row>
    <row r="138" customFormat="false" ht="15.75" hidden="false" customHeight="false" outlineLevel="0" collapsed="false">
      <c r="A138" s="71"/>
      <c r="B138" s="71"/>
      <c r="C138" s="6" t="s">
        <v>19</v>
      </c>
      <c r="D138" s="49"/>
      <c r="E138" s="73" t="n">
        <f aca="false">IFERROR(__xludf.dummyfunction("COUNTA(SPLIT(D138,"" ""))/COUNTA(SPLIT($B$47,"" ""))"),0.00476190476190476)</f>
        <v>0.004761904762</v>
      </c>
      <c r="F138" s="6"/>
      <c r="G138" s="6"/>
      <c r="H138" s="6"/>
      <c r="I138" s="6"/>
      <c r="J138" s="6"/>
      <c r="K138" s="51"/>
      <c r="L138" s="51"/>
      <c r="M138" s="51"/>
      <c r="N138" s="51"/>
      <c r="O138" s="51"/>
      <c r="P138" s="51"/>
      <c r="Q138" s="51"/>
      <c r="R138" s="51"/>
      <c r="S138" s="51"/>
      <c r="T138" s="51"/>
      <c r="U138" s="51"/>
      <c r="V138" s="51"/>
      <c r="W138" s="51"/>
      <c r="X138" s="51"/>
      <c r="Y138" s="51"/>
      <c r="Z138" s="51"/>
      <c r="AA138" s="51"/>
      <c r="AB138" s="51"/>
    </row>
    <row r="139" customFormat="false" ht="15.75" hidden="false" customHeight="false" outlineLevel="0" collapsed="false">
      <c r="A139" s="71"/>
      <c r="B139" s="71"/>
      <c r="C139" s="6" t="s">
        <v>8</v>
      </c>
      <c r="D139" s="49"/>
      <c r="E139" s="74" t="n">
        <f aca="false">IFERROR(__xludf.dummyfunction("COUNTA(SPLIT(D139,"" ""))/COUNTA(SPLIT($B$47,"" ""))"),0.00476190476190476)</f>
        <v>0.004761904762</v>
      </c>
      <c r="F139" s="6"/>
      <c r="G139" s="6"/>
      <c r="H139" s="6"/>
      <c r="I139" s="6"/>
      <c r="J139" s="6"/>
      <c r="K139" s="51"/>
      <c r="L139" s="51"/>
      <c r="M139" s="51"/>
      <c r="N139" s="51"/>
      <c r="O139" s="51"/>
      <c r="P139" s="51"/>
      <c r="Q139" s="51"/>
      <c r="R139" s="51"/>
      <c r="S139" s="51"/>
      <c r="T139" s="51"/>
      <c r="U139" s="51"/>
      <c r="V139" s="51"/>
      <c r="W139" s="51"/>
      <c r="X139" s="51"/>
      <c r="Y139" s="51"/>
      <c r="Z139" s="51"/>
      <c r="AA139" s="51"/>
      <c r="AB139" s="51"/>
    </row>
    <row r="140" customFormat="false" ht="15.75" hidden="false" customHeight="false" outlineLevel="0" collapsed="false">
      <c r="A140" s="71"/>
      <c r="B140" s="71"/>
      <c r="C140" s="6" t="s">
        <v>20</v>
      </c>
      <c r="D140" s="49"/>
      <c r="E140" s="75" t="n">
        <f aca="false">IFERROR(__xludf.dummyfunction("COUNTA(SPLIT(D140,"" ""))/COUNTA(SPLIT($B$47,"" ""))"),0.00476190476190476)</f>
        <v>0.004761904762</v>
      </c>
      <c r="F140" s="6"/>
      <c r="G140" s="6"/>
      <c r="H140" s="6"/>
      <c r="I140" s="6"/>
      <c r="J140" s="6"/>
      <c r="K140" s="51"/>
      <c r="L140" s="51"/>
      <c r="M140" s="51"/>
      <c r="N140" s="51"/>
      <c r="O140" s="51"/>
      <c r="P140" s="51"/>
      <c r="Q140" s="51"/>
      <c r="R140" s="51"/>
      <c r="S140" s="51"/>
      <c r="T140" s="51"/>
      <c r="U140" s="51"/>
      <c r="V140" s="51"/>
      <c r="W140" s="51"/>
      <c r="X140" s="51"/>
      <c r="Y140" s="51"/>
      <c r="Z140" s="51"/>
      <c r="AA140" s="51"/>
      <c r="AB140" s="51"/>
    </row>
    <row r="141" customFormat="false" ht="15.75" hidden="false" customHeight="false" outlineLevel="0" collapsed="false">
      <c r="A141" s="51"/>
      <c r="B141" s="51"/>
      <c r="C141" s="6"/>
      <c r="D141" s="49"/>
      <c r="E141" s="51"/>
      <c r="F141" s="6"/>
      <c r="G141" s="6"/>
      <c r="H141" s="6"/>
      <c r="I141" s="6"/>
      <c r="J141" s="6"/>
      <c r="K141" s="51"/>
      <c r="L141" s="51"/>
      <c r="M141" s="51"/>
      <c r="N141" s="51"/>
      <c r="O141" s="51"/>
      <c r="P141" s="51"/>
      <c r="Q141" s="51"/>
      <c r="R141" s="51"/>
      <c r="S141" s="51"/>
      <c r="T141" s="51"/>
      <c r="U141" s="51"/>
      <c r="V141" s="51"/>
      <c r="W141" s="51"/>
      <c r="X141" s="51"/>
      <c r="Y141" s="51"/>
      <c r="Z141" s="51"/>
      <c r="AA141" s="51"/>
      <c r="AB141" s="51"/>
    </row>
    <row r="142" customFormat="false" ht="15.75" hidden="false" customHeight="false" outlineLevel="0" collapsed="false">
      <c r="A142" s="71"/>
      <c r="B142" s="55"/>
      <c r="C142" s="56" t="s">
        <v>18</v>
      </c>
      <c r="D142" s="57"/>
      <c r="E142" s="72" t="n">
        <f aca="false">IFERROR(__xludf.dummyfunction("COUNTA(SPLIT(D142,"" ""))/COUNTA(SPLIT($B$47,"" ""))"),0.00476190476190476)</f>
        <v>0.004761904762</v>
      </c>
      <c r="F142" s="56"/>
      <c r="G142" s="56"/>
      <c r="H142" s="56"/>
      <c r="I142" s="56"/>
      <c r="J142" s="56"/>
      <c r="K142" s="59"/>
      <c r="L142" s="59"/>
      <c r="M142" s="59"/>
      <c r="N142" s="59"/>
      <c r="O142" s="59"/>
      <c r="P142" s="59"/>
      <c r="Q142" s="59"/>
      <c r="R142" s="59"/>
      <c r="S142" s="59"/>
      <c r="T142" s="59"/>
      <c r="U142" s="59"/>
      <c r="V142" s="59"/>
      <c r="W142" s="59"/>
      <c r="X142" s="59"/>
      <c r="Y142" s="59"/>
      <c r="Z142" s="59"/>
      <c r="AA142" s="59"/>
      <c r="AB142" s="59"/>
    </row>
    <row r="143" customFormat="false" ht="15.75" hidden="false" customHeight="false" outlineLevel="0" collapsed="false">
      <c r="A143" s="71"/>
      <c r="B143" s="71"/>
      <c r="C143" s="6" t="s">
        <v>19</v>
      </c>
      <c r="D143" s="49"/>
      <c r="E143" s="73" t="n">
        <f aca="false">IFERROR(__xludf.dummyfunction("COUNTA(SPLIT(D143,"" ""))/COUNTA(SPLIT($B$47,"" ""))"),0.00476190476190476)</f>
        <v>0.004761904762</v>
      </c>
      <c r="F143" s="6"/>
      <c r="G143" s="6"/>
      <c r="H143" s="6"/>
      <c r="I143" s="6"/>
      <c r="J143" s="6"/>
      <c r="K143" s="51"/>
      <c r="L143" s="51"/>
      <c r="M143" s="51"/>
      <c r="N143" s="51"/>
      <c r="O143" s="51"/>
      <c r="P143" s="51"/>
      <c r="Q143" s="51"/>
      <c r="R143" s="51"/>
      <c r="S143" s="51"/>
      <c r="T143" s="51"/>
      <c r="U143" s="51"/>
      <c r="V143" s="51"/>
      <c r="W143" s="51"/>
      <c r="X143" s="51"/>
      <c r="Y143" s="51"/>
      <c r="Z143" s="51"/>
      <c r="AA143" s="51"/>
      <c r="AB143" s="51"/>
    </row>
    <row r="144" customFormat="false" ht="15.75" hidden="false" customHeight="false" outlineLevel="0" collapsed="false">
      <c r="A144" s="71"/>
      <c r="B144" s="71"/>
      <c r="C144" s="6" t="s">
        <v>8</v>
      </c>
      <c r="D144" s="49"/>
      <c r="E144" s="74" t="n">
        <f aca="false">IFERROR(__xludf.dummyfunction("COUNTA(SPLIT(D144,"" ""))/COUNTA(SPLIT($B$47,"" ""))"),0.00476190476190476)</f>
        <v>0.004761904762</v>
      </c>
      <c r="F144" s="6"/>
      <c r="G144" s="6"/>
      <c r="H144" s="6"/>
      <c r="I144" s="6"/>
      <c r="J144" s="6"/>
      <c r="K144" s="51"/>
      <c r="L144" s="51"/>
      <c r="M144" s="51"/>
      <c r="N144" s="51"/>
      <c r="O144" s="51"/>
      <c r="P144" s="51"/>
      <c r="Q144" s="51"/>
      <c r="R144" s="51"/>
      <c r="S144" s="51"/>
      <c r="T144" s="51"/>
      <c r="U144" s="51"/>
      <c r="V144" s="51"/>
      <c r="W144" s="51"/>
      <c r="X144" s="51"/>
      <c r="Y144" s="51"/>
      <c r="Z144" s="51"/>
      <c r="AA144" s="51"/>
      <c r="AB144" s="51"/>
    </row>
    <row r="145" customFormat="false" ht="15.75" hidden="false" customHeight="false" outlineLevel="0" collapsed="false">
      <c r="A145" s="71"/>
      <c r="B145" s="71"/>
      <c r="C145" s="6" t="s">
        <v>20</v>
      </c>
      <c r="D145" s="49"/>
      <c r="E145" s="75" t="n">
        <f aca="false">IFERROR(__xludf.dummyfunction("COUNTA(SPLIT(D145,"" ""))/COUNTA(SPLIT($B$47,"" ""))"),0.00476190476190476)</f>
        <v>0.004761904762</v>
      </c>
      <c r="F145" s="6"/>
      <c r="G145" s="6"/>
      <c r="H145" s="6"/>
      <c r="I145" s="6"/>
      <c r="J145" s="6"/>
      <c r="K145" s="51"/>
      <c r="L145" s="51"/>
      <c r="M145" s="51"/>
      <c r="N145" s="51"/>
      <c r="O145" s="51"/>
      <c r="P145" s="51"/>
      <c r="Q145" s="51"/>
      <c r="R145" s="51"/>
      <c r="S145" s="51"/>
      <c r="T145" s="51"/>
      <c r="U145" s="51"/>
      <c r="V145" s="51"/>
      <c r="W145" s="51"/>
      <c r="X145" s="51"/>
      <c r="Y145" s="51"/>
      <c r="Z145" s="51"/>
      <c r="AA145" s="51"/>
      <c r="AB145" s="51"/>
    </row>
    <row r="146" customFormat="false" ht="15.75" hidden="false" customHeight="false" outlineLevel="0" collapsed="false">
      <c r="A146" s="51"/>
      <c r="B146" s="51"/>
      <c r="C146" s="6"/>
      <c r="D146" s="49"/>
      <c r="E146" s="51"/>
      <c r="F146" s="6"/>
      <c r="G146" s="6"/>
      <c r="H146" s="6"/>
      <c r="I146" s="6"/>
      <c r="J146" s="6"/>
      <c r="K146" s="51"/>
      <c r="L146" s="51"/>
      <c r="M146" s="51"/>
      <c r="N146" s="51"/>
      <c r="O146" s="51"/>
      <c r="P146" s="51"/>
      <c r="Q146" s="51"/>
      <c r="R146" s="51"/>
      <c r="S146" s="51"/>
      <c r="T146" s="51"/>
      <c r="U146" s="51"/>
      <c r="V146" s="51"/>
      <c r="W146" s="51"/>
      <c r="X146" s="51"/>
      <c r="Y146" s="51"/>
      <c r="Z146" s="51"/>
      <c r="AA146" s="51"/>
      <c r="AB146" s="51"/>
    </row>
    <row r="147" customFormat="false" ht="15.75" hidden="false" customHeight="false" outlineLevel="0" collapsed="false">
      <c r="A147" s="71"/>
      <c r="B147" s="55"/>
      <c r="C147" s="56" t="s">
        <v>18</v>
      </c>
      <c r="D147" s="57"/>
      <c r="E147" s="72" t="n">
        <f aca="false">IFERROR(__xludf.dummyfunction("COUNTA(SPLIT(D147,"" ""))/COUNTA(SPLIT($B$47,"" ""))"),0.00476190476190476)</f>
        <v>0.004761904762</v>
      </c>
      <c r="F147" s="56"/>
      <c r="G147" s="56"/>
      <c r="H147" s="56"/>
      <c r="I147" s="56"/>
      <c r="J147" s="56"/>
      <c r="K147" s="59"/>
      <c r="L147" s="59"/>
      <c r="M147" s="59"/>
      <c r="N147" s="59"/>
      <c r="O147" s="59"/>
      <c r="P147" s="59"/>
      <c r="Q147" s="59"/>
      <c r="R147" s="59"/>
      <c r="S147" s="59"/>
      <c r="T147" s="59"/>
      <c r="U147" s="59"/>
      <c r="V147" s="59"/>
      <c r="W147" s="59"/>
      <c r="X147" s="59"/>
      <c r="Y147" s="59"/>
      <c r="Z147" s="59"/>
      <c r="AA147" s="59"/>
      <c r="AB147" s="59"/>
    </row>
    <row r="148" customFormat="false" ht="15.75" hidden="false" customHeight="false" outlineLevel="0" collapsed="false">
      <c r="A148" s="71"/>
      <c r="B148" s="71"/>
      <c r="C148" s="6" t="s">
        <v>19</v>
      </c>
      <c r="D148" s="49"/>
      <c r="E148" s="73" t="n">
        <f aca="false">IFERROR(__xludf.dummyfunction("COUNTA(SPLIT(D148,"" ""))/COUNTA(SPLIT($B$47,"" ""))"),0.00476190476190476)</f>
        <v>0.004761904762</v>
      </c>
      <c r="F148" s="6"/>
      <c r="G148" s="6"/>
      <c r="H148" s="6"/>
      <c r="I148" s="6"/>
      <c r="J148" s="6"/>
      <c r="K148" s="51"/>
      <c r="L148" s="51"/>
      <c r="M148" s="51"/>
      <c r="N148" s="51"/>
      <c r="O148" s="51"/>
      <c r="P148" s="51"/>
      <c r="Q148" s="51"/>
      <c r="R148" s="51"/>
      <c r="S148" s="51"/>
      <c r="T148" s="51"/>
      <c r="U148" s="51"/>
      <c r="V148" s="51"/>
      <c r="W148" s="51"/>
      <c r="X148" s="51"/>
      <c r="Y148" s="51"/>
      <c r="Z148" s="51"/>
      <c r="AA148" s="51"/>
      <c r="AB148" s="51"/>
    </row>
    <row r="149" customFormat="false" ht="15.75" hidden="false" customHeight="false" outlineLevel="0" collapsed="false">
      <c r="A149" s="71"/>
      <c r="B149" s="71"/>
      <c r="C149" s="6" t="s">
        <v>8</v>
      </c>
      <c r="D149" s="49"/>
      <c r="E149" s="74" t="n">
        <f aca="false">IFERROR(__xludf.dummyfunction("COUNTA(SPLIT(D149,"" ""))/COUNTA(SPLIT($B$47,"" ""))"),0.00476190476190476)</f>
        <v>0.004761904762</v>
      </c>
      <c r="F149" s="6"/>
      <c r="G149" s="6"/>
      <c r="H149" s="6"/>
      <c r="I149" s="6"/>
      <c r="J149" s="6"/>
      <c r="K149" s="51"/>
      <c r="L149" s="51"/>
      <c r="M149" s="51"/>
      <c r="N149" s="51"/>
      <c r="O149" s="51"/>
      <c r="P149" s="51"/>
      <c r="Q149" s="51"/>
      <c r="R149" s="51"/>
      <c r="S149" s="51"/>
      <c r="T149" s="51"/>
      <c r="U149" s="51"/>
      <c r="V149" s="51"/>
      <c r="W149" s="51"/>
      <c r="X149" s="51"/>
      <c r="Y149" s="51"/>
      <c r="Z149" s="51"/>
      <c r="AA149" s="51"/>
      <c r="AB149" s="51"/>
    </row>
    <row r="150" customFormat="false" ht="15.75" hidden="false" customHeight="false" outlineLevel="0" collapsed="false">
      <c r="A150" s="71"/>
      <c r="B150" s="71"/>
      <c r="C150" s="6" t="s">
        <v>20</v>
      </c>
      <c r="D150" s="49"/>
      <c r="E150" s="75" t="n">
        <f aca="false">IFERROR(__xludf.dummyfunction("COUNTA(SPLIT(D150,"" ""))/COUNTA(SPLIT($B$47,"" ""))"),0.00476190476190476)</f>
        <v>0.004761904762</v>
      </c>
      <c r="F150" s="6"/>
      <c r="G150" s="6"/>
      <c r="H150" s="6"/>
      <c r="I150" s="6"/>
      <c r="J150" s="6"/>
      <c r="K150" s="51"/>
      <c r="L150" s="51"/>
      <c r="M150" s="51"/>
      <c r="N150" s="51"/>
      <c r="O150" s="51"/>
      <c r="P150" s="51"/>
      <c r="Q150" s="51"/>
      <c r="R150" s="51"/>
      <c r="S150" s="51"/>
      <c r="T150" s="51"/>
      <c r="U150" s="51"/>
      <c r="V150" s="51"/>
      <c r="W150" s="51"/>
      <c r="X150" s="51"/>
      <c r="Y150" s="51"/>
      <c r="Z150" s="51"/>
      <c r="AA150" s="51"/>
      <c r="AB150" s="51"/>
    </row>
    <row r="151" customFormat="false" ht="15.75" hidden="false" customHeight="false" outlineLevel="0" collapsed="false">
      <c r="A151" s="51"/>
      <c r="B151" s="51"/>
      <c r="C151" s="6"/>
      <c r="D151" s="49"/>
      <c r="E151" s="51"/>
      <c r="F151" s="6"/>
      <c r="G151" s="6"/>
      <c r="H151" s="6"/>
      <c r="I151" s="6"/>
      <c r="J151" s="6"/>
      <c r="K151" s="51"/>
      <c r="L151" s="51"/>
      <c r="M151" s="51"/>
      <c r="N151" s="51"/>
      <c r="O151" s="51"/>
      <c r="P151" s="51"/>
      <c r="Q151" s="51"/>
      <c r="R151" s="51"/>
      <c r="S151" s="51"/>
      <c r="T151" s="51"/>
      <c r="U151" s="51"/>
      <c r="V151" s="51"/>
      <c r="W151" s="51"/>
      <c r="X151" s="51"/>
      <c r="Y151" s="51"/>
      <c r="Z151" s="51"/>
      <c r="AA151" s="51"/>
      <c r="AB151" s="51"/>
    </row>
    <row r="152" customFormat="false" ht="15.75" hidden="false" customHeight="false" outlineLevel="0" collapsed="false">
      <c r="A152" s="71"/>
      <c r="B152" s="55"/>
      <c r="C152" s="56" t="s">
        <v>18</v>
      </c>
      <c r="D152" s="57"/>
      <c r="E152" s="72" t="n">
        <f aca="false">IFERROR(__xludf.dummyfunction("COUNTA(SPLIT(D152,"" ""))/COUNTA(SPLIT($B$47,"" ""))"),0.00476190476190476)</f>
        <v>0.004761904762</v>
      </c>
      <c r="F152" s="56"/>
      <c r="G152" s="56"/>
      <c r="H152" s="56"/>
      <c r="I152" s="56"/>
      <c r="J152" s="56"/>
      <c r="K152" s="59"/>
      <c r="L152" s="59"/>
      <c r="M152" s="59"/>
      <c r="N152" s="59"/>
      <c r="O152" s="59"/>
      <c r="P152" s="59"/>
      <c r="Q152" s="59"/>
      <c r="R152" s="59"/>
      <c r="S152" s="59"/>
      <c r="T152" s="59"/>
      <c r="U152" s="59"/>
      <c r="V152" s="59"/>
      <c r="W152" s="59"/>
      <c r="X152" s="59"/>
      <c r="Y152" s="59"/>
      <c r="Z152" s="59"/>
      <c r="AA152" s="59"/>
      <c r="AB152" s="59"/>
    </row>
    <row r="153" customFormat="false" ht="15.75" hidden="false" customHeight="false" outlineLevel="0" collapsed="false">
      <c r="A153" s="71"/>
      <c r="B153" s="71"/>
      <c r="C153" s="6" t="s">
        <v>19</v>
      </c>
      <c r="D153" s="49"/>
      <c r="E153" s="73" t="n">
        <f aca="false">IFERROR(__xludf.dummyfunction("COUNTA(SPLIT(D153,"" ""))/COUNTA(SPLIT($B$47,"" ""))"),0.00476190476190476)</f>
        <v>0.004761904762</v>
      </c>
      <c r="F153" s="6"/>
      <c r="G153" s="6"/>
      <c r="H153" s="6"/>
      <c r="I153" s="6"/>
      <c r="J153" s="6"/>
      <c r="K153" s="51"/>
      <c r="L153" s="51"/>
      <c r="M153" s="51"/>
      <c r="N153" s="51"/>
      <c r="O153" s="51"/>
      <c r="P153" s="51"/>
      <c r="Q153" s="51"/>
      <c r="R153" s="51"/>
      <c r="S153" s="51"/>
      <c r="T153" s="51"/>
      <c r="U153" s="51"/>
      <c r="V153" s="51"/>
      <c r="W153" s="51"/>
      <c r="X153" s="51"/>
      <c r="Y153" s="51"/>
      <c r="Z153" s="51"/>
      <c r="AA153" s="51"/>
      <c r="AB153" s="51"/>
    </row>
    <row r="154" customFormat="false" ht="15.75" hidden="false" customHeight="false" outlineLevel="0" collapsed="false">
      <c r="A154" s="71"/>
      <c r="B154" s="71"/>
      <c r="C154" s="6" t="s">
        <v>8</v>
      </c>
      <c r="D154" s="49"/>
      <c r="E154" s="74" t="n">
        <f aca="false">IFERROR(__xludf.dummyfunction("COUNTA(SPLIT(D154,"" ""))/COUNTA(SPLIT($B$47,"" ""))"),0.00476190476190476)</f>
        <v>0.004761904762</v>
      </c>
      <c r="F154" s="6"/>
      <c r="G154" s="6"/>
      <c r="H154" s="6"/>
      <c r="I154" s="6"/>
      <c r="J154" s="6"/>
      <c r="K154" s="51"/>
      <c r="L154" s="51"/>
      <c r="M154" s="51"/>
      <c r="N154" s="51"/>
      <c r="O154" s="51"/>
      <c r="P154" s="51"/>
      <c r="Q154" s="51"/>
      <c r="R154" s="51"/>
      <c r="S154" s="51"/>
      <c r="T154" s="51"/>
      <c r="U154" s="51"/>
      <c r="V154" s="51"/>
      <c r="W154" s="51"/>
      <c r="X154" s="51"/>
      <c r="Y154" s="51"/>
      <c r="Z154" s="51"/>
      <c r="AA154" s="51"/>
      <c r="AB154" s="51"/>
    </row>
    <row r="155" customFormat="false" ht="15.75" hidden="false" customHeight="false" outlineLevel="0" collapsed="false">
      <c r="A155" s="71"/>
      <c r="B155" s="71"/>
      <c r="C155" s="6" t="s">
        <v>20</v>
      </c>
      <c r="D155" s="49"/>
      <c r="E155" s="75" t="n">
        <f aca="false">IFERROR(__xludf.dummyfunction("COUNTA(SPLIT(D155,"" ""))/COUNTA(SPLIT($B$47,"" ""))"),0.00476190476190476)</f>
        <v>0.004761904762</v>
      </c>
      <c r="F155" s="6"/>
      <c r="G155" s="6"/>
      <c r="H155" s="6"/>
      <c r="I155" s="6"/>
      <c r="J155" s="6"/>
      <c r="K155" s="51"/>
      <c r="L155" s="51"/>
      <c r="M155" s="51"/>
      <c r="N155" s="51"/>
      <c r="O155" s="51"/>
      <c r="P155" s="51"/>
      <c r="Q155" s="51"/>
      <c r="R155" s="51"/>
      <c r="S155" s="51"/>
      <c r="T155" s="51"/>
      <c r="U155" s="51"/>
      <c r="V155" s="51"/>
      <c r="W155" s="51"/>
      <c r="X155" s="51"/>
      <c r="Y155" s="51"/>
      <c r="Z155" s="51"/>
      <c r="AA155" s="51"/>
      <c r="AB155" s="51"/>
    </row>
    <row r="156" customFormat="false" ht="15.75" hidden="false" customHeight="false" outlineLevel="0" collapsed="false">
      <c r="A156" s="51"/>
      <c r="B156" s="51"/>
      <c r="C156" s="6"/>
      <c r="D156" s="49"/>
      <c r="E156" s="51"/>
      <c r="F156" s="6"/>
      <c r="G156" s="6"/>
      <c r="H156" s="6"/>
      <c r="I156" s="6"/>
      <c r="J156" s="6"/>
      <c r="K156" s="51"/>
      <c r="L156" s="51"/>
      <c r="M156" s="51"/>
      <c r="N156" s="51"/>
      <c r="O156" s="51"/>
      <c r="P156" s="51"/>
      <c r="Q156" s="51"/>
      <c r="R156" s="51"/>
      <c r="S156" s="51"/>
      <c r="T156" s="51"/>
      <c r="U156" s="51"/>
      <c r="V156" s="51"/>
      <c r="W156" s="51"/>
      <c r="X156" s="51"/>
      <c r="Y156" s="51"/>
      <c r="Z156" s="51"/>
      <c r="AA156" s="51"/>
      <c r="AB156" s="51"/>
    </row>
    <row r="157" customFormat="false" ht="15.75" hidden="false" customHeight="false" outlineLevel="0" collapsed="false">
      <c r="A157" s="71"/>
      <c r="B157" s="55"/>
      <c r="C157" s="56" t="s">
        <v>18</v>
      </c>
      <c r="D157" s="57"/>
      <c r="E157" s="72" t="n">
        <f aca="false">IFERROR(__xludf.dummyfunction("COUNTA(SPLIT(D157,"" ""))/COUNTA(SPLIT($B$47,"" ""))"),0.00476190476190476)</f>
        <v>0.004761904762</v>
      </c>
      <c r="F157" s="56"/>
      <c r="G157" s="56"/>
      <c r="H157" s="56"/>
      <c r="I157" s="56"/>
      <c r="J157" s="56"/>
      <c r="K157" s="59"/>
      <c r="L157" s="59"/>
      <c r="M157" s="59"/>
      <c r="N157" s="59"/>
      <c r="O157" s="59"/>
      <c r="P157" s="59"/>
      <c r="Q157" s="59"/>
      <c r="R157" s="59"/>
      <c r="S157" s="59"/>
      <c r="T157" s="59"/>
      <c r="U157" s="59"/>
      <c r="V157" s="59"/>
      <c r="W157" s="59"/>
      <c r="X157" s="59"/>
      <c r="Y157" s="59"/>
      <c r="Z157" s="59"/>
      <c r="AA157" s="59"/>
      <c r="AB157" s="59"/>
    </row>
    <row r="158" customFormat="false" ht="15.75" hidden="false" customHeight="false" outlineLevel="0" collapsed="false">
      <c r="A158" s="71"/>
      <c r="B158" s="71"/>
      <c r="C158" s="6" t="s">
        <v>19</v>
      </c>
      <c r="D158" s="49"/>
      <c r="E158" s="73" t="n">
        <f aca="false">IFERROR(__xludf.dummyfunction("COUNTA(SPLIT(D158,"" ""))/COUNTA(SPLIT($B$47,"" ""))"),0.00476190476190476)</f>
        <v>0.004761904762</v>
      </c>
      <c r="F158" s="6"/>
      <c r="G158" s="6"/>
      <c r="H158" s="6"/>
      <c r="I158" s="6"/>
      <c r="J158" s="6"/>
      <c r="K158" s="51"/>
      <c r="L158" s="51"/>
      <c r="M158" s="51"/>
      <c r="N158" s="51"/>
      <c r="O158" s="51"/>
      <c r="P158" s="51"/>
      <c r="Q158" s="51"/>
      <c r="R158" s="51"/>
      <c r="S158" s="51"/>
      <c r="T158" s="51"/>
      <c r="U158" s="51"/>
      <c r="V158" s="51"/>
      <c r="W158" s="51"/>
      <c r="X158" s="51"/>
      <c r="Y158" s="51"/>
      <c r="Z158" s="51"/>
      <c r="AA158" s="51"/>
      <c r="AB158" s="51"/>
    </row>
    <row r="159" customFormat="false" ht="15.75" hidden="false" customHeight="false" outlineLevel="0" collapsed="false">
      <c r="A159" s="71"/>
      <c r="B159" s="71"/>
      <c r="C159" s="6" t="s">
        <v>8</v>
      </c>
      <c r="D159" s="49"/>
      <c r="E159" s="74" t="n">
        <f aca="false">IFERROR(__xludf.dummyfunction("COUNTA(SPLIT(D159,"" ""))/COUNTA(SPLIT($B$47,"" ""))"),0.00476190476190476)</f>
        <v>0.004761904762</v>
      </c>
      <c r="F159" s="6"/>
      <c r="G159" s="6"/>
      <c r="H159" s="6"/>
      <c r="I159" s="6"/>
      <c r="J159" s="6"/>
      <c r="K159" s="51"/>
      <c r="L159" s="51"/>
      <c r="M159" s="51"/>
      <c r="N159" s="51"/>
      <c r="O159" s="51"/>
      <c r="P159" s="51"/>
      <c r="Q159" s="51"/>
      <c r="R159" s="51"/>
      <c r="S159" s="51"/>
      <c r="T159" s="51"/>
      <c r="U159" s="51"/>
      <c r="V159" s="51"/>
      <c r="W159" s="51"/>
      <c r="X159" s="51"/>
      <c r="Y159" s="51"/>
      <c r="Z159" s="51"/>
      <c r="AA159" s="51"/>
      <c r="AB159" s="51"/>
    </row>
    <row r="160" customFormat="false" ht="15.75" hidden="false" customHeight="false" outlineLevel="0" collapsed="false">
      <c r="A160" s="71"/>
      <c r="B160" s="71"/>
      <c r="C160" s="6" t="s">
        <v>20</v>
      </c>
      <c r="D160" s="49"/>
      <c r="E160" s="75" t="n">
        <f aca="false">IFERROR(__xludf.dummyfunction("COUNTA(SPLIT(D160,"" ""))/COUNTA(SPLIT($B$47,"" ""))"),0.00476190476190476)</f>
        <v>0.004761904762</v>
      </c>
      <c r="F160" s="6"/>
      <c r="G160" s="6"/>
      <c r="H160" s="6"/>
      <c r="I160" s="6"/>
      <c r="J160" s="6"/>
      <c r="K160" s="51"/>
      <c r="L160" s="51"/>
      <c r="M160" s="51"/>
      <c r="N160" s="51"/>
      <c r="O160" s="51"/>
      <c r="P160" s="51"/>
      <c r="Q160" s="51"/>
      <c r="R160" s="51"/>
      <c r="S160" s="51"/>
      <c r="T160" s="51"/>
      <c r="U160" s="51"/>
      <c r="V160" s="51"/>
      <c r="W160" s="51"/>
      <c r="X160" s="51"/>
      <c r="Y160" s="51"/>
      <c r="Z160" s="51"/>
      <c r="AA160" s="51"/>
      <c r="AB160" s="51"/>
    </row>
    <row r="161" customFormat="false" ht="15.75" hidden="false" customHeight="false" outlineLevel="0" collapsed="false">
      <c r="A161" s="51"/>
      <c r="B161" s="51"/>
      <c r="C161" s="6"/>
      <c r="D161" s="49"/>
      <c r="E161" s="51"/>
      <c r="F161" s="6"/>
      <c r="G161" s="6"/>
      <c r="H161" s="6"/>
      <c r="I161" s="6"/>
      <c r="J161" s="6"/>
      <c r="K161" s="51"/>
      <c r="L161" s="51"/>
      <c r="M161" s="51"/>
      <c r="N161" s="51"/>
      <c r="O161" s="51"/>
      <c r="P161" s="51"/>
      <c r="Q161" s="51"/>
      <c r="R161" s="51"/>
      <c r="S161" s="51"/>
      <c r="T161" s="51"/>
      <c r="U161" s="51"/>
      <c r="V161" s="51"/>
      <c r="W161" s="51"/>
      <c r="X161" s="51"/>
      <c r="Y161" s="51"/>
      <c r="Z161" s="51"/>
      <c r="AA161" s="51"/>
      <c r="AB161" s="51"/>
    </row>
    <row r="162" customFormat="false" ht="15.75" hidden="false" customHeight="false" outlineLevel="0" collapsed="false">
      <c r="A162" s="71"/>
      <c r="B162" s="55"/>
      <c r="C162" s="56" t="s">
        <v>18</v>
      </c>
      <c r="D162" s="57"/>
      <c r="E162" s="72" t="n">
        <f aca="false">IFERROR(__xludf.dummyfunction("COUNTA(SPLIT(D162,"" ""))/COUNTA(SPLIT($B$47,"" ""))"),0.00476190476190476)</f>
        <v>0.004761904762</v>
      </c>
      <c r="F162" s="56"/>
      <c r="G162" s="56"/>
      <c r="H162" s="56"/>
      <c r="I162" s="56"/>
      <c r="J162" s="56"/>
      <c r="K162" s="59"/>
      <c r="L162" s="59"/>
      <c r="M162" s="59"/>
      <c r="N162" s="59"/>
      <c r="O162" s="59"/>
      <c r="P162" s="59"/>
      <c r="Q162" s="59"/>
      <c r="R162" s="59"/>
      <c r="S162" s="59"/>
      <c r="T162" s="59"/>
      <c r="U162" s="59"/>
      <c r="V162" s="59"/>
      <c r="W162" s="59"/>
      <c r="X162" s="59"/>
      <c r="Y162" s="59"/>
      <c r="Z162" s="59"/>
      <c r="AA162" s="59"/>
      <c r="AB162" s="59"/>
    </row>
    <row r="163" customFormat="false" ht="15.75" hidden="false" customHeight="false" outlineLevel="0" collapsed="false">
      <c r="A163" s="71"/>
      <c r="B163" s="71"/>
      <c r="C163" s="6" t="s">
        <v>19</v>
      </c>
      <c r="D163" s="49"/>
      <c r="E163" s="73" t="n">
        <f aca="false">IFERROR(__xludf.dummyfunction("COUNTA(SPLIT(D163,"" ""))/COUNTA(SPLIT($B$47,"" ""))"),0.00476190476190476)</f>
        <v>0.004761904762</v>
      </c>
      <c r="F163" s="6"/>
      <c r="G163" s="6"/>
      <c r="H163" s="6"/>
      <c r="I163" s="6"/>
      <c r="J163" s="6"/>
      <c r="K163" s="51"/>
      <c r="L163" s="51"/>
      <c r="M163" s="51"/>
      <c r="N163" s="51"/>
      <c r="O163" s="51"/>
      <c r="P163" s="51"/>
      <c r="Q163" s="51"/>
      <c r="R163" s="51"/>
      <c r="S163" s="51"/>
      <c r="T163" s="51"/>
      <c r="U163" s="51"/>
      <c r="V163" s="51"/>
      <c r="W163" s="51"/>
      <c r="X163" s="51"/>
      <c r="Y163" s="51"/>
      <c r="Z163" s="51"/>
      <c r="AA163" s="51"/>
      <c r="AB163" s="51"/>
    </row>
    <row r="164" customFormat="false" ht="15.75" hidden="false" customHeight="false" outlineLevel="0" collapsed="false">
      <c r="A164" s="71"/>
      <c r="B164" s="71"/>
      <c r="C164" s="6" t="s">
        <v>8</v>
      </c>
      <c r="D164" s="49"/>
      <c r="E164" s="74" t="n">
        <f aca="false">IFERROR(__xludf.dummyfunction("COUNTA(SPLIT(D164,"" ""))/COUNTA(SPLIT($B$47,"" ""))"),0.00476190476190476)</f>
        <v>0.004761904762</v>
      </c>
      <c r="F164" s="6"/>
      <c r="G164" s="6"/>
      <c r="H164" s="6"/>
      <c r="I164" s="6"/>
      <c r="J164" s="6"/>
      <c r="K164" s="51"/>
      <c r="L164" s="51"/>
      <c r="M164" s="51"/>
      <c r="N164" s="51"/>
      <c r="O164" s="51"/>
      <c r="P164" s="51"/>
      <c r="Q164" s="51"/>
      <c r="R164" s="51"/>
      <c r="S164" s="51"/>
      <c r="T164" s="51"/>
      <c r="U164" s="51"/>
      <c r="V164" s="51"/>
      <c r="W164" s="51"/>
      <c r="X164" s="51"/>
      <c r="Y164" s="51"/>
      <c r="Z164" s="51"/>
      <c r="AA164" s="51"/>
      <c r="AB164" s="51"/>
    </row>
    <row r="165" customFormat="false" ht="15.75" hidden="false" customHeight="false" outlineLevel="0" collapsed="false">
      <c r="A165" s="71"/>
      <c r="B165" s="71"/>
      <c r="C165" s="6" t="s">
        <v>20</v>
      </c>
      <c r="D165" s="49"/>
      <c r="E165" s="75" t="n">
        <f aca="false">IFERROR(__xludf.dummyfunction("COUNTA(SPLIT(D165,"" ""))/COUNTA(SPLIT($B$47,"" ""))"),0.00476190476190476)</f>
        <v>0.004761904762</v>
      </c>
      <c r="F165" s="6"/>
      <c r="G165" s="6"/>
      <c r="H165" s="6"/>
      <c r="I165" s="6"/>
      <c r="J165" s="6"/>
      <c r="K165" s="51"/>
      <c r="L165" s="51"/>
      <c r="M165" s="51"/>
      <c r="N165" s="51"/>
      <c r="O165" s="51"/>
      <c r="P165" s="51"/>
      <c r="Q165" s="51"/>
      <c r="R165" s="51"/>
      <c r="S165" s="51"/>
      <c r="T165" s="51"/>
      <c r="U165" s="51"/>
      <c r="V165" s="51"/>
      <c r="W165" s="51"/>
      <c r="X165" s="51"/>
      <c r="Y165" s="51"/>
      <c r="Z165" s="51"/>
      <c r="AA165" s="51"/>
      <c r="AB165" s="51"/>
    </row>
    <row r="166" customFormat="false" ht="15.75" hidden="false" customHeight="false" outlineLevel="0" collapsed="false">
      <c r="A166" s="51"/>
      <c r="B166" s="51"/>
      <c r="C166" s="6"/>
      <c r="D166" s="49"/>
      <c r="E166" s="51"/>
      <c r="F166" s="6"/>
      <c r="G166" s="6"/>
      <c r="H166" s="6"/>
      <c r="I166" s="6"/>
      <c r="J166" s="6"/>
      <c r="K166" s="51"/>
      <c r="L166" s="51"/>
      <c r="M166" s="51"/>
      <c r="N166" s="51"/>
      <c r="O166" s="51"/>
      <c r="P166" s="51"/>
      <c r="Q166" s="51"/>
      <c r="R166" s="51"/>
      <c r="S166" s="51"/>
      <c r="T166" s="51"/>
      <c r="U166" s="51"/>
      <c r="V166" s="51"/>
      <c r="W166" s="51"/>
      <c r="X166" s="51"/>
      <c r="Y166" s="51"/>
      <c r="Z166" s="51"/>
      <c r="AA166" s="51"/>
      <c r="AB166" s="51"/>
    </row>
    <row r="167" customFormat="false" ht="15.75" hidden="false" customHeight="false" outlineLevel="0" collapsed="false">
      <c r="A167" s="51"/>
      <c r="B167" s="51"/>
      <c r="C167" s="6"/>
      <c r="D167" s="49"/>
      <c r="E167" s="51"/>
      <c r="F167" s="6"/>
      <c r="G167" s="6"/>
      <c r="H167" s="6"/>
      <c r="I167" s="6"/>
      <c r="J167" s="6"/>
      <c r="K167" s="51"/>
      <c r="L167" s="51"/>
      <c r="M167" s="51"/>
      <c r="N167" s="51"/>
      <c r="O167" s="51"/>
      <c r="P167" s="51"/>
      <c r="Q167" s="51"/>
      <c r="R167" s="51"/>
      <c r="S167" s="51"/>
      <c r="T167" s="51"/>
      <c r="U167" s="51"/>
      <c r="V167" s="51"/>
      <c r="W167" s="51"/>
      <c r="X167" s="51"/>
      <c r="Y167" s="51"/>
      <c r="Z167" s="51"/>
      <c r="AA167" s="51"/>
      <c r="AB167" s="51"/>
    </row>
    <row r="168" customFormat="false" ht="15.75" hidden="false" customHeight="false" outlineLevel="0" collapsed="false">
      <c r="A168" s="51"/>
      <c r="B168" s="51"/>
      <c r="C168" s="6"/>
      <c r="D168" s="49"/>
      <c r="E168" s="51"/>
      <c r="F168" s="6"/>
      <c r="G168" s="6"/>
      <c r="H168" s="6"/>
      <c r="I168" s="6"/>
      <c r="J168" s="6"/>
      <c r="K168" s="51"/>
      <c r="L168" s="51"/>
      <c r="M168" s="51"/>
      <c r="N168" s="51"/>
      <c r="O168" s="51"/>
      <c r="P168" s="51"/>
      <c r="Q168" s="51"/>
      <c r="R168" s="51"/>
      <c r="S168" s="51"/>
      <c r="T168" s="51"/>
      <c r="U168" s="51"/>
      <c r="V168" s="51"/>
      <c r="W168" s="51"/>
      <c r="X168" s="51"/>
      <c r="Y168" s="51"/>
      <c r="Z168" s="51"/>
      <c r="AA168" s="51"/>
      <c r="AB168" s="51"/>
    </row>
    <row r="169" customFormat="false" ht="15.75" hidden="false" customHeight="false" outlineLevel="0" collapsed="false">
      <c r="A169" s="51"/>
      <c r="B169" s="51"/>
      <c r="C169" s="6"/>
      <c r="D169" s="49"/>
      <c r="E169" s="51"/>
      <c r="F169" s="6"/>
      <c r="G169" s="6"/>
      <c r="H169" s="6"/>
      <c r="I169" s="6"/>
      <c r="J169" s="6"/>
      <c r="K169" s="51"/>
      <c r="L169" s="51"/>
      <c r="M169" s="51"/>
      <c r="N169" s="51"/>
      <c r="O169" s="51"/>
      <c r="P169" s="51"/>
      <c r="Q169" s="51"/>
      <c r="R169" s="51"/>
      <c r="S169" s="51"/>
      <c r="T169" s="51"/>
      <c r="U169" s="51"/>
      <c r="V169" s="51"/>
      <c r="W169" s="51"/>
      <c r="X169" s="51"/>
      <c r="Y169" s="51"/>
      <c r="Z169" s="51"/>
      <c r="AA169" s="51"/>
      <c r="AB169" s="51"/>
    </row>
    <row r="170" customFormat="false" ht="15.75" hidden="false" customHeight="false" outlineLevel="0" collapsed="false">
      <c r="A170" s="51"/>
      <c r="B170" s="51"/>
      <c r="C170" s="6"/>
      <c r="D170" s="49"/>
      <c r="E170" s="51"/>
      <c r="F170" s="6"/>
      <c r="G170" s="6"/>
      <c r="H170" s="6"/>
      <c r="I170" s="6"/>
      <c r="J170" s="6"/>
      <c r="K170" s="51"/>
      <c r="L170" s="51"/>
      <c r="M170" s="51"/>
      <c r="N170" s="51"/>
      <c r="O170" s="51"/>
      <c r="P170" s="51"/>
      <c r="Q170" s="51"/>
      <c r="R170" s="51"/>
      <c r="S170" s="51"/>
      <c r="T170" s="51"/>
      <c r="U170" s="51"/>
      <c r="V170" s="51"/>
      <c r="W170" s="51"/>
      <c r="X170" s="51"/>
      <c r="Y170" s="51"/>
      <c r="Z170" s="51"/>
      <c r="AA170" s="51"/>
      <c r="AB170" s="51"/>
    </row>
    <row r="171" customFormat="false" ht="15.75" hidden="false" customHeight="false" outlineLevel="0" collapsed="false">
      <c r="A171" s="51"/>
      <c r="B171" s="51"/>
      <c r="C171" s="6"/>
      <c r="D171" s="49"/>
      <c r="E171" s="51"/>
      <c r="F171" s="6"/>
      <c r="G171" s="6"/>
      <c r="H171" s="6"/>
      <c r="I171" s="6"/>
      <c r="J171" s="6"/>
      <c r="K171" s="51"/>
      <c r="L171" s="51"/>
      <c r="M171" s="51"/>
      <c r="N171" s="51"/>
      <c r="O171" s="51"/>
      <c r="P171" s="51"/>
      <c r="Q171" s="51"/>
      <c r="R171" s="51"/>
      <c r="S171" s="51"/>
      <c r="T171" s="51"/>
      <c r="U171" s="51"/>
      <c r="V171" s="51"/>
      <c r="W171" s="51"/>
      <c r="X171" s="51"/>
      <c r="Y171" s="51"/>
      <c r="Z171" s="51"/>
      <c r="AA171" s="51"/>
      <c r="AB171" s="51"/>
    </row>
    <row r="172" customFormat="false" ht="15.75" hidden="false" customHeight="false" outlineLevel="0" collapsed="false">
      <c r="A172" s="51"/>
      <c r="B172" s="51"/>
      <c r="C172" s="6"/>
      <c r="D172" s="49"/>
      <c r="E172" s="51"/>
      <c r="F172" s="6"/>
      <c r="G172" s="6"/>
      <c r="H172" s="6"/>
      <c r="I172" s="6"/>
      <c r="J172" s="6"/>
      <c r="K172" s="51"/>
      <c r="L172" s="51"/>
      <c r="M172" s="51"/>
      <c r="N172" s="51"/>
      <c r="O172" s="51"/>
      <c r="P172" s="51"/>
      <c r="Q172" s="51"/>
      <c r="R172" s="51"/>
      <c r="S172" s="51"/>
      <c r="T172" s="51"/>
      <c r="U172" s="51"/>
      <c r="V172" s="51"/>
      <c r="W172" s="51"/>
      <c r="X172" s="51"/>
      <c r="Y172" s="51"/>
      <c r="Z172" s="51"/>
      <c r="AA172" s="51"/>
      <c r="AB172" s="51"/>
    </row>
    <row r="173" customFormat="false" ht="15.75" hidden="false" customHeight="false" outlineLevel="0" collapsed="false">
      <c r="A173" s="51"/>
      <c r="B173" s="51"/>
      <c r="C173" s="6"/>
      <c r="D173" s="49"/>
      <c r="E173" s="51"/>
      <c r="F173" s="6"/>
      <c r="G173" s="6"/>
      <c r="H173" s="6"/>
      <c r="I173" s="6"/>
      <c r="J173" s="6"/>
      <c r="K173" s="51"/>
      <c r="L173" s="51"/>
      <c r="M173" s="51"/>
      <c r="N173" s="51"/>
      <c r="O173" s="51"/>
      <c r="P173" s="51"/>
      <c r="Q173" s="51"/>
      <c r="R173" s="51"/>
      <c r="S173" s="51"/>
      <c r="T173" s="51"/>
      <c r="U173" s="51"/>
      <c r="V173" s="51"/>
      <c r="W173" s="51"/>
      <c r="X173" s="51"/>
      <c r="Y173" s="51"/>
      <c r="Z173" s="51"/>
      <c r="AA173" s="51"/>
      <c r="AB173" s="51"/>
    </row>
    <row r="174" customFormat="false" ht="15.75" hidden="false" customHeight="false" outlineLevel="0" collapsed="false">
      <c r="A174" s="51"/>
      <c r="B174" s="51"/>
      <c r="C174" s="6"/>
      <c r="D174" s="49"/>
      <c r="E174" s="51"/>
      <c r="F174" s="6"/>
      <c r="G174" s="6"/>
      <c r="H174" s="6"/>
      <c r="I174" s="6"/>
      <c r="J174" s="6"/>
      <c r="K174" s="51"/>
      <c r="L174" s="51"/>
      <c r="M174" s="51"/>
      <c r="N174" s="51"/>
      <c r="O174" s="51"/>
      <c r="P174" s="51"/>
      <c r="Q174" s="51"/>
      <c r="R174" s="51"/>
      <c r="S174" s="51"/>
      <c r="T174" s="51"/>
      <c r="U174" s="51"/>
      <c r="V174" s="51"/>
      <c r="W174" s="51"/>
      <c r="X174" s="51"/>
      <c r="Y174" s="51"/>
      <c r="Z174" s="51"/>
      <c r="AA174" s="51"/>
      <c r="AB174" s="51"/>
    </row>
    <row r="175" customFormat="false" ht="15.75" hidden="false" customHeight="false" outlineLevel="0" collapsed="false">
      <c r="A175" s="51"/>
      <c r="B175" s="51"/>
      <c r="C175" s="6"/>
      <c r="D175" s="49"/>
      <c r="E175" s="51"/>
      <c r="F175" s="6"/>
      <c r="G175" s="6"/>
      <c r="H175" s="6"/>
      <c r="I175" s="6"/>
      <c r="J175" s="6"/>
      <c r="K175" s="51"/>
      <c r="L175" s="51"/>
      <c r="M175" s="51"/>
      <c r="N175" s="51"/>
      <c r="O175" s="51"/>
      <c r="P175" s="51"/>
      <c r="Q175" s="51"/>
      <c r="R175" s="51"/>
      <c r="S175" s="51"/>
      <c r="T175" s="51"/>
      <c r="U175" s="51"/>
      <c r="V175" s="51"/>
      <c r="W175" s="51"/>
      <c r="X175" s="51"/>
      <c r="Y175" s="51"/>
      <c r="Z175" s="51"/>
      <c r="AA175" s="51"/>
      <c r="AB175" s="51"/>
    </row>
    <row r="176" customFormat="false" ht="15.75" hidden="false" customHeight="false" outlineLevel="0" collapsed="false">
      <c r="A176" s="51"/>
      <c r="B176" s="51"/>
      <c r="C176" s="6"/>
      <c r="D176" s="49"/>
      <c r="E176" s="51"/>
      <c r="F176" s="6"/>
      <c r="G176" s="6"/>
      <c r="H176" s="6"/>
      <c r="I176" s="6"/>
      <c r="J176" s="6"/>
      <c r="K176" s="51"/>
      <c r="L176" s="51"/>
      <c r="M176" s="51"/>
      <c r="N176" s="51"/>
      <c r="O176" s="51"/>
      <c r="P176" s="51"/>
      <c r="Q176" s="51"/>
      <c r="R176" s="51"/>
      <c r="S176" s="51"/>
      <c r="T176" s="51"/>
      <c r="U176" s="51"/>
      <c r="V176" s="51"/>
      <c r="W176" s="51"/>
      <c r="X176" s="51"/>
      <c r="Y176" s="51"/>
      <c r="Z176" s="51"/>
      <c r="AA176" s="51"/>
      <c r="AB176" s="51"/>
    </row>
    <row r="177" customFormat="false" ht="15.75" hidden="false" customHeight="false" outlineLevel="0" collapsed="false">
      <c r="A177" s="51"/>
      <c r="B177" s="51"/>
      <c r="C177" s="6"/>
      <c r="D177" s="49"/>
      <c r="E177" s="51"/>
      <c r="F177" s="6"/>
      <c r="G177" s="6"/>
      <c r="H177" s="6"/>
      <c r="I177" s="6"/>
      <c r="J177" s="6"/>
      <c r="K177" s="51"/>
      <c r="L177" s="51"/>
      <c r="M177" s="51"/>
      <c r="N177" s="51"/>
      <c r="O177" s="51"/>
      <c r="P177" s="51"/>
      <c r="Q177" s="51"/>
      <c r="R177" s="51"/>
      <c r="S177" s="51"/>
      <c r="T177" s="51"/>
      <c r="U177" s="51"/>
      <c r="V177" s="51"/>
      <c r="W177" s="51"/>
      <c r="X177" s="51"/>
      <c r="Y177" s="51"/>
      <c r="Z177" s="51"/>
      <c r="AA177" s="51"/>
      <c r="AB177" s="51"/>
    </row>
    <row r="178" customFormat="false" ht="15.75" hidden="false" customHeight="false" outlineLevel="0" collapsed="false">
      <c r="A178" s="51"/>
      <c r="B178" s="51"/>
      <c r="C178" s="6"/>
      <c r="D178" s="49"/>
      <c r="E178" s="51"/>
      <c r="F178" s="6"/>
      <c r="G178" s="6"/>
      <c r="H178" s="6"/>
      <c r="I178" s="6"/>
      <c r="J178" s="6"/>
      <c r="K178" s="51"/>
      <c r="L178" s="51"/>
      <c r="M178" s="51"/>
      <c r="N178" s="51"/>
      <c r="O178" s="51"/>
      <c r="P178" s="51"/>
      <c r="Q178" s="51"/>
      <c r="R178" s="51"/>
      <c r="S178" s="51"/>
      <c r="T178" s="51"/>
      <c r="U178" s="51"/>
      <c r="V178" s="51"/>
      <c r="W178" s="51"/>
      <c r="X178" s="51"/>
      <c r="Y178" s="51"/>
      <c r="Z178" s="51"/>
      <c r="AA178" s="51"/>
      <c r="AB178" s="51"/>
    </row>
    <row r="179" customFormat="false" ht="15.75" hidden="false" customHeight="false" outlineLevel="0" collapsed="false">
      <c r="A179" s="51"/>
      <c r="B179" s="51"/>
      <c r="C179" s="6"/>
      <c r="D179" s="49"/>
      <c r="E179" s="51"/>
      <c r="F179" s="6"/>
      <c r="G179" s="6"/>
      <c r="H179" s="6"/>
      <c r="I179" s="6"/>
      <c r="J179" s="6"/>
      <c r="K179" s="51"/>
      <c r="L179" s="51"/>
      <c r="M179" s="51"/>
      <c r="N179" s="51"/>
      <c r="O179" s="51"/>
      <c r="P179" s="51"/>
      <c r="Q179" s="51"/>
      <c r="R179" s="51"/>
      <c r="S179" s="51"/>
      <c r="T179" s="51"/>
      <c r="U179" s="51"/>
      <c r="V179" s="51"/>
      <c r="W179" s="51"/>
      <c r="X179" s="51"/>
      <c r="Y179" s="51"/>
      <c r="Z179" s="51"/>
      <c r="AA179" s="51"/>
      <c r="AB179" s="51"/>
    </row>
    <row r="180" customFormat="false" ht="15.75" hidden="false" customHeight="false" outlineLevel="0" collapsed="false">
      <c r="A180" s="51"/>
      <c r="B180" s="51"/>
      <c r="C180" s="6"/>
      <c r="D180" s="49"/>
      <c r="E180" s="51"/>
      <c r="F180" s="6"/>
      <c r="G180" s="6"/>
      <c r="H180" s="6"/>
      <c r="I180" s="6"/>
      <c r="J180" s="6"/>
      <c r="K180" s="51"/>
      <c r="L180" s="51"/>
      <c r="M180" s="51"/>
      <c r="N180" s="51"/>
      <c r="O180" s="51"/>
      <c r="P180" s="51"/>
      <c r="Q180" s="51"/>
      <c r="R180" s="51"/>
      <c r="S180" s="51"/>
      <c r="T180" s="51"/>
      <c r="U180" s="51"/>
      <c r="V180" s="51"/>
      <c r="W180" s="51"/>
      <c r="X180" s="51"/>
      <c r="Y180" s="51"/>
      <c r="Z180" s="51"/>
      <c r="AA180" s="51"/>
      <c r="AB180" s="51"/>
    </row>
    <row r="181" customFormat="false" ht="15.75" hidden="false" customHeight="false" outlineLevel="0" collapsed="false">
      <c r="A181" s="51"/>
      <c r="B181" s="51"/>
      <c r="C181" s="6"/>
      <c r="D181" s="49"/>
      <c r="E181" s="51"/>
      <c r="F181" s="6"/>
      <c r="G181" s="6"/>
      <c r="H181" s="6"/>
      <c r="I181" s="6"/>
      <c r="J181" s="6"/>
      <c r="K181" s="51"/>
      <c r="L181" s="51"/>
      <c r="M181" s="51"/>
      <c r="N181" s="51"/>
      <c r="O181" s="51"/>
      <c r="P181" s="51"/>
      <c r="Q181" s="51"/>
      <c r="R181" s="51"/>
      <c r="S181" s="51"/>
      <c r="T181" s="51"/>
      <c r="U181" s="51"/>
      <c r="V181" s="51"/>
      <c r="W181" s="51"/>
      <c r="X181" s="51"/>
      <c r="Y181" s="51"/>
      <c r="Z181" s="51"/>
      <c r="AA181" s="51"/>
      <c r="AB181" s="51"/>
    </row>
    <row r="182" customFormat="false" ht="15.75" hidden="false" customHeight="false" outlineLevel="0" collapsed="false">
      <c r="A182" s="51"/>
      <c r="B182" s="51"/>
      <c r="C182" s="6"/>
      <c r="D182" s="49"/>
      <c r="E182" s="51"/>
      <c r="F182" s="6"/>
      <c r="G182" s="6"/>
      <c r="H182" s="6"/>
      <c r="I182" s="6"/>
      <c r="J182" s="6"/>
      <c r="K182" s="51"/>
      <c r="L182" s="51"/>
      <c r="M182" s="51"/>
      <c r="N182" s="51"/>
      <c r="O182" s="51"/>
      <c r="P182" s="51"/>
      <c r="Q182" s="51"/>
      <c r="R182" s="51"/>
      <c r="S182" s="51"/>
      <c r="T182" s="51"/>
      <c r="U182" s="51"/>
      <c r="V182" s="51"/>
      <c r="W182" s="51"/>
      <c r="X182" s="51"/>
      <c r="Y182" s="51"/>
      <c r="Z182" s="51"/>
      <c r="AA182" s="51"/>
      <c r="AB182" s="51"/>
    </row>
    <row r="183" customFormat="false" ht="15.75" hidden="false" customHeight="false" outlineLevel="0" collapsed="false">
      <c r="A183" s="51"/>
      <c r="B183" s="51"/>
      <c r="C183" s="6"/>
      <c r="D183" s="49"/>
      <c r="E183" s="51"/>
      <c r="F183" s="6"/>
      <c r="G183" s="6"/>
      <c r="H183" s="6"/>
      <c r="I183" s="6"/>
      <c r="J183" s="6"/>
      <c r="K183" s="51"/>
      <c r="L183" s="51"/>
      <c r="M183" s="51"/>
      <c r="N183" s="51"/>
      <c r="O183" s="51"/>
      <c r="P183" s="51"/>
      <c r="Q183" s="51"/>
      <c r="R183" s="51"/>
      <c r="S183" s="51"/>
      <c r="T183" s="51"/>
      <c r="U183" s="51"/>
      <c r="V183" s="51"/>
      <c r="W183" s="51"/>
      <c r="X183" s="51"/>
      <c r="Y183" s="51"/>
      <c r="Z183" s="51"/>
      <c r="AA183" s="51"/>
      <c r="AB183" s="51"/>
    </row>
    <row r="184" customFormat="false" ht="15.75" hidden="false" customHeight="false" outlineLevel="0" collapsed="false">
      <c r="A184" s="51"/>
      <c r="B184" s="51"/>
      <c r="C184" s="6"/>
      <c r="D184" s="49"/>
      <c r="E184" s="51"/>
      <c r="F184" s="6"/>
      <c r="G184" s="6"/>
      <c r="H184" s="6"/>
      <c r="I184" s="6"/>
      <c r="J184" s="6"/>
      <c r="K184" s="51"/>
      <c r="L184" s="51"/>
      <c r="M184" s="51"/>
      <c r="N184" s="51"/>
      <c r="O184" s="51"/>
      <c r="P184" s="51"/>
      <c r="Q184" s="51"/>
      <c r="R184" s="51"/>
      <c r="S184" s="51"/>
      <c r="T184" s="51"/>
      <c r="U184" s="51"/>
      <c r="V184" s="51"/>
      <c r="W184" s="51"/>
      <c r="X184" s="51"/>
      <c r="Y184" s="51"/>
      <c r="Z184" s="51"/>
      <c r="AA184" s="51"/>
      <c r="AB184" s="51"/>
    </row>
    <row r="185" customFormat="false" ht="15.75" hidden="false" customHeight="false" outlineLevel="0" collapsed="false">
      <c r="A185" s="51"/>
      <c r="B185" s="51"/>
      <c r="C185" s="6"/>
      <c r="D185" s="49"/>
      <c r="E185" s="51"/>
      <c r="F185" s="6"/>
      <c r="G185" s="6"/>
      <c r="H185" s="6"/>
      <c r="I185" s="6"/>
      <c r="J185" s="6"/>
      <c r="K185" s="51"/>
      <c r="L185" s="51"/>
      <c r="M185" s="51"/>
      <c r="N185" s="51"/>
      <c r="O185" s="51"/>
      <c r="P185" s="51"/>
      <c r="Q185" s="51"/>
      <c r="R185" s="51"/>
      <c r="S185" s="51"/>
      <c r="T185" s="51"/>
      <c r="U185" s="51"/>
      <c r="V185" s="51"/>
      <c r="W185" s="51"/>
      <c r="X185" s="51"/>
      <c r="Y185" s="51"/>
      <c r="Z185" s="51"/>
      <c r="AA185" s="51"/>
      <c r="AB185" s="51"/>
    </row>
    <row r="186" customFormat="false" ht="15.75" hidden="false" customHeight="false" outlineLevel="0" collapsed="false">
      <c r="A186" s="51"/>
      <c r="B186" s="51"/>
      <c r="C186" s="6"/>
      <c r="D186" s="49"/>
      <c r="E186" s="51"/>
      <c r="F186" s="6"/>
      <c r="G186" s="6"/>
      <c r="H186" s="6"/>
      <c r="I186" s="6"/>
      <c r="J186" s="6"/>
      <c r="K186" s="51"/>
      <c r="L186" s="51"/>
      <c r="M186" s="51"/>
      <c r="N186" s="51"/>
      <c r="O186" s="51"/>
      <c r="P186" s="51"/>
      <c r="Q186" s="51"/>
      <c r="R186" s="51"/>
      <c r="S186" s="51"/>
      <c r="T186" s="51"/>
      <c r="U186" s="51"/>
      <c r="V186" s="51"/>
      <c r="W186" s="51"/>
      <c r="X186" s="51"/>
      <c r="Y186" s="51"/>
      <c r="Z186" s="51"/>
      <c r="AA186" s="51"/>
      <c r="AB186" s="51"/>
    </row>
    <row r="187" customFormat="false" ht="15.75" hidden="false" customHeight="false" outlineLevel="0" collapsed="false">
      <c r="A187" s="51"/>
      <c r="B187" s="51"/>
      <c r="C187" s="6"/>
      <c r="D187" s="49"/>
      <c r="E187" s="51"/>
      <c r="F187" s="6"/>
      <c r="G187" s="6"/>
      <c r="H187" s="6"/>
      <c r="I187" s="6"/>
      <c r="J187" s="6"/>
      <c r="K187" s="51"/>
      <c r="L187" s="51"/>
      <c r="M187" s="51"/>
      <c r="N187" s="51"/>
      <c r="O187" s="51"/>
      <c r="P187" s="51"/>
      <c r="Q187" s="51"/>
      <c r="R187" s="51"/>
      <c r="S187" s="51"/>
      <c r="T187" s="51"/>
      <c r="U187" s="51"/>
      <c r="V187" s="51"/>
      <c r="W187" s="51"/>
      <c r="X187" s="51"/>
      <c r="Y187" s="51"/>
      <c r="Z187" s="51"/>
      <c r="AA187" s="51"/>
      <c r="AB187" s="51"/>
    </row>
    <row r="188" customFormat="false" ht="15.75" hidden="false" customHeight="false" outlineLevel="0" collapsed="false">
      <c r="A188" s="51"/>
      <c r="B188" s="51"/>
      <c r="C188" s="6"/>
      <c r="D188" s="49"/>
      <c r="E188" s="51"/>
      <c r="F188" s="6"/>
      <c r="G188" s="6"/>
      <c r="H188" s="6"/>
      <c r="I188" s="6"/>
      <c r="J188" s="6"/>
      <c r="K188" s="51"/>
      <c r="L188" s="51"/>
      <c r="M188" s="51"/>
      <c r="N188" s="51"/>
      <c r="O188" s="51"/>
      <c r="P188" s="51"/>
      <c r="Q188" s="51"/>
      <c r="R188" s="51"/>
      <c r="S188" s="51"/>
      <c r="T188" s="51"/>
      <c r="U188" s="51"/>
      <c r="V188" s="51"/>
      <c r="W188" s="51"/>
      <c r="X188" s="51"/>
      <c r="Y188" s="51"/>
      <c r="Z188" s="51"/>
      <c r="AA188" s="51"/>
      <c r="AB188" s="51"/>
    </row>
    <row r="189" customFormat="false" ht="15.75" hidden="false" customHeight="false" outlineLevel="0" collapsed="false">
      <c r="A189" s="51"/>
      <c r="B189" s="51"/>
      <c r="C189" s="6"/>
      <c r="D189" s="49"/>
      <c r="E189" s="51"/>
      <c r="F189" s="6"/>
      <c r="G189" s="6"/>
      <c r="H189" s="6"/>
      <c r="I189" s="6"/>
      <c r="J189" s="6"/>
      <c r="K189" s="51"/>
      <c r="L189" s="51"/>
      <c r="M189" s="51"/>
      <c r="N189" s="51"/>
      <c r="O189" s="51"/>
      <c r="P189" s="51"/>
      <c r="Q189" s="51"/>
      <c r="R189" s="51"/>
      <c r="S189" s="51"/>
      <c r="T189" s="51"/>
      <c r="U189" s="51"/>
      <c r="V189" s="51"/>
      <c r="W189" s="51"/>
      <c r="X189" s="51"/>
      <c r="Y189" s="51"/>
      <c r="Z189" s="51"/>
      <c r="AA189" s="51"/>
      <c r="AB189" s="51"/>
    </row>
    <row r="190" customFormat="false" ht="15.75" hidden="false" customHeight="false" outlineLevel="0" collapsed="false">
      <c r="A190" s="51"/>
      <c r="B190" s="51"/>
      <c r="C190" s="6"/>
      <c r="D190" s="49"/>
      <c r="E190" s="51"/>
      <c r="F190" s="6"/>
      <c r="G190" s="6"/>
      <c r="H190" s="6"/>
      <c r="I190" s="6"/>
      <c r="J190" s="6"/>
      <c r="K190" s="51"/>
      <c r="L190" s="51"/>
      <c r="M190" s="51"/>
      <c r="N190" s="51"/>
      <c r="O190" s="51"/>
      <c r="P190" s="51"/>
      <c r="Q190" s="51"/>
      <c r="R190" s="51"/>
      <c r="S190" s="51"/>
      <c r="T190" s="51"/>
      <c r="U190" s="51"/>
      <c r="V190" s="51"/>
      <c r="W190" s="51"/>
      <c r="X190" s="51"/>
      <c r="Y190" s="51"/>
      <c r="Z190" s="51"/>
      <c r="AA190" s="51"/>
      <c r="AB190" s="51"/>
    </row>
    <row r="191" customFormat="false" ht="15.75" hidden="false" customHeight="false" outlineLevel="0" collapsed="false">
      <c r="A191" s="51"/>
      <c r="B191" s="51"/>
      <c r="C191" s="6"/>
      <c r="D191" s="49"/>
      <c r="E191" s="51"/>
      <c r="F191" s="6"/>
      <c r="G191" s="6"/>
      <c r="H191" s="6"/>
      <c r="I191" s="6"/>
      <c r="J191" s="6"/>
      <c r="K191" s="51"/>
      <c r="L191" s="51"/>
      <c r="M191" s="51"/>
      <c r="N191" s="51"/>
      <c r="O191" s="51"/>
      <c r="P191" s="51"/>
      <c r="Q191" s="51"/>
      <c r="R191" s="51"/>
      <c r="S191" s="51"/>
      <c r="T191" s="51"/>
      <c r="U191" s="51"/>
      <c r="V191" s="51"/>
      <c r="W191" s="51"/>
      <c r="X191" s="51"/>
      <c r="Y191" s="51"/>
      <c r="Z191" s="51"/>
      <c r="AA191" s="51"/>
      <c r="AB191" s="51"/>
    </row>
    <row r="192" customFormat="false" ht="15.75" hidden="false" customHeight="false" outlineLevel="0" collapsed="false">
      <c r="A192" s="51"/>
      <c r="B192" s="51"/>
      <c r="C192" s="6"/>
      <c r="D192" s="49"/>
      <c r="E192" s="51"/>
      <c r="F192" s="6"/>
      <c r="G192" s="6"/>
      <c r="H192" s="6"/>
      <c r="I192" s="6"/>
      <c r="J192" s="6"/>
      <c r="K192" s="51"/>
      <c r="L192" s="51"/>
      <c r="M192" s="51"/>
      <c r="N192" s="51"/>
      <c r="O192" s="51"/>
      <c r="P192" s="51"/>
      <c r="Q192" s="51"/>
      <c r="R192" s="51"/>
      <c r="S192" s="51"/>
      <c r="T192" s="51"/>
      <c r="U192" s="51"/>
      <c r="V192" s="51"/>
      <c r="W192" s="51"/>
      <c r="X192" s="51"/>
      <c r="Y192" s="51"/>
      <c r="Z192" s="51"/>
      <c r="AA192" s="51"/>
      <c r="AB192" s="51"/>
    </row>
    <row r="193" customFormat="false" ht="15.75" hidden="false" customHeight="false" outlineLevel="0" collapsed="false">
      <c r="A193" s="51"/>
      <c r="B193" s="51"/>
      <c r="C193" s="6"/>
      <c r="D193" s="49"/>
      <c r="E193" s="51"/>
      <c r="F193" s="6"/>
      <c r="G193" s="6"/>
      <c r="H193" s="6"/>
      <c r="I193" s="6"/>
      <c r="J193" s="6"/>
      <c r="K193" s="51"/>
      <c r="L193" s="51"/>
      <c r="M193" s="51"/>
      <c r="N193" s="51"/>
      <c r="O193" s="51"/>
      <c r="P193" s="51"/>
      <c r="Q193" s="51"/>
      <c r="R193" s="51"/>
      <c r="S193" s="51"/>
      <c r="T193" s="51"/>
      <c r="U193" s="51"/>
      <c r="V193" s="51"/>
      <c r="W193" s="51"/>
      <c r="X193" s="51"/>
      <c r="Y193" s="51"/>
      <c r="Z193" s="51"/>
      <c r="AA193" s="51"/>
      <c r="AB193" s="51"/>
    </row>
    <row r="194" customFormat="false" ht="15.75" hidden="false" customHeight="false" outlineLevel="0" collapsed="false">
      <c r="A194" s="51"/>
      <c r="B194" s="51"/>
      <c r="C194" s="6"/>
      <c r="D194" s="49"/>
      <c r="E194" s="51"/>
      <c r="F194" s="6"/>
      <c r="G194" s="6"/>
      <c r="H194" s="6"/>
      <c r="I194" s="6"/>
      <c r="J194" s="6"/>
      <c r="K194" s="51"/>
      <c r="L194" s="51"/>
      <c r="M194" s="51"/>
      <c r="N194" s="51"/>
      <c r="O194" s="51"/>
      <c r="P194" s="51"/>
      <c r="Q194" s="51"/>
      <c r="R194" s="51"/>
      <c r="S194" s="51"/>
      <c r="T194" s="51"/>
      <c r="U194" s="51"/>
      <c r="V194" s="51"/>
      <c r="W194" s="51"/>
      <c r="X194" s="51"/>
      <c r="Y194" s="51"/>
      <c r="Z194" s="51"/>
      <c r="AA194" s="51"/>
      <c r="AB194" s="51"/>
    </row>
    <row r="195" customFormat="false" ht="15.75" hidden="false" customHeight="false" outlineLevel="0" collapsed="false">
      <c r="A195" s="51"/>
      <c r="B195" s="51"/>
      <c r="C195" s="6"/>
      <c r="D195" s="49"/>
      <c r="E195" s="51"/>
      <c r="F195" s="6"/>
      <c r="G195" s="6"/>
      <c r="H195" s="6"/>
      <c r="I195" s="6"/>
      <c r="J195" s="6"/>
      <c r="K195" s="51"/>
      <c r="L195" s="51"/>
      <c r="M195" s="51"/>
      <c r="N195" s="51"/>
      <c r="O195" s="51"/>
      <c r="P195" s="51"/>
      <c r="Q195" s="51"/>
      <c r="R195" s="51"/>
      <c r="S195" s="51"/>
      <c r="T195" s="51"/>
      <c r="U195" s="51"/>
      <c r="V195" s="51"/>
      <c r="W195" s="51"/>
      <c r="X195" s="51"/>
      <c r="Y195" s="51"/>
      <c r="Z195" s="51"/>
      <c r="AA195" s="51"/>
      <c r="AB195" s="51"/>
    </row>
    <row r="196" customFormat="false" ht="15.75" hidden="false" customHeight="false" outlineLevel="0" collapsed="false">
      <c r="A196" s="51"/>
      <c r="B196" s="51"/>
      <c r="C196" s="6"/>
      <c r="D196" s="49"/>
      <c r="E196" s="51"/>
      <c r="F196" s="6"/>
      <c r="G196" s="6"/>
      <c r="H196" s="6"/>
      <c r="I196" s="6"/>
      <c r="J196" s="6"/>
      <c r="K196" s="51"/>
      <c r="L196" s="51"/>
      <c r="M196" s="51"/>
      <c r="N196" s="51"/>
      <c r="O196" s="51"/>
      <c r="P196" s="51"/>
      <c r="Q196" s="51"/>
      <c r="R196" s="51"/>
      <c r="S196" s="51"/>
      <c r="T196" s="51"/>
      <c r="U196" s="51"/>
      <c r="V196" s="51"/>
      <c r="W196" s="51"/>
      <c r="X196" s="51"/>
      <c r="Y196" s="51"/>
      <c r="Z196" s="51"/>
      <c r="AA196" s="51"/>
      <c r="AB196" s="51"/>
    </row>
    <row r="197" customFormat="false" ht="15.75" hidden="false" customHeight="false" outlineLevel="0" collapsed="false">
      <c r="A197" s="51"/>
      <c r="B197" s="51"/>
      <c r="C197" s="6"/>
      <c r="D197" s="49"/>
      <c r="E197" s="51"/>
      <c r="F197" s="6"/>
      <c r="G197" s="6"/>
      <c r="H197" s="6"/>
      <c r="I197" s="6"/>
      <c r="J197" s="6"/>
      <c r="K197" s="51"/>
      <c r="L197" s="51"/>
      <c r="M197" s="51"/>
      <c r="N197" s="51"/>
      <c r="O197" s="51"/>
      <c r="P197" s="51"/>
      <c r="Q197" s="51"/>
      <c r="R197" s="51"/>
      <c r="S197" s="51"/>
      <c r="T197" s="51"/>
      <c r="U197" s="51"/>
      <c r="V197" s="51"/>
      <c r="W197" s="51"/>
      <c r="X197" s="51"/>
      <c r="Y197" s="51"/>
      <c r="Z197" s="51"/>
      <c r="AA197" s="51"/>
      <c r="AB197" s="51"/>
    </row>
    <row r="198" customFormat="false" ht="15.75" hidden="false" customHeight="false" outlineLevel="0" collapsed="false">
      <c r="A198" s="51"/>
      <c r="B198" s="51"/>
      <c r="C198" s="6"/>
      <c r="D198" s="49"/>
      <c r="E198" s="51"/>
      <c r="F198" s="6"/>
      <c r="G198" s="6"/>
      <c r="H198" s="6"/>
      <c r="I198" s="6"/>
      <c r="J198" s="6"/>
      <c r="K198" s="51"/>
      <c r="L198" s="51"/>
      <c r="M198" s="51"/>
      <c r="N198" s="51"/>
      <c r="O198" s="51"/>
      <c r="P198" s="51"/>
      <c r="Q198" s="51"/>
      <c r="R198" s="51"/>
      <c r="S198" s="51"/>
      <c r="T198" s="51"/>
      <c r="U198" s="51"/>
      <c r="V198" s="51"/>
      <c r="W198" s="51"/>
      <c r="X198" s="51"/>
      <c r="Y198" s="51"/>
      <c r="Z198" s="51"/>
      <c r="AA198" s="51"/>
      <c r="AB198" s="51"/>
    </row>
    <row r="199" customFormat="false" ht="15.75" hidden="false" customHeight="false" outlineLevel="0" collapsed="false">
      <c r="A199" s="51"/>
      <c r="B199" s="51"/>
      <c r="C199" s="6"/>
      <c r="D199" s="49"/>
      <c r="E199" s="51"/>
      <c r="F199" s="6"/>
      <c r="G199" s="6"/>
      <c r="H199" s="6"/>
      <c r="I199" s="6"/>
      <c r="J199" s="6"/>
      <c r="K199" s="51"/>
      <c r="L199" s="51"/>
      <c r="M199" s="51"/>
      <c r="N199" s="51"/>
      <c r="O199" s="51"/>
      <c r="P199" s="51"/>
      <c r="Q199" s="51"/>
      <c r="R199" s="51"/>
      <c r="S199" s="51"/>
      <c r="T199" s="51"/>
      <c r="U199" s="51"/>
      <c r="V199" s="51"/>
      <c r="W199" s="51"/>
      <c r="X199" s="51"/>
      <c r="Y199" s="51"/>
      <c r="Z199" s="51"/>
      <c r="AA199" s="51"/>
      <c r="AB199" s="51"/>
    </row>
    <row r="200" customFormat="false" ht="15.75" hidden="false" customHeight="false" outlineLevel="0" collapsed="false">
      <c r="A200" s="51"/>
      <c r="B200" s="51"/>
      <c r="C200" s="6"/>
      <c r="D200" s="49"/>
      <c r="E200" s="51"/>
      <c r="F200" s="6"/>
      <c r="G200" s="6"/>
      <c r="H200" s="6"/>
      <c r="I200" s="6"/>
      <c r="J200" s="6"/>
      <c r="K200" s="51"/>
      <c r="L200" s="51"/>
      <c r="M200" s="51"/>
      <c r="N200" s="51"/>
      <c r="O200" s="51"/>
      <c r="P200" s="51"/>
      <c r="Q200" s="51"/>
      <c r="R200" s="51"/>
      <c r="S200" s="51"/>
      <c r="T200" s="51"/>
      <c r="U200" s="51"/>
      <c r="V200" s="51"/>
      <c r="W200" s="51"/>
      <c r="X200" s="51"/>
      <c r="Y200" s="51"/>
      <c r="Z200" s="51"/>
      <c r="AA200" s="51"/>
      <c r="AB200" s="51"/>
    </row>
    <row r="201" customFormat="false" ht="15.75" hidden="false" customHeight="false" outlineLevel="0" collapsed="false">
      <c r="A201" s="51"/>
      <c r="B201" s="51"/>
      <c r="C201" s="6"/>
      <c r="D201" s="49"/>
      <c r="E201" s="51"/>
      <c r="F201" s="6"/>
      <c r="G201" s="6"/>
      <c r="H201" s="6"/>
      <c r="I201" s="6"/>
      <c r="J201" s="6"/>
      <c r="K201" s="51"/>
      <c r="L201" s="51"/>
      <c r="M201" s="51"/>
      <c r="N201" s="51"/>
      <c r="O201" s="51"/>
      <c r="P201" s="51"/>
      <c r="Q201" s="51"/>
      <c r="R201" s="51"/>
      <c r="S201" s="51"/>
      <c r="T201" s="51"/>
      <c r="U201" s="51"/>
      <c r="V201" s="51"/>
      <c r="W201" s="51"/>
      <c r="X201" s="51"/>
      <c r="Y201" s="51"/>
      <c r="Z201" s="51"/>
      <c r="AA201" s="51"/>
      <c r="AB201" s="51"/>
    </row>
    <row r="202" customFormat="false" ht="15.75" hidden="false" customHeight="false" outlineLevel="0" collapsed="false">
      <c r="A202" s="51"/>
      <c r="B202" s="51"/>
      <c r="C202" s="6"/>
      <c r="D202" s="49"/>
      <c r="E202" s="51"/>
      <c r="F202" s="6"/>
      <c r="G202" s="6"/>
      <c r="H202" s="6"/>
      <c r="I202" s="6"/>
      <c r="J202" s="6"/>
      <c r="K202" s="51"/>
      <c r="L202" s="51"/>
      <c r="M202" s="51"/>
      <c r="N202" s="51"/>
      <c r="O202" s="51"/>
      <c r="P202" s="51"/>
      <c r="Q202" s="51"/>
      <c r="R202" s="51"/>
      <c r="S202" s="51"/>
      <c r="T202" s="51"/>
      <c r="U202" s="51"/>
      <c r="V202" s="51"/>
      <c r="W202" s="51"/>
      <c r="X202" s="51"/>
      <c r="Y202" s="51"/>
      <c r="Z202" s="51"/>
      <c r="AA202" s="51"/>
      <c r="AB202" s="51"/>
    </row>
    <row r="203" customFormat="false" ht="15.75" hidden="false" customHeight="false" outlineLevel="0" collapsed="false">
      <c r="A203" s="51"/>
      <c r="B203" s="51"/>
      <c r="C203" s="6"/>
      <c r="D203" s="49"/>
      <c r="E203" s="51"/>
      <c r="F203" s="6"/>
      <c r="G203" s="6"/>
      <c r="H203" s="6"/>
      <c r="I203" s="6"/>
      <c r="J203" s="6"/>
      <c r="K203" s="51"/>
      <c r="L203" s="51"/>
      <c r="M203" s="51"/>
      <c r="N203" s="51"/>
      <c r="O203" s="51"/>
      <c r="P203" s="51"/>
      <c r="Q203" s="51"/>
      <c r="R203" s="51"/>
      <c r="S203" s="51"/>
      <c r="T203" s="51"/>
      <c r="U203" s="51"/>
      <c r="V203" s="51"/>
      <c r="W203" s="51"/>
      <c r="X203" s="51"/>
      <c r="Y203" s="51"/>
      <c r="Z203" s="51"/>
      <c r="AA203" s="51"/>
      <c r="AB203" s="51"/>
    </row>
    <row r="204" customFormat="false" ht="15.75" hidden="false" customHeight="false" outlineLevel="0" collapsed="false">
      <c r="A204" s="51"/>
      <c r="B204" s="51"/>
      <c r="C204" s="6"/>
      <c r="D204" s="49"/>
      <c r="E204" s="51"/>
      <c r="F204" s="6"/>
      <c r="G204" s="6"/>
      <c r="H204" s="6"/>
      <c r="I204" s="6"/>
      <c r="J204" s="6"/>
      <c r="K204" s="51"/>
      <c r="L204" s="51"/>
      <c r="M204" s="51"/>
      <c r="N204" s="51"/>
      <c r="O204" s="51"/>
      <c r="P204" s="51"/>
      <c r="Q204" s="51"/>
      <c r="R204" s="51"/>
      <c r="S204" s="51"/>
      <c r="T204" s="51"/>
      <c r="U204" s="51"/>
      <c r="V204" s="51"/>
      <c r="W204" s="51"/>
      <c r="X204" s="51"/>
      <c r="Y204" s="51"/>
      <c r="Z204" s="51"/>
      <c r="AA204" s="51"/>
      <c r="AB204" s="51"/>
    </row>
    <row r="205" customFormat="false" ht="15.75" hidden="false" customHeight="false" outlineLevel="0" collapsed="false">
      <c r="A205" s="51"/>
      <c r="B205" s="51"/>
      <c r="C205" s="6"/>
      <c r="D205" s="49"/>
      <c r="E205" s="51"/>
      <c r="F205" s="6"/>
      <c r="G205" s="6"/>
      <c r="H205" s="6"/>
      <c r="I205" s="6"/>
      <c r="J205" s="6"/>
      <c r="K205" s="51"/>
      <c r="L205" s="51"/>
      <c r="M205" s="51"/>
      <c r="N205" s="51"/>
      <c r="O205" s="51"/>
      <c r="P205" s="51"/>
      <c r="Q205" s="51"/>
      <c r="R205" s="51"/>
      <c r="S205" s="51"/>
      <c r="T205" s="51"/>
      <c r="U205" s="51"/>
      <c r="V205" s="51"/>
      <c r="W205" s="51"/>
      <c r="X205" s="51"/>
      <c r="Y205" s="51"/>
      <c r="Z205" s="51"/>
      <c r="AA205" s="51"/>
      <c r="AB205" s="51"/>
    </row>
    <row r="206" customFormat="false" ht="15.75" hidden="false" customHeight="false" outlineLevel="0" collapsed="false">
      <c r="A206" s="51"/>
      <c r="B206" s="51"/>
      <c r="C206" s="6"/>
      <c r="D206" s="49"/>
      <c r="E206" s="51"/>
      <c r="F206" s="6"/>
      <c r="G206" s="6"/>
      <c r="H206" s="6"/>
      <c r="I206" s="6"/>
      <c r="J206" s="6"/>
      <c r="K206" s="51"/>
      <c r="L206" s="51"/>
      <c r="M206" s="51"/>
      <c r="N206" s="51"/>
      <c r="O206" s="51"/>
      <c r="P206" s="51"/>
      <c r="Q206" s="51"/>
      <c r="R206" s="51"/>
      <c r="S206" s="51"/>
      <c r="T206" s="51"/>
      <c r="U206" s="51"/>
      <c r="V206" s="51"/>
      <c r="W206" s="51"/>
      <c r="X206" s="51"/>
      <c r="Y206" s="51"/>
      <c r="Z206" s="51"/>
      <c r="AA206" s="51"/>
      <c r="AB206" s="51"/>
    </row>
    <row r="207" customFormat="false" ht="15.75" hidden="false" customHeight="false" outlineLevel="0" collapsed="false">
      <c r="A207" s="51"/>
      <c r="B207" s="51"/>
      <c r="C207" s="6"/>
      <c r="D207" s="49"/>
      <c r="E207" s="51"/>
      <c r="F207" s="6"/>
      <c r="G207" s="6"/>
      <c r="H207" s="6"/>
      <c r="I207" s="6"/>
      <c r="J207" s="6"/>
      <c r="K207" s="51"/>
      <c r="L207" s="51"/>
      <c r="M207" s="51"/>
      <c r="N207" s="51"/>
      <c r="O207" s="51"/>
      <c r="P207" s="51"/>
      <c r="Q207" s="51"/>
      <c r="R207" s="51"/>
      <c r="S207" s="51"/>
      <c r="T207" s="51"/>
      <c r="U207" s="51"/>
      <c r="V207" s="51"/>
      <c r="W207" s="51"/>
      <c r="X207" s="51"/>
      <c r="Y207" s="51"/>
      <c r="Z207" s="51"/>
      <c r="AA207" s="51"/>
      <c r="AB207" s="51"/>
    </row>
    <row r="208" customFormat="false" ht="15.75" hidden="false" customHeight="false" outlineLevel="0" collapsed="false">
      <c r="A208" s="51"/>
      <c r="B208" s="51"/>
      <c r="C208" s="6"/>
      <c r="D208" s="49"/>
      <c r="E208" s="51"/>
      <c r="F208" s="6"/>
      <c r="G208" s="6"/>
      <c r="H208" s="6"/>
      <c r="I208" s="6"/>
      <c r="J208" s="6"/>
      <c r="K208" s="51"/>
      <c r="L208" s="51"/>
      <c r="M208" s="51"/>
      <c r="N208" s="51"/>
      <c r="O208" s="51"/>
      <c r="P208" s="51"/>
      <c r="Q208" s="51"/>
      <c r="R208" s="51"/>
      <c r="S208" s="51"/>
      <c r="T208" s="51"/>
      <c r="U208" s="51"/>
      <c r="V208" s="51"/>
      <c r="W208" s="51"/>
      <c r="X208" s="51"/>
      <c r="Y208" s="51"/>
      <c r="Z208" s="51"/>
      <c r="AA208" s="51"/>
      <c r="AB208" s="51"/>
    </row>
    <row r="209" customFormat="false" ht="15.75" hidden="false" customHeight="false" outlineLevel="0" collapsed="false">
      <c r="A209" s="51"/>
      <c r="B209" s="51"/>
      <c r="C209" s="6"/>
      <c r="D209" s="49"/>
      <c r="E209" s="51"/>
      <c r="F209" s="6"/>
      <c r="G209" s="6"/>
      <c r="H209" s="6"/>
      <c r="I209" s="6"/>
      <c r="J209" s="6"/>
      <c r="K209" s="51"/>
      <c r="L209" s="51"/>
      <c r="M209" s="51"/>
      <c r="N209" s="51"/>
      <c r="O209" s="51"/>
      <c r="P209" s="51"/>
      <c r="Q209" s="51"/>
      <c r="R209" s="51"/>
      <c r="S209" s="51"/>
      <c r="T209" s="51"/>
      <c r="U209" s="51"/>
      <c r="V209" s="51"/>
      <c r="W209" s="51"/>
      <c r="X209" s="51"/>
      <c r="Y209" s="51"/>
      <c r="Z209" s="51"/>
      <c r="AA209" s="51"/>
      <c r="AB209" s="51"/>
    </row>
    <row r="210" customFormat="false" ht="15.75" hidden="false" customHeight="false" outlineLevel="0" collapsed="false">
      <c r="A210" s="51"/>
      <c r="B210" s="51"/>
      <c r="C210" s="6"/>
      <c r="D210" s="49"/>
      <c r="E210" s="51"/>
      <c r="F210" s="6"/>
      <c r="G210" s="6"/>
      <c r="H210" s="6"/>
      <c r="I210" s="6"/>
      <c r="J210" s="6"/>
      <c r="K210" s="51"/>
      <c r="L210" s="51"/>
      <c r="M210" s="51"/>
      <c r="N210" s="51"/>
      <c r="O210" s="51"/>
      <c r="P210" s="51"/>
      <c r="Q210" s="51"/>
      <c r="R210" s="51"/>
      <c r="S210" s="51"/>
      <c r="T210" s="51"/>
      <c r="U210" s="51"/>
      <c r="V210" s="51"/>
      <c r="W210" s="51"/>
      <c r="X210" s="51"/>
      <c r="Y210" s="51"/>
      <c r="Z210" s="51"/>
      <c r="AA210" s="51"/>
      <c r="AB210" s="51"/>
    </row>
    <row r="211" customFormat="false" ht="15.75" hidden="false" customHeight="false" outlineLevel="0" collapsed="false">
      <c r="A211" s="51"/>
      <c r="B211" s="51"/>
      <c r="C211" s="6"/>
      <c r="D211" s="49"/>
      <c r="E211" s="51"/>
      <c r="F211" s="6"/>
      <c r="G211" s="6"/>
      <c r="H211" s="6"/>
      <c r="I211" s="6"/>
      <c r="J211" s="6"/>
      <c r="K211" s="51"/>
      <c r="L211" s="51"/>
      <c r="M211" s="51"/>
      <c r="N211" s="51"/>
      <c r="O211" s="51"/>
      <c r="P211" s="51"/>
      <c r="Q211" s="51"/>
      <c r="R211" s="51"/>
      <c r="S211" s="51"/>
      <c r="T211" s="51"/>
      <c r="U211" s="51"/>
      <c r="V211" s="51"/>
      <c r="W211" s="51"/>
      <c r="X211" s="51"/>
      <c r="Y211" s="51"/>
      <c r="Z211" s="51"/>
      <c r="AA211" s="51"/>
      <c r="AB211" s="51"/>
    </row>
    <row r="212" customFormat="false" ht="15.75" hidden="false" customHeight="false" outlineLevel="0" collapsed="false">
      <c r="A212" s="51"/>
      <c r="B212" s="51"/>
      <c r="C212" s="6"/>
      <c r="D212" s="49"/>
      <c r="E212" s="51"/>
      <c r="F212" s="6"/>
      <c r="G212" s="6"/>
      <c r="H212" s="6"/>
      <c r="I212" s="6"/>
      <c r="J212" s="6"/>
      <c r="K212" s="51"/>
      <c r="L212" s="51"/>
      <c r="M212" s="51"/>
      <c r="N212" s="51"/>
      <c r="O212" s="51"/>
      <c r="P212" s="51"/>
      <c r="Q212" s="51"/>
      <c r="R212" s="51"/>
      <c r="S212" s="51"/>
      <c r="T212" s="51"/>
      <c r="U212" s="51"/>
      <c r="V212" s="51"/>
      <c r="W212" s="51"/>
      <c r="X212" s="51"/>
      <c r="Y212" s="51"/>
      <c r="Z212" s="51"/>
      <c r="AA212" s="51"/>
      <c r="AB212" s="51"/>
    </row>
    <row r="213" customFormat="false" ht="15.75" hidden="false" customHeight="false" outlineLevel="0" collapsed="false">
      <c r="A213" s="51"/>
      <c r="B213" s="51"/>
      <c r="C213" s="6"/>
      <c r="D213" s="49"/>
      <c r="E213" s="51"/>
      <c r="F213" s="6"/>
      <c r="G213" s="6"/>
      <c r="H213" s="6"/>
      <c r="I213" s="6"/>
      <c r="J213" s="6"/>
      <c r="K213" s="51"/>
      <c r="L213" s="51"/>
      <c r="M213" s="51"/>
      <c r="N213" s="51"/>
      <c r="O213" s="51"/>
      <c r="P213" s="51"/>
      <c r="Q213" s="51"/>
      <c r="R213" s="51"/>
      <c r="S213" s="51"/>
      <c r="T213" s="51"/>
      <c r="U213" s="51"/>
      <c r="V213" s="51"/>
      <c r="W213" s="51"/>
      <c r="X213" s="51"/>
      <c r="Y213" s="51"/>
      <c r="Z213" s="51"/>
      <c r="AA213" s="51"/>
      <c r="AB213" s="51"/>
    </row>
    <row r="214" customFormat="false" ht="15.75" hidden="false" customHeight="false" outlineLevel="0" collapsed="false">
      <c r="A214" s="51"/>
      <c r="B214" s="51"/>
      <c r="C214" s="6"/>
      <c r="D214" s="49"/>
      <c r="E214" s="51"/>
      <c r="F214" s="6"/>
      <c r="G214" s="6"/>
      <c r="H214" s="6"/>
      <c r="I214" s="6"/>
      <c r="J214" s="6"/>
      <c r="K214" s="51"/>
      <c r="L214" s="51"/>
      <c r="M214" s="51"/>
      <c r="N214" s="51"/>
      <c r="O214" s="51"/>
      <c r="P214" s="51"/>
      <c r="Q214" s="51"/>
      <c r="R214" s="51"/>
      <c r="S214" s="51"/>
      <c r="T214" s="51"/>
      <c r="U214" s="51"/>
      <c r="V214" s="51"/>
      <c r="W214" s="51"/>
      <c r="X214" s="51"/>
      <c r="Y214" s="51"/>
      <c r="Z214" s="51"/>
      <c r="AA214" s="51"/>
      <c r="AB214" s="51"/>
    </row>
    <row r="215" customFormat="false" ht="15.75" hidden="false" customHeight="false" outlineLevel="0" collapsed="false">
      <c r="A215" s="51"/>
      <c r="B215" s="51"/>
      <c r="C215" s="6"/>
      <c r="D215" s="49"/>
      <c r="E215" s="51"/>
      <c r="F215" s="6"/>
      <c r="G215" s="6"/>
      <c r="H215" s="6"/>
      <c r="I215" s="6"/>
      <c r="J215" s="6"/>
      <c r="K215" s="51"/>
      <c r="L215" s="51"/>
      <c r="M215" s="51"/>
      <c r="N215" s="51"/>
      <c r="O215" s="51"/>
      <c r="P215" s="51"/>
      <c r="Q215" s="51"/>
      <c r="R215" s="51"/>
      <c r="S215" s="51"/>
      <c r="T215" s="51"/>
      <c r="U215" s="51"/>
      <c r="V215" s="51"/>
      <c r="W215" s="51"/>
      <c r="X215" s="51"/>
      <c r="Y215" s="51"/>
      <c r="Z215" s="51"/>
      <c r="AA215" s="51"/>
      <c r="AB215" s="51"/>
    </row>
    <row r="216" customFormat="false" ht="15.75" hidden="false" customHeight="false" outlineLevel="0" collapsed="false">
      <c r="A216" s="51"/>
      <c r="B216" s="51"/>
      <c r="C216" s="6"/>
      <c r="D216" s="49"/>
      <c r="E216" s="51"/>
      <c r="F216" s="6"/>
      <c r="G216" s="6"/>
      <c r="H216" s="6"/>
      <c r="I216" s="6"/>
      <c r="J216" s="6"/>
      <c r="K216" s="51"/>
      <c r="L216" s="51"/>
      <c r="M216" s="51"/>
      <c r="N216" s="51"/>
      <c r="O216" s="51"/>
      <c r="P216" s="51"/>
      <c r="Q216" s="51"/>
      <c r="R216" s="51"/>
      <c r="S216" s="51"/>
      <c r="T216" s="51"/>
      <c r="U216" s="51"/>
      <c r="V216" s="51"/>
      <c r="W216" s="51"/>
      <c r="X216" s="51"/>
      <c r="Y216" s="51"/>
      <c r="Z216" s="51"/>
      <c r="AA216" s="51"/>
      <c r="AB216" s="51"/>
    </row>
    <row r="217" customFormat="false" ht="15.75" hidden="false" customHeight="false" outlineLevel="0" collapsed="false">
      <c r="A217" s="51"/>
      <c r="B217" s="51"/>
      <c r="C217" s="6"/>
      <c r="D217" s="49"/>
      <c r="E217" s="51"/>
      <c r="F217" s="6"/>
      <c r="G217" s="6"/>
      <c r="H217" s="6"/>
      <c r="I217" s="6"/>
      <c r="J217" s="6"/>
      <c r="K217" s="51"/>
      <c r="L217" s="51"/>
      <c r="M217" s="51"/>
      <c r="N217" s="51"/>
      <c r="O217" s="51"/>
      <c r="P217" s="51"/>
      <c r="Q217" s="51"/>
      <c r="R217" s="51"/>
      <c r="S217" s="51"/>
      <c r="T217" s="51"/>
      <c r="U217" s="51"/>
      <c r="V217" s="51"/>
      <c r="W217" s="51"/>
      <c r="X217" s="51"/>
      <c r="Y217" s="51"/>
      <c r="Z217" s="51"/>
      <c r="AA217" s="51"/>
      <c r="AB217" s="51"/>
    </row>
    <row r="218" customFormat="false" ht="15.75" hidden="false" customHeight="false" outlineLevel="0" collapsed="false">
      <c r="A218" s="51"/>
      <c r="B218" s="51"/>
      <c r="C218" s="6"/>
      <c r="D218" s="49"/>
      <c r="E218" s="51"/>
      <c r="F218" s="6"/>
      <c r="G218" s="6"/>
      <c r="H218" s="6"/>
      <c r="I218" s="6"/>
      <c r="J218" s="6"/>
      <c r="K218" s="51"/>
      <c r="L218" s="51"/>
      <c r="M218" s="51"/>
      <c r="N218" s="51"/>
      <c r="O218" s="51"/>
      <c r="P218" s="51"/>
      <c r="Q218" s="51"/>
      <c r="R218" s="51"/>
      <c r="S218" s="51"/>
      <c r="T218" s="51"/>
      <c r="U218" s="51"/>
      <c r="V218" s="51"/>
      <c r="W218" s="51"/>
      <c r="X218" s="51"/>
      <c r="Y218" s="51"/>
      <c r="Z218" s="51"/>
      <c r="AA218" s="51"/>
      <c r="AB218" s="51"/>
    </row>
    <row r="219" customFormat="false" ht="15.75" hidden="false" customHeight="false" outlineLevel="0" collapsed="false">
      <c r="A219" s="51"/>
      <c r="B219" s="51"/>
      <c r="C219" s="6"/>
      <c r="D219" s="49"/>
      <c r="E219" s="51"/>
      <c r="F219" s="6"/>
      <c r="G219" s="6"/>
      <c r="H219" s="6"/>
      <c r="I219" s="6"/>
      <c r="J219" s="6"/>
      <c r="K219" s="51"/>
      <c r="L219" s="51"/>
      <c r="M219" s="51"/>
      <c r="N219" s="51"/>
      <c r="O219" s="51"/>
      <c r="P219" s="51"/>
      <c r="Q219" s="51"/>
      <c r="R219" s="51"/>
      <c r="S219" s="51"/>
      <c r="T219" s="51"/>
      <c r="U219" s="51"/>
      <c r="V219" s="51"/>
      <c r="W219" s="51"/>
      <c r="X219" s="51"/>
      <c r="Y219" s="51"/>
      <c r="Z219" s="51"/>
      <c r="AA219" s="51"/>
      <c r="AB219" s="51"/>
    </row>
    <row r="220" customFormat="false" ht="15.75" hidden="false" customHeight="false" outlineLevel="0" collapsed="false">
      <c r="A220" s="51"/>
      <c r="B220" s="51"/>
      <c r="C220" s="6"/>
      <c r="D220" s="49"/>
      <c r="E220" s="51"/>
      <c r="F220" s="6"/>
      <c r="G220" s="6"/>
      <c r="H220" s="6"/>
      <c r="I220" s="6"/>
      <c r="J220" s="6"/>
      <c r="K220" s="51"/>
      <c r="L220" s="51"/>
      <c r="M220" s="51"/>
      <c r="N220" s="51"/>
      <c r="O220" s="51"/>
      <c r="P220" s="51"/>
      <c r="Q220" s="51"/>
      <c r="R220" s="51"/>
      <c r="S220" s="51"/>
      <c r="T220" s="51"/>
      <c r="U220" s="51"/>
      <c r="V220" s="51"/>
      <c r="W220" s="51"/>
      <c r="X220" s="51"/>
      <c r="Y220" s="51"/>
      <c r="Z220" s="51"/>
      <c r="AA220" s="51"/>
      <c r="AB220" s="51"/>
    </row>
    <row r="221" customFormat="false" ht="15.75" hidden="false" customHeight="false" outlineLevel="0" collapsed="false">
      <c r="A221" s="51"/>
      <c r="B221" s="51"/>
      <c r="C221" s="6"/>
      <c r="D221" s="49"/>
      <c r="E221" s="51"/>
      <c r="F221" s="6"/>
      <c r="G221" s="6"/>
      <c r="H221" s="6"/>
      <c r="I221" s="6"/>
      <c r="J221" s="6"/>
      <c r="K221" s="51"/>
      <c r="L221" s="51"/>
      <c r="M221" s="51"/>
      <c r="N221" s="51"/>
      <c r="O221" s="51"/>
      <c r="P221" s="51"/>
      <c r="Q221" s="51"/>
      <c r="R221" s="51"/>
      <c r="S221" s="51"/>
      <c r="T221" s="51"/>
      <c r="U221" s="51"/>
      <c r="V221" s="51"/>
      <c r="W221" s="51"/>
      <c r="X221" s="51"/>
      <c r="Y221" s="51"/>
      <c r="Z221" s="51"/>
      <c r="AA221" s="51"/>
      <c r="AB221" s="51"/>
    </row>
    <row r="222" customFormat="false" ht="15.75" hidden="false" customHeight="false" outlineLevel="0" collapsed="false">
      <c r="A222" s="51"/>
      <c r="B222" s="51"/>
      <c r="C222" s="6"/>
      <c r="D222" s="49"/>
      <c r="E222" s="51"/>
      <c r="F222" s="6"/>
      <c r="G222" s="6"/>
      <c r="H222" s="6"/>
      <c r="I222" s="6"/>
      <c r="J222" s="6"/>
      <c r="K222" s="51"/>
      <c r="L222" s="51"/>
      <c r="M222" s="51"/>
      <c r="N222" s="51"/>
      <c r="O222" s="51"/>
      <c r="P222" s="51"/>
      <c r="Q222" s="51"/>
      <c r="R222" s="51"/>
      <c r="S222" s="51"/>
      <c r="T222" s="51"/>
      <c r="U222" s="51"/>
      <c r="V222" s="51"/>
      <c r="W222" s="51"/>
      <c r="X222" s="51"/>
      <c r="Y222" s="51"/>
      <c r="Z222" s="51"/>
      <c r="AA222" s="51"/>
      <c r="AB222" s="51"/>
    </row>
    <row r="223" customFormat="false" ht="15.75" hidden="false" customHeight="false" outlineLevel="0" collapsed="false">
      <c r="A223" s="51"/>
      <c r="B223" s="51"/>
      <c r="C223" s="6"/>
      <c r="D223" s="49"/>
      <c r="E223" s="51"/>
      <c r="F223" s="6"/>
      <c r="G223" s="6"/>
      <c r="H223" s="6"/>
      <c r="I223" s="6"/>
      <c r="J223" s="6"/>
      <c r="K223" s="51"/>
      <c r="L223" s="51"/>
      <c r="M223" s="51"/>
      <c r="N223" s="51"/>
      <c r="O223" s="51"/>
      <c r="P223" s="51"/>
      <c r="Q223" s="51"/>
      <c r="R223" s="51"/>
      <c r="S223" s="51"/>
      <c r="T223" s="51"/>
      <c r="U223" s="51"/>
      <c r="V223" s="51"/>
      <c r="W223" s="51"/>
      <c r="X223" s="51"/>
      <c r="Y223" s="51"/>
      <c r="Z223" s="51"/>
      <c r="AA223" s="51"/>
      <c r="AB223" s="51"/>
    </row>
    <row r="224" customFormat="false" ht="15.75" hidden="false" customHeight="false" outlineLevel="0" collapsed="false">
      <c r="A224" s="51"/>
      <c r="B224" s="51"/>
      <c r="C224" s="6"/>
      <c r="D224" s="49"/>
      <c r="E224" s="51"/>
      <c r="F224" s="6"/>
      <c r="G224" s="6"/>
      <c r="H224" s="6"/>
      <c r="I224" s="6"/>
      <c r="J224" s="6"/>
      <c r="K224" s="51"/>
      <c r="L224" s="51"/>
      <c r="M224" s="51"/>
      <c r="N224" s="51"/>
      <c r="O224" s="51"/>
      <c r="P224" s="51"/>
      <c r="Q224" s="51"/>
      <c r="R224" s="51"/>
      <c r="S224" s="51"/>
      <c r="T224" s="51"/>
      <c r="U224" s="51"/>
      <c r="V224" s="51"/>
      <c r="W224" s="51"/>
      <c r="X224" s="51"/>
      <c r="Y224" s="51"/>
      <c r="Z224" s="51"/>
      <c r="AA224" s="51"/>
      <c r="AB224" s="51"/>
    </row>
    <row r="225" customFormat="false" ht="15.75" hidden="false" customHeight="false" outlineLevel="0" collapsed="false">
      <c r="A225" s="51"/>
      <c r="B225" s="51"/>
      <c r="C225" s="6"/>
      <c r="D225" s="49"/>
      <c r="E225" s="51"/>
      <c r="F225" s="6"/>
      <c r="G225" s="6"/>
      <c r="H225" s="6"/>
      <c r="I225" s="6"/>
      <c r="J225" s="6"/>
      <c r="K225" s="51"/>
      <c r="L225" s="51"/>
      <c r="M225" s="51"/>
      <c r="N225" s="51"/>
      <c r="O225" s="51"/>
      <c r="P225" s="51"/>
      <c r="Q225" s="51"/>
      <c r="R225" s="51"/>
      <c r="S225" s="51"/>
      <c r="T225" s="51"/>
      <c r="U225" s="51"/>
      <c r="V225" s="51"/>
      <c r="W225" s="51"/>
      <c r="X225" s="51"/>
      <c r="Y225" s="51"/>
      <c r="Z225" s="51"/>
      <c r="AA225" s="51"/>
      <c r="AB225" s="51"/>
    </row>
    <row r="226" customFormat="false" ht="15.75" hidden="false" customHeight="false" outlineLevel="0" collapsed="false">
      <c r="A226" s="51"/>
      <c r="B226" s="51"/>
      <c r="C226" s="6"/>
      <c r="D226" s="49"/>
      <c r="E226" s="51"/>
      <c r="F226" s="6"/>
      <c r="G226" s="6"/>
      <c r="H226" s="6"/>
      <c r="I226" s="6"/>
      <c r="J226" s="6"/>
      <c r="K226" s="51"/>
      <c r="L226" s="51"/>
      <c r="M226" s="51"/>
      <c r="N226" s="51"/>
      <c r="O226" s="51"/>
      <c r="P226" s="51"/>
      <c r="Q226" s="51"/>
      <c r="R226" s="51"/>
      <c r="S226" s="51"/>
      <c r="T226" s="51"/>
      <c r="U226" s="51"/>
      <c r="V226" s="51"/>
      <c r="W226" s="51"/>
      <c r="X226" s="51"/>
      <c r="Y226" s="51"/>
      <c r="Z226" s="51"/>
      <c r="AA226" s="51"/>
      <c r="AB226" s="51"/>
    </row>
    <row r="227" customFormat="false" ht="15.75" hidden="false" customHeight="false" outlineLevel="0" collapsed="false">
      <c r="A227" s="51"/>
      <c r="B227" s="51"/>
      <c r="C227" s="6"/>
      <c r="D227" s="49"/>
      <c r="E227" s="51"/>
      <c r="F227" s="6"/>
      <c r="G227" s="6"/>
      <c r="H227" s="6"/>
      <c r="I227" s="6"/>
      <c r="J227" s="6"/>
      <c r="K227" s="51"/>
      <c r="L227" s="51"/>
      <c r="M227" s="51"/>
      <c r="N227" s="51"/>
      <c r="O227" s="51"/>
      <c r="P227" s="51"/>
      <c r="Q227" s="51"/>
      <c r="R227" s="51"/>
      <c r="S227" s="51"/>
      <c r="T227" s="51"/>
      <c r="U227" s="51"/>
      <c r="V227" s="51"/>
      <c r="W227" s="51"/>
      <c r="X227" s="51"/>
      <c r="Y227" s="51"/>
      <c r="Z227" s="51"/>
      <c r="AA227" s="51"/>
      <c r="AB227" s="51"/>
    </row>
    <row r="228" customFormat="false" ht="15.75" hidden="false" customHeight="false" outlineLevel="0" collapsed="false">
      <c r="A228" s="51"/>
      <c r="B228" s="51"/>
      <c r="C228" s="6"/>
      <c r="D228" s="49"/>
      <c r="E228" s="51"/>
      <c r="F228" s="6"/>
      <c r="G228" s="6"/>
      <c r="H228" s="6"/>
      <c r="I228" s="6"/>
      <c r="J228" s="6"/>
      <c r="K228" s="51"/>
      <c r="L228" s="51"/>
      <c r="M228" s="51"/>
      <c r="N228" s="51"/>
      <c r="O228" s="51"/>
      <c r="P228" s="51"/>
      <c r="Q228" s="51"/>
      <c r="R228" s="51"/>
      <c r="S228" s="51"/>
      <c r="T228" s="51"/>
      <c r="U228" s="51"/>
      <c r="V228" s="51"/>
      <c r="W228" s="51"/>
      <c r="X228" s="51"/>
      <c r="Y228" s="51"/>
      <c r="Z228" s="51"/>
      <c r="AA228" s="51"/>
      <c r="AB228" s="51"/>
    </row>
    <row r="229" customFormat="false" ht="15.75" hidden="false" customHeight="false" outlineLevel="0" collapsed="false">
      <c r="A229" s="51"/>
      <c r="B229" s="51"/>
      <c r="C229" s="6"/>
      <c r="D229" s="49"/>
      <c r="E229" s="51"/>
      <c r="F229" s="6"/>
      <c r="G229" s="6"/>
      <c r="H229" s="6"/>
      <c r="I229" s="6"/>
      <c r="J229" s="6"/>
      <c r="K229" s="51"/>
      <c r="L229" s="51"/>
      <c r="M229" s="51"/>
      <c r="N229" s="51"/>
      <c r="O229" s="51"/>
      <c r="P229" s="51"/>
      <c r="Q229" s="51"/>
      <c r="R229" s="51"/>
      <c r="S229" s="51"/>
      <c r="T229" s="51"/>
      <c r="U229" s="51"/>
      <c r="V229" s="51"/>
      <c r="W229" s="51"/>
      <c r="X229" s="51"/>
      <c r="Y229" s="51"/>
      <c r="Z229" s="51"/>
      <c r="AA229" s="51"/>
      <c r="AB229" s="51"/>
    </row>
    <row r="230" customFormat="false" ht="15.75" hidden="false" customHeight="false" outlineLevel="0" collapsed="false">
      <c r="A230" s="51"/>
      <c r="B230" s="51"/>
      <c r="C230" s="6"/>
      <c r="D230" s="49"/>
      <c r="E230" s="51"/>
      <c r="F230" s="6"/>
      <c r="G230" s="6"/>
      <c r="H230" s="6"/>
      <c r="I230" s="6"/>
      <c r="J230" s="6"/>
      <c r="K230" s="51"/>
      <c r="L230" s="51"/>
      <c r="M230" s="51"/>
      <c r="N230" s="51"/>
      <c r="O230" s="51"/>
      <c r="P230" s="51"/>
      <c r="Q230" s="51"/>
      <c r="R230" s="51"/>
      <c r="S230" s="51"/>
      <c r="T230" s="51"/>
      <c r="U230" s="51"/>
      <c r="V230" s="51"/>
      <c r="W230" s="51"/>
      <c r="X230" s="51"/>
      <c r="Y230" s="51"/>
      <c r="Z230" s="51"/>
      <c r="AA230" s="51"/>
      <c r="AB230" s="51"/>
    </row>
    <row r="231" customFormat="false" ht="15.75" hidden="false" customHeight="false" outlineLevel="0" collapsed="false">
      <c r="A231" s="51"/>
      <c r="B231" s="51"/>
      <c r="C231" s="6"/>
      <c r="D231" s="49"/>
      <c r="E231" s="51"/>
      <c r="F231" s="6"/>
      <c r="G231" s="6"/>
      <c r="H231" s="6"/>
      <c r="I231" s="6"/>
      <c r="J231" s="6"/>
      <c r="K231" s="51"/>
      <c r="L231" s="51"/>
      <c r="M231" s="51"/>
      <c r="N231" s="51"/>
      <c r="O231" s="51"/>
      <c r="P231" s="51"/>
      <c r="Q231" s="51"/>
      <c r="R231" s="51"/>
      <c r="S231" s="51"/>
      <c r="T231" s="51"/>
      <c r="U231" s="51"/>
      <c r="V231" s="51"/>
      <c r="W231" s="51"/>
      <c r="X231" s="51"/>
      <c r="Y231" s="51"/>
      <c r="Z231" s="51"/>
      <c r="AA231" s="51"/>
      <c r="AB231" s="51"/>
    </row>
    <row r="232" customFormat="false" ht="15.75" hidden="false" customHeight="false" outlineLevel="0" collapsed="false">
      <c r="A232" s="51"/>
      <c r="B232" s="51"/>
      <c r="C232" s="6"/>
      <c r="D232" s="49"/>
      <c r="E232" s="51"/>
      <c r="F232" s="6"/>
      <c r="G232" s="6"/>
      <c r="H232" s="6"/>
      <c r="I232" s="6"/>
      <c r="J232" s="6"/>
      <c r="K232" s="51"/>
      <c r="L232" s="51"/>
      <c r="M232" s="51"/>
      <c r="N232" s="51"/>
      <c r="O232" s="51"/>
      <c r="P232" s="51"/>
      <c r="Q232" s="51"/>
      <c r="R232" s="51"/>
      <c r="S232" s="51"/>
      <c r="T232" s="51"/>
      <c r="U232" s="51"/>
      <c r="V232" s="51"/>
      <c r="W232" s="51"/>
      <c r="X232" s="51"/>
      <c r="Y232" s="51"/>
      <c r="Z232" s="51"/>
      <c r="AA232" s="51"/>
      <c r="AB232" s="51"/>
    </row>
    <row r="233" customFormat="false" ht="15.75" hidden="false" customHeight="false" outlineLevel="0" collapsed="false">
      <c r="A233" s="51"/>
      <c r="B233" s="51"/>
      <c r="C233" s="6"/>
      <c r="D233" s="49"/>
      <c r="E233" s="51"/>
      <c r="F233" s="6"/>
      <c r="G233" s="6"/>
      <c r="H233" s="6"/>
      <c r="I233" s="6"/>
      <c r="J233" s="6"/>
      <c r="K233" s="51"/>
      <c r="L233" s="51"/>
      <c r="M233" s="51"/>
      <c r="N233" s="51"/>
      <c r="O233" s="51"/>
      <c r="P233" s="51"/>
      <c r="Q233" s="51"/>
      <c r="R233" s="51"/>
      <c r="S233" s="51"/>
      <c r="T233" s="51"/>
      <c r="U233" s="51"/>
      <c r="V233" s="51"/>
      <c r="W233" s="51"/>
      <c r="X233" s="51"/>
      <c r="Y233" s="51"/>
      <c r="Z233" s="51"/>
      <c r="AA233" s="51"/>
      <c r="AB233" s="51"/>
    </row>
    <row r="234" customFormat="false" ht="15.75" hidden="false" customHeight="false" outlineLevel="0" collapsed="false">
      <c r="A234" s="51"/>
      <c r="B234" s="51"/>
      <c r="C234" s="6"/>
      <c r="D234" s="49"/>
      <c r="E234" s="51"/>
      <c r="F234" s="6"/>
      <c r="G234" s="6"/>
      <c r="H234" s="6"/>
      <c r="I234" s="6"/>
      <c r="J234" s="6"/>
      <c r="K234" s="51"/>
      <c r="L234" s="51"/>
      <c r="M234" s="51"/>
      <c r="N234" s="51"/>
      <c r="O234" s="51"/>
      <c r="P234" s="51"/>
      <c r="Q234" s="51"/>
      <c r="R234" s="51"/>
      <c r="S234" s="51"/>
      <c r="T234" s="51"/>
      <c r="U234" s="51"/>
      <c r="V234" s="51"/>
      <c r="W234" s="51"/>
      <c r="X234" s="51"/>
      <c r="Y234" s="51"/>
      <c r="Z234" s="51"/>
      <c r="AA234" s="51"/>
      <c r="AB234" s="51"/>
    </row>
    <row r="235" customFormat="false" ht="15.75" hidden="false" customHeight="false" outlineLevel="0" collapsed="false">
      <c r="A235" s="51"/>
      <c r="B235" s="51"/>
      <c r="C235" s="6"/>
      <c r="D235" s="49"/>
      <c r="E235" s="51"/>
      <c r="F235" s="6"/>
      <c r="G235" s="6"/>
      <c r="H235" s="6"/>
      <c r="I235" s="6"/>
      <c r="J235" s="6"/>
      <c r="K235" s="51"/>
      <c r="L235" s="51"/>
      <c r="M235" s="51"/>
      <c r="N235" s="51"/>
      <c r="O235" s="51"/>
      <c r="P235" s="51"/>
      <c r="Q235" s="51"/>
      <c r="R235" s="51"/>
      <c r="S235" s="51"/>
      <c r="T235" s="51"/>
      <c r="U235" s="51"/>
      <c r="V235" s="51"/>
      <c r="W235" s="51"/>
      <c r="X235" s="51"/>
      <c r="Y235" s="51"/>
      <c r="Z235" s="51"/>
      <c r="AA235" s="51"/>
      <c r="AB235" s="51"/>
    </row>
    <row r="236" customFormat="false" ht="15.75" hidden="false" customHeight="false" outlineLevel="0" collapsed="false">
      <c r="A236" s="51"/>
      <c r="B236" s="51"/>
      <c r="C236" s="6"/>
      <c r="D236" s="49"/>
      <c r="E236" s="51"/>
      <c r="F236" s="6"/>
      <c r="G236" s="6"/>
      <c r="H236" s="6"/>
      <c r="I236" s="6"/>
      <c r="J236" s="6"/>
      <c r="K236" s="51"/>
      <c r="L236" s="51"/>
      <c r="M236" s="51"/>
      <c r="N236" s="51"/>
      <c r="O236" s="51"/>
      <c r="P236" s="51"/>
      <c r="Q236" s="51"/>
      <c r="R236" s="51"/>
      <c r="S236" s="51"/>
      <c r="T236" s="51"/>
      <c r="U236" s="51"/>
      <c r="V236" s="51"/>
      <c r="W236" s="51"/>
      <c r="X236" s="51"/>
      <c r="Y236" s="51"/>
      <c r="Z236" s="51"/>
      <c r="AA236" s="51"/>
      <c r="AB236" s="51"/>
    </row>
    <row r="237" customFormat="false" ht="15.75" hidden="false" customHeight="false" outlineLevel="0" collapsed="false">
      <c r="A237" s="51"/>
      <c r="B237" s="51"/>
      <c r="C237" s="6"/>
      <c r="D237" s="49"/>
      <c r="E237" s="51"/>
      <c r="F237" s="6"/>
      <c r="G237" s="6"/>
      <c r="H237" s="6"/>
      <c r="I237" s="6"/>
      <c r="J237" s="6"/>
      <c r="K237" s="51"/>
      <c r="L237" s="51"/>
      <c r="M237" s="51"/>
      <c r="N237" s="51"/>
      <c r="O237" s="51"/>
      <c r="P237" s="51"/>
      <c r="Q237" s="51"/>
      <c r="R237" s="51"/>
      <c r="S237" s="51"/>
      <c r="T237" s="51"/>
      <c r="U237" s="51"/>
      <c r="V237" s="51"/>
      <c r="W237" s="51"/>
      <c r="X237" s="51"/>
      <c r="Y237" s="51"/>
      <c r="Z237" s="51"/>
      <c r="AA237" s="51"/>
      <c r="AB237" s="51"/>
    </row>
    <row r="238" customFormat="false" ht="15.75" hidden="false" customHeight="false" outlineLevel="0" collapsed="false">
      <c r="A238" s="51"/>
      <c r="B238" s="51"/>
      <c r="C238" s="6"/>
      <c r="D238" s="49"/>
      <c r="E238" s="51"/>
      <c r="F238" s="6"/>
      <c r="G238" s="6"/>
      <c r="H238" s="6"/>
      <c r="I238" s="6"/>
      <c r="J238" s="6"/>
      <c r="K238" s="51"/>
      <c r="L238" s="51"/>
      <c r="M238" s="51"/>
      <c r="N238" s="51"/>
      <c r="O238" s="51"/>
      <c r="P238" s="51"/>
      <c r="Q238" s="51"/>
      <c r="R238" s="51"/>
      <c r="S238" s="51"/>
      <c r="T238" s="51"/>
      <c r="U238" s="51"/>
      <c r="V238" s="51"/>
      <c r="W238" s="51"/>
      <c r="X238" s="51"/>
      <c r="Y238" s="51"/>
      <c r="Z238" s="51"/>
      <c r="AA238" s="51"/>
      <c r="AB238" s="51"/>
    </row>
    <row r="239" customFormat="false" ht="15.75" hidden="false" customHeight="false" outlineLevel="0" collapsed="false">
      <c r="A239" s="51"/>
      <c r="B239" s="51"/>
      <c r="C239" s="6"/>
      <c r="D239" s="49"/>
      <c r="E239" s="51"/>
      <c r="F239" s="6"/>
      <c r="G239" s="6"/>
      <c r="H239" s="6"/>
      <c r="I239" s="6"/>
      <c r="J239" s="6"/>
      <c r="K239" s="51"/>
      <c r="L239" s="51"/>
      <c r="M239" s="51"/>
      <c r="N239" s="51"/>
      <c r="O239" s="51"/>
      <c r="P239" s="51"/>
      <c r="Q239" s="51"/>
      <c r="R239" s="51"/>
      <c r="S239" s="51"/>
      <c r="T239" s="51"/>
      <c r="U239" s="51"/>
      <c r="V239" s="51"/>
      <c r="W239" s="51"/>
      <c r="X239" s="51"/>
      <c r="Y239" s="51"/>
      <c r="Z239" s="51"/>
      <c r="AA239" s="51"/>
      <c r="AB239" s="51"/>
    </row>
    <row r="240" customFormat="false" ht="15.75" hidden="false" customHeight="false" outlineLevel="0" collapsed="false">
      <c r="A240" s="51"/>
      <c r="B240" s="51"/>
      <c r="C240" s="6"/>
      <c r="D240" s="49"/>
      <c r="E240" s="51"/>
      <c r="F240" s="6"/>
      <c r="G240" s="6"/>
      <c r="H240" s="6"/>
      <c r="I240" s="6"/>
      <c r="J240" s="6"/>
      <c r="K240" s="51"/>
      <c r="L240" s="51"/>
      <c r="M240" s="51"/>
      <c r="N240" s="51"/>
      <c r="O240" s="51"/>
      <c r="P240" s="51"/>
      <c r="Q240" s="51"/>
      <c r="R240" s="51"/>
      <c r="S240" s="51"/>
      <c r="T240" s="51"/>
      <c r="U240" s="51"/>
      <c r="V240" s="51"/>
      <c r="W240" s="51"/>
      <c r="X240" s="51"/>
      <c r="Y240" s="51"/>
      <c r="Z240" s="51"/>
      <c r="AA240" s="51"/>
      <c r="AB240" s="51"/>
    </row>
    <row r="241" customFormat="false" ht="15.75" hidden="false" customHeight="false" outlineLevel="0" collapsed="false">
      <c r="A241" s="51"/>
      <c r="B241" s="51"/>
      <c r="C241" s="6"/>
      <c r="D241" s="49"/>
      <c r="E241" s="51"/>
      <c r="F241" s="6"/>
      <c r="G241" s="6"/>
      <c r="H241" s="6"/>
      <c r="I241" s="6"/>
      <c r="J241" s="6"/>
      <c r="K241" s="51"/>
      <c r="L241" s="51"/>
      <c r="M241" s="51"/>
      <c r="N241" s="51"/>
      <c r="O241" s="51"/>
      <c r="P241" s="51"/>
      <c r="Q241" s="51"/>
      <c r="R241" s="51"/>
      <c r="S241" s="51"/>
      <c r="T241" s="51"/>
      <c r="U241" s="51"/>
      <c r="V241" s="51"/>
      <c r="W241" s="51"/>
      <c r="X241" s="51"/>
      <c r="Y241" s="51"/>
      <c r="Z241" s="51"/>
      <c r="AA241" s="51"/>
      <c r="AB241" s="51"/>
    </row>
    <row r="242" customFormat="false" ht="15.75" hidden="false" customHeight="false" outlineLevel="0" collapsed="false">
      <c r="A242" s="51"/>
      <c r="B242" s="51"/>
      <c r="C242" s="6"/>
      <c r="D242" s="49"/>
      <c r="E242" s="51"/>
      <c r="F242" s="6"/>
      <c r="G242" s="6"/>
      <c r="H242" s="6"/>
      <c r="I242" s="6"/>
      <c r="J242" s="6"/>
      <c r="K242" s="51"/>
      <c r="L242" s="51"/>
      <c r="M242" s="51"/>
      <c r="N242" s="51"/>
      <c r="O242" s="51"/>
      <c r="P242" s="51"/>
      <c r="Q242" s="51"/>
      <c r="R242" s="51"/>
      <c r="S242" s="51"/>
      <c r="T242" s="51"/>
      <c r="U242" s="51"/>
      <c r="V242" s="51"/>
      <c r="W242" s="51"/>
      <c r="X242" s="51"/>
      <c r="Y242" s="51"/>
      <c r="Z242" s="51"/>
      <c r="AA242" s="51"/>
      <c r="AB242" s="51"/>
    </row>
    <row r="243" customFormat="false" ht="15.75" hidden="false" customHeight="false" outlineLevel="0" collapsed="false">
      <c r="A243" s="51"/>
      <c r="B243" s="51"/>
      <c r="C243" s="6"/>
      <c r="D243" s="49"/>
      <c r="E243" s="51"/>
      <c r="F243" s="6"/>
      <c r="G243" s="6"/>
      <c r="H243" s="6"/>
      <c r="I243" s="6"/>
      <c r="J243" s="6"/>
      <c r="K243" s="51"/>
      <c r="L243" s="51"/>
      <c r="M243" s="51"/>
      <c r="N243" s="51"/>
      <c r="O243" s="51"/>
      <c r="P243" s="51"/>
      <c r="Q243" s="51"/>
      <c r="R243" s="51"/>
      <c r="S243" s="51"/>
      <c r="T243" s="51"/>
      <c r="U243" s="51"/>
      <c r="V243" s="51"/>
      <c r="W243" s="51"/>
      <c r="X243" s="51"/>
      <c r="Y243" s="51"/>
      <c r="Z243" s="51"/>
      <c r="AA243" s="51"/>
      <c r="AB243" s="51"/>
    </row>
    <row r="244" customFormat="false" ht="15.75" hidden="false" customHeight="false" outlineLevel="0" collapsed="false">
      <c r="A244" s="51"/>
      <c r="B244" s="51"/>
      <c r="C244" s="6"/>
      <c r="D244" s="49"/>
      <c r="E244" s="51"/>
      <c r="F244" s="6"/>
      <c r="G244" s="6"/>
      <c r="H244" s="6"/>
      <c r="I244" s="6"/>
      <c r="J244" s="6"/>
      <c r="K244" s="51"/>
      <c r="L244" s="51"/>
      <c r="M244" s="51"/>
      <c r="N244" s="51"/>
      <c r="O244" s="51"/>
      <c r="P244" s="51"/>
      <c r="Q244" s="51"/>
      <c r="R244" s="51"/>
      <c r="S244" s="51"/>
      <c r="T244" s="51"/>
      <c r="U244" s="51"/>
      <c r="V244" s="51"/>
      <c r="W244" s="51"/>
      <c r="X244" s="51"/>
      <c r="Y244" s="51"/>
      <c r="Z244" s="51"/>
      <c r="AA244" s="51"/>
      <c r="AB244" s="51"/>
    </row>
    <row r="245" customFormat="false" ht="15.75" hidden="false" customHeight="false" outlineLevel="0" collapsed="false">
      <c r="A245" s="51"/>
      <c r="B245" s="51"/>
      <c r="C245" s="6"/>
      <c r="D245" s="49"/>
      <c r="E245" s="51"/>
      <c r="F245" s="6"/>
      <c r="G245" s="6"/>
      <c r="H245" s="6"/>
      <c r="I245" s="6"/>
      <c r="J245" s="6"/>
      <c r="K245" s="51"/>
      <c r="L245" s="51"/>
      <c r="M245" s="51"/>
      <c r="N245" s="51"/>
      <c r="O245" s="51"/>
      <c r="P245" s="51"/>
      <c r="Q245" s="51"/>
      <c r="R245" s="51"/>
      <c r="S245" s="51"/>
      <c r="T245" s="51"/>
      <c r="U245" s="51"/>
      <c r="V245" s="51"/>
      <c r="W245" s="51"/>
      <c r="X245" s="51"/>
      <c r="Y245" s="51"/>
      <c r="Z245" s="51"/>
      <c r="AA245" s="51"/>
      <c r="AB245" s="51"/>
    </row>
    <row r="246" customFormat="false" ht="15.75" hidden="false" customHeight="false" outlineLevel="0" collapsed="false">
      <c r="A246" s="51"/>
      <c r="B246" s="51"/>
      <c r="C246" s="6"/>
      <c r="D246" s="49"/>
      <c r="E246" s="51"/>
      <c r="F246" s="6"/>
      <c r="G246" s="6"/>
      <c r="H246" s="6"/>
      <c r="I246" s="6"/>
      <c r="J246" s="6"/>
      <c r="K246" s="51"/>
      <c r="L246" s="51"/>
      <c r="M246" s="51"/>
      <c r="N246" s="51"/>
      <c r="O246" s="51"/>
      <c r="P246" s="51"/>
      <c r="Q246" s="51"/>
      <c r="R246" s="51"/>
      <c r="S246" s="51"/>
      <c r="T246" s="51"/>
      <c r="U246" s="51"/>
      <c r="V246" s="51"/>
      <c r="W246" s="51"/>
      <c r="X246" s="51"/>
      <c r="Y246" s="51"/>
      <c r="Z246" s="51"/>
      <c r="AA246" s="51"/>
      <c r="AB246" s="51"/>
    </row>
    <row r="247" customFormat="false" ht="15.75" hidden="false" customHeight="false" outlineLevel="0" collapsed="false">
      <c r="A247" s="51"/>
      <c r="B247" s="51"/>
      <c r="C247" s="6"/>
      <c r="D247" s="49"/>
      <c r="E247" s="51"/>
      <c r="F247" s="6"/>
      <c r="G247" s="6"/>
      <c r="H247" s="6"/>
      <c r="I247" s="6"/>
      <c r="J247" s="6"/>
      <c r="K247" s="51"/>
      <c r="L247" s="51"/>
      <c r="M247" s="51"/>
      <c r="N247" s="51"/>
      <c r="O247" s="51"/>
      <c r="P247" s="51"/>
      <c r="Q247" s="51"/>
      <c r="R247" s="51"/>
      <c r="S247" s="51"/>
      <c r="T247" s="51"/>
      <c r="U247" s="51"/>
      <c r="V247" s="51"/>
      <c r="W247" s="51"/>
      <c r="X247" s="51"/>
      <c r="Y247" s="51"/>
      <c r="Z247" s="51"/>
      <c r="AA247" s="51"/>
      <c r="AB247" s="51"/>
    </row>
    <row r="248" customFormat="false" ht="15.75" hidden="false" customHeight="false" outlineLevel="0" collapsed="false">
      <c r="A248" s="51"/>
      <c r="B248" s="51"/>
      <c r="C248" s="6"/>
      <c r="D248" s="49"/>
      <c r="E248" s="51"/>
      <c r="F248" s="6"/>
      <c r="G248" s="6"/>
      <c r="H248" s="6"/>
      <c r="I248" s="6"/>
      <c r="J248" s="6"/>
      <c r="K248" s="51"/>
      <c r="L248" s="51"/>
      <c r="M248" s="51"/>
      <c r="N248" s="51"/>
      <c r="O248" s="51"/>
      <c r="P248" s="51"/>
      <c r="Q248" s="51"/>
      <c r="R248" s="51"/>
      <c r="S248" s="51"/>
      <c r="T248" s="51"/>
      <c r="U248" s="51"/>
      <c r="V248" s="51"/>
      <c r="W248" s="51"/>
      <c r="X248" s="51"/>
      <c r="Y248" s="51"/>
      <c r="Z248" s="51"/>
      <c r="AA248" s="51"/>
      <c r="AB248" s="51"/>
    </row>
    <row r="249" customFormat="false" ht="15.75" hidden="false" customHeight="false" outlineLevel="0" collapsed="false">
      <c r="A249" s="51"/>
      <c r="B249" s="51"/>
      <c r="C249" s="6"/>
      <c r="D249" s="49"/>
      <c r="E249" s="51"/>
      <c r="F249" s="6"/>
      <c r="G249" s="6"/>
      <c r="H249" s="6"/>
      <c r="I249" s="6"/>
      <c r="J249" s="6"/>
      <c r="K249" s="51"/>
      <c r="L249" s="51"/>
      <c r="M249" s="51"/>
      <c r="N249" s="51"/>
      <c r="O249" s="51"/>
      <c r="P249" s="51"/>
      <c r="Q249" s="51"/>
      <c r="R249" s="51"/>
      <c r="S249" s="51"/>
      <c r="T249" s="51"/>
      <c r="U249" s="51"/>
      <c r="V249" s="51"/>
      <c r="W249" s="51"/>
      <c r="X249" s="51"/>
      <c r="Y249" s="51"/>
      <c r="Z249" s="51"/>
      <c r="AA249" s="51"/>
      <c r="AB249" s="51"/>
    </row>
    <row r="250" customFormat="false" ht="15.75" hidden="false" customHeight="false" outlineLevel="0" collapsed="false">
      <c r="A250" s="51"/>
      <c r="B250" s="51"/>
      <c r="C250" s="6"/>
      <c r="D250" s="49"/>
      <c r="E250" s="51"/>
      <c r="F250" s="6"/>
      <c r="G250" s="6"/>
      <c r="H250" s="6"/>
      <c r="I250" s="6"/>
      <c r="J250" s="6"/>
      <c r="K250" s="51"/>
      <c r="L250" s="51"/>
      <c r="M250" s="51"/>
      <c r="N250" s="51"/>
      <c r="O250" s="51"/>
      <c r="P250" s="51"/>
      <c r="Q250" s="51"/>
      <c r="R250" s="51"/>
      <c r="S250" s="51"/>
      <c r="T250" s="51"/>
      <c r="U250" s="51"/>
      <c r="V250" s="51"/>
      <c r="W250" s="51"/>
      <c r="X250" s="51"/>
      <c r="Y250" s="51"/>
      <c r="Z250" s="51"/>
      <c r="AA250" s="51"/>
      <c r="AB250" s="51"/>
    </row>
    <row r="251" customFormat="false" ht="15.75" hidden="false" customHeight="false" outlineLevel="0" collapsed="false">
      <c r="A251" s="51"/>
      <c r="B251" s="51"/>
      <c r="C251" s="6"/>
      <c r="D251" s="49"/>
      <c r="E251" s="51"/>
      <c r="F251" s="6"/>
      <c r="G251" s="6"/>
      <c r="H251" s="6"/>
      <c r="I251" s="6"/>
      <c r="J251" s="6"/>
      <c r="K251" s="51"/>
      <c r="L251" s="51"/>
      <c r="M251" s="51"/>
      <c r="N251" s="51"/>
      <c r="O251" s="51"/>
      <c r="P251" s="51"/>
      <c r="Q251" s="51"/>
      <c r="R251" s="51"/>
      <c r="S251" s="51"/>
      <c r="T251" s="51"/>
      <c r="U251" s="51"/>
      <c r="V251" s="51"/>
      <c r="W251" s="51"/>
      <c r="X251" s="51"/>
      <c r="Y251" s="51"/>
      <c r="Z251" s="51"/>
      <c r="AA251" s="51"/>
      <c r="AB251" s="51"/>
    </row>
    <row r="252" customFormat="false" ht="15.75" hidden="false" customHeight="false" outlineLevel="0" collapsed="false">
      <c r="A252" s="51"/>
      <c r="B252" s="51"/>
      <c r="C252" s="6"/>
      <c r="D252" s="49"/>
      <c r="E252" s="51"/>
      <c r="F252" s="6"/>
      <c r="G252" s="6"/>
      <c r="H252" s="6"/>
      <c r="I252" s="6"/>
      <c r="J252" s="6"/>
      <c r="K252" s="51"/>
      <c r="L252" s="51"/>
      <c r="M252" s="51"/>
      <c r="N252" s="51"/>
      <c r="O252" s="51"/>
      <c r="P252" s="51"/>
      <c r="Q252" s="51"/>
      <c r="R252" s="51"/>
      <c r="S252" s="51"/>
      <c r="T252" s="51"/>
      <c r="U252" s="51"/>
      <c r="V252" s="51"/>
      <c r="W252" s="51"/>
      <c r="X252" s="51"/>
      <c r="Y252" s="51"/>
      <c r="Z252" s="51"/>
      <c r="AA252" s="51"/>
      <c r="AB252" s="51"/>
    </row>
    <row r="253" customFormat="false" ht="15.75" hidden="false" customHeight="false" outlineLevel="0" collapsed="false">
      <c r="A253" s="51"/>
      <c r="B253" s="51"/>
      <c r="C253" s="6"/>
      <c r="D253" s="49"/>
      <c r="E253" s="51"/>
      <c r="F253" s="6"/>
      <c r="G253" s="6"/>
      <c r="H253" s="6"/>
      <c r="I253" s="6"/>
      <c r="J253" s="6"/>
      <c r="K253" s="51"/>
      <c r="L253" s="51"/>
      <c r="M253" s="51"/>
      <c r="N253" s="51"/>
      <c r="O253" s="51"/>
      <c r="P253" s="51"/>
      <c r="Q253" s="51"/>
      <c r="R253" s="51"/>
      <c r="S253" s="51"/>
      <c r="T253" s="51"/>
      <c r="U253" s="51"/>
      <c r="V253" s="51"/>
      <c r="W253" s="51"/>
      <c r="X253" s="51"/>
      <c r="Y253" s="51"/>
      <c r="Z253" s="51"/>
      <c r="AA253" s="51"/>
      <c r="AB253" s="51"/>
    </row>
    <row r="254" customFormat="false" ht="15.75" hidden="false" customHeight="false" outlineLevel="0" collapsed="false">
      <c r="A254" s="51"/>
      <c r="B254" s="51"/>
      <c r="C254" s="6"/>
      <c r="D254" s="49"/>
      <c r="E254" s="51"/>
      <c r="F254" s="6"/>
      <c r="G254" s="6"/>
      <c r="H254" s="6"/>
      <c r="I254" s="6"/>
      <c r="J254" s="6"/>
      <c r="K254" s="51"/>
      <c r="L254" s="51"/>
      <c r="M254" s="51"/>
      <c r="N254" s="51"/>
      <c r="O254" s="51"/>
      <c r="P254" s="51"/>
      <c r="Q254" s="51"/>
      <c r="R254" s="51"/>
      <c r="S254" s="51"/>
      <c r="T254" s="51"/>
      <c r="U254" s="51"/>
      <c r="V254" s="51"/>
      <c r="W254" s="51"/>
      <c r="X254" s="51"/>
      <c r="Y254" s="51"/>
      <c r="Z254" s="51"/>
      <c r="AA254" s="51"/>
      <c r="AB254" s="51"/>
    </row>
    <row r="255" customFormat="false" ht="15.75" hidden="false" customHeight="false" outlineLevel="0" collapsed="false">
      <c r="A255" s="51"/>
      <c r="B255" s="51"/>
      <c r="C255" s="6"/>
      <c r="D255" s="49"/>
      <c r="E255" s="51"/>
      <c r="F255" s="6"/>
      <c r="G255" s="6"/>
      <c r="H255" s="6"/>
      <c r="I255" s="6"/>
      <c r="J255" s="6"/>
      <c r="K255" s="51"/>
      <c r="L255" s="51"/>
      <c r="M255" s="51"/>
      <c r="N255" s="51"/>
      <c r="O255" s="51"/>
      <c r="P255" s="51"/>
      <c r="Q255" s="51"/>
      <c r="R255" s="51"/>
      <c r="S255" s="51"/>
      <c r="T255" s="51"/>
      <c r="U255" s="51"/>
      <c r="V255" s="51"/>
      <c r="W255" s="51"/>
      <c r="X255" s="51"/>
      <c r="Y255" s="51"/>
      <c r="Z255" s="51"/>
      <c r="AA255" s="51"/>
      <c r="AB255" s="51"/>
    </row>
    <row r="256" customFormat="false" ht="15.75" hidden="false" customHeight="false" outlineLevel="0" collapsed="false">
      <c r="A256" s="51"/>
      <c r="B256" s="51"/>
      <c r="C256" s="6"/>
      <c r="D256" s="49"/>
      <c r="E256" s="51"/>
      <c r="F256" s="6"/>
      <c r="G256" s="6"/>
      <c r="H256" s="6"/>
      <c r="I256" s="6"/>
      <c r="J256" s="6"/>
      <c r="K256" s="51"/>
      <c r="L256" s="51"/>
      <c r="M256" s="51"/>
      <c r="N256" s="51"/>
      <c r="O256" s="51"/>
      <c r="P256" s="51"/>
      <c r="Q256" s="51"/>
      <c r="R256" s="51"/>
      <c r="S256" s="51"/>
      <c r="T256" s="51"/>
      <c r="U256" s="51"/>
      <c r="V256" s="51"/>
      <c r="W256" s="51"/>
      <c r="X256" s="51"/>
      <c r="Y256" s="51"/>
      <c r="Z256" s="51"/>
      <c r="AA256" s="51"/>
      <c r="AB256" s="51"/>
    </row>
    <row r="257" customFormat="false" ht="15.75" hidden="false" customHeight="false" outlineLevel="0" collapsed="false">
      <c r="A257" s="51"/>
      <c r="B257" s="51"/>
      <c r="C257" s="6"/>
      <c r="D257" s="49"/>
      <c r="E257" s="51"/>
      <c r="F257" s="6"/>
      <c r="G257" s="6"/>
      <c r="H257" s="6"/>
      <c r="I257" s="6"/>
      <c r="J257" s="6"/>
      <c r="K257" s="51"/>
      <c r="L257" s="51"/>
      <c r="M257" s="51"/>
      <c r="N257" s="51"/>
      <c r="O257" s="51"/>
      <c r="P257" s="51"/>
      <c r="Q257" s="51"/>
      <c r="R257" s="51"/>
      <c r="S257" s="51"/>
      <c r="T257" s="51"/>
      <c r="U257" s="51"/>
      <c r="V257" s="51"/>
      <c r="W257" s="51"/>
      <c r="X257" s="51"/>
      <c r="Y257" s="51"/>
      <c r="Z257" s="51"/>
      <c r="AA257" s="51"/>
      <c r="AB257" s="51"/>
    </row>
    <row r="258" customFormat="false" ht="15.75" hidden="false" customHeight="false" outlineLevel="0" collapsed="false">
      <c r="A258" s="51"/>
      <c r="B258" s="51"/>
      <c r="C258" s="6"/>
      <c r="D258" s="49"/>
      <c r="E258" s="51"/>
      <c r="F258" s="6"/>
      <c r="G258" s="6"/>
      <c r="H258" s="6"/>
      <c r="I258" s="6"/>
      <c r="J258" s="6"/>
      <c r="K258" s="51"/>
      <c r="L258" s="51"/>
      <c r="M258" s="51"/>
      <c r="N258" s="51"/>
      <c r="O258" s="51"/>
      <c r="P258" s="51"/>
      <c r="Q258" s="51"/>
      <c r="R258" s="51"/>
      <c r="S258" s="51"/>
      <c r="T258" s="51"/>
      <c r="U258" s="51"/>
      <c r="V258" s="51"/>
      <c r="W258" s="51"/>
      <c r="X258" s="51"/>
      <c r="Y258" s="51"/>
      <c r="Z258" s="51"/>
      <c r="AA258" s="51"/>
      <c r="AB258" s="51"/>
    </row>
    <row r="259" customFormat="false" ht="15.75" hidden="false" customHeight="false" outlineLevel="0" collapsed="false">
      <c r="A259" s="51"/>
      <c r="B259" s="51"/>
      <c r="C259" s="6"/>
      <c r="D259" s="49"/>
      <c r="E259" s="51"/>
      <c r="F259" s="6"/>
      <c r="G259" s="6"/>
      <c r="H259" s="6"/>
      <c r="I259" s="6"/>
      <c r="J259" s="6"/>
      <c r="K259" s="51"/>
      <c r="L259" s="51"/>
      <c r="M259" s="51"/>
      <c r="N259" s="51"/>
      <c r="O259" s="51"/>
      <c r="P259" s="51"/>
      <c r="Q259" s="51"/>
      <c r="R259" s="51"/>
      <c r="S259" s="51"/>
      <c r="T259" s="51"/>
      <c r="U259" s="51"/>
      <c r="V259" s="51"/>
      <c r="W259" s="51"/>
      <c r="X259" s="51"/>
      <c r="Y259" s="51"/>
      <c r="Z259" s="51"/>
      <c r="AA259" s="51"/>
      <c r="AB259" s="51"/>
    </row>
    <row r="260" customFormat="false" ht="15.75" hidden="false" customHeight="false" outlineLevel="0" collapsed="false">
      <c r="A260" s="51"/>
      <c r="B260" s="51"/>
      <c r="C260" s="6"/>
      <c r="D260" s="49"/>
      <c r="E260" s="51"/>
      <c r="F260" s="6"/>
      <c r="G260" s="6"/>
      <c r="H260" s="6"/>
      <c r="I260" s="6"/>
      <c r="J260" s="6"/>
      <c r="K260" s="51"/>
      <c r="L260" s="51"/>
      <c r="M260" s="51"/>
      <c r="N260" s="51"/>
      <c r="O260" s="51"/>
      <c r="P260" s="51"/>
      <c r="Q260" s="51"/>
      <c r="R260" s="51"/>
      <c r="S260" s="51"/>
      <c r="T260" s="51"/>
      <c r="U260" s="51"/>
      <c r="V260" s="51"/>
      <c r="W260" s="51"/>
      <c r="X260" s="51"/>
      <c r="Y260" s="51"/>
      <c r="Z260" s="51"/>
      <c r="AA260" s="51"/>
      <c r="AB260" s="51"/>
    </row>
    <row r="261" customFormat="false" ht="15.75" hidden="false" customHeight="false" outlineLevel="0" collapsed="false">
      <c r="A261" s="51"/>
      <c r="B261" s="51"/>
      <c r="C261" s="6"/>
      <c r="D261" s="49"/>
      <c r="E261" s="51"/>
      <c r="F261" s="6"/>
      <c r="G261" s="6"/>
      <c r="H261" s="6"/>
      <c r="I261" s="6"/>
      <c r="J261" s="6"/>
      <c r="K261" s="51"/>
      <c r="L261" s="51"/>
      <c r="M261" s="51"/>
      <c r="N261" s="51"/>
      <c r="O261" s="51"/>
      <c r="P261" s="51"/>
      <c r="Q261" s="51"/>
      <c r="R261" s="51"/>
      <c r="S261" s="51"/>
      <c r="T261" s="51"/>
      <c r="U261" s="51"/>
      <c r="V261" s="51"/>
      <c r="W261" s="51"/>
      <c r="X261" s="51"/>
      <c r="Y261" s="51"/>
      <c r="Z261" s="51"/>
      <c r="AA261" s="51"/>
      <c r="AB261" s="51"/>
    </row>
    <row r="262" customFormat="false" ht="15.75" hidden="false" customHeight="false" outlineLevel="0" collapsed="false">
      <c r="A262" s="51"/>
      <c r="B262" s="51"/>
      <c r="C262" s="6"/>
      <c r="D262" s="49"/>
      <c r="E262" s="51"/>
      <c r="F262" s="6"/>
      <c r="G262" s="6"/>
      <c r="H262" s="6"/>
      <c r="I262" s="6"/>
      <c r="J262" s="6"/>
      <c r="K262" s="51"/>
      <c r="L262" s="51"/>
      <c r="M262" s="51"/>
      <c r="N262" s="51"/>
      <c r="O262" s="51"/>
      <c r="P262" s="51"/>
      <c r="Q262" s="51"/>
      <c r="R262" s="51"/>
      <c r="S262" s="51"/>
      <c r="T262" s="51"/>
      <c r="U262" s="51"/>
      <c r="V262" s="51"/>
      <c r="W262" s="51"/>
      <c r="X262" s="51"/>
      <c r="Y262" s="51"/>
      <c r="Z262" s="51"/>
      <c r="AA262" s="51"/>
      <c r="AB262" s="51"/>
    </row>
    <row r="263" customFormat="false" ht="15.75" hidden="false" customHeight="false" outlineLevel="0" collapsed="false">
      <c r="A263" s="51"/>
      <c r="B263" s="51"/>
      <c r="C263" s="6"/>
      <c r="D263" s="49"/>
      <c r="E263" s="51"/>
      <c r="F263" s="6"/>
      <c r="G263" s="6"/>
      <c r="H263" s="6"/>
      <c r="I263" s="6"/>
      <c r="J263" s="6"/>
      <c r="K263" s="51"/>
      <c r="L263" s="51"/>
      <c r="M263" s="51"/>
      <c r="N263" s="51"/>
      <c r="O263" s="51"/>
      <c r="P263" s="51"/>
      <c r="Q263" s="51"/>
      <c r="R263" s="51"/>
      <c r="S263" s="51"/>
      <c r="T263" s="51"/>
      <c r="U263" s="51"/>
      <c r="V263" s="51"/>
      <c r="W263" s="51"/>
      <c r="X263" s="51"/>
      <c r="Y263" s="51"/>
      <c r="Z263" s="51"/>
      <c r="AA263" s="51"/>
      <c r="AB263" s="51"/>
    </row>
    <row r="264" customFormat="false" ht="15.75" hidden="false" customHeight="false" outlineLevel="0" collapsed="false">
      <c r="A264" s="51"/>
      <c r="B264" s="51"/>
      <c r="C264" s="6"/>
      <c r="D264" s="49"/>
      <c r="E264" s="51"/>
      <c r="F264" s="6"/>
      <c r="G264" s="6"/>
      <c r="H264" s="6"/>
      <c r="I264" s="6"/>
      <c r="J264" s="6"/>
      <c r="K264" s="51"/>
      <c r="L264" s="51"/>
      <c r="M264" s="51"/>
      <c r="N264" s="51"/>
      <c r="O264" s="51"/>
      <c r="P264" s="51"/>
      <c r="Q264" s="51"/>
      <c r="R264" s="51"/>
      <c r="S264" s="51"/>
      <c r="T264" s="51"/>
      <c r="U264" s="51"/>
      <c r="V264" s="51"/>
      <c r="W264" s="51"/>
      <c r="X264" s="51"/>
      <c r="Y264" s="51"/>
      <c r="Z264" s="51"/>
      <c r="AA264" s="51"/>
      <c r="AB264" s="51"/>
    </row>
    <row r="265" customFormat="false" ht="15.75" hidden="false" customHeight="false" outlineLevel="0" collapsed="false">
      <c r="A265" s="51"/>
      <c r="B265" s="51"/>
      <c r="C265" s="6"/>
      <c r="D265" s="49"/>
      <c r="E265" s="51"/>
      <c r="F265" s="6"/>
      <c r="G265" s="6"/>
      <c r="H265" s="6"/>
      <c r="I265" s="6"/>
      <c r="J265" s="6"/>
      <c r="K265" s="51"/>
      <c r="L265" s="51"/>
      <c r="M265" s="51"/>
      <c r="N265" s="51"/>
      <c r="O265" s="51"/>
      <c r="P265" s="51"/>
      <c r="Q265" s="51"/>
      <c r="R265" s="51"/>
      <c r="S265" s="51"/>
      <c r="T265" s="51"/>
      <c r="U265" s="51"/>
      <c r="V265" s="51"/>
      <c r="W265" s="51"/>
      <c r="X265" s="51"/>
      <c r="Y265" s="51"/>
      <c r="Z265" s="51"/>
      <c r="AA265" s="51"/>
      <c r="AB265" s="51"/>
    </row>
    <row r="266" customFormat="false" ht="15.75" hidden="false" customHeight="false" outlineLevel="0" collapsed="false">
      <c r="A266" s="51"/>
      <c r="B266" s="51"/>
      <c r="C266" s="6"/>
      <c r="D266" s="49"/>
      <c r="E266" s="51"/>
      <c r="F266" s="6"/>
      <c r="G266" s="6"/>
      <c r="H266" s="6"/>
      <c r="I266" s="6"/>
      <c r="J266" s="6"/>
      <c r="K266" s="51"/>
      <c r="L266" s="51"/>
      <c r="M266" s="51"/>
      <c r="N266" s="51"/>
      <c r="O266" s="51"/>
      <c r="P266" s="51"/>
      <c r="Q266" s="51"/>
      <c r="R266" s="51"/>
      <c r="S266" s="51"/>
      <c r="T266" s="51"/>
      <c r="U266" s="51"/>
      <c r="V266" s="51"/>
      <c r="W266" s="51"/>
      <c r="X266" s="51"/>
      <c r="Y266" s="51"/>
      <c r="Z266" s="51"/>
      <c r="AA266" s="51"/>
      <c r="AB266" s="51"/>
    </row>
    <row r="267" customFormat="false" ht="15.75" hidden="false" customHeight="false" outlineLevel="0" collapsed="false">
      <c r="A267" s="51"/>
      <c r="B267" s="51"/>
      <c r="C267" s="6"/>
      <c r="D267" s="49"/>
      <c r="E267" s="51"/>
      <c r="F267" s="6"/>
      <c r="G267" s="6"/>
      <c r="H267" s="6"/>
      <c r="I267" s="6"/>
      <c r="J267" s="6"/>
      <c r="K267" s="51"/>
      <c r="L267" s="51"/>
      <c r="M267" s="51"/>
      <c r="N267" s="51"/>
      <c r="O267" s="51"/>
      <c r="P267" s="51"/>
      <c r="Q267" s="51"/>
      <c r="R267" s="51"/>
      <c r="S267" s="51"/>
      <c r="T267" s="51"/>
      <c r="U267" s="51"/>
      <c r="V267" s="51"/>
      <c r="W267" s="51"/>
      <c r="X267" s="51"/>
      <c r="Y267" s="51"/>
      <c r="Z267" s="51"/>
      <c r="AA267" s="51"/>
      <c r="AB267" s="51"/>
    </row>
    <row r="268" customFormat="false" ht="15.75" hidden="false" customHeight="false" outlineLevel="0" collapsed="false">
      <c r="A268" s="51"/>
      <c r="B268" s="51"/>
      <c r="C268" s="6"/>
      <c r="D268" s="49"/>
      <c r="E268" s="51"/>
      <c r="F268" s="6"/>
      <c r="G268" s="6"/>
      <c r="H268" s="6"/>
      <c r="I268" s="6"/>
      <c r="J268" s="6"/>
      <c r="K268" s="51"/>
      <c r="L268" s="51"/>
      <c r="M268" s="51"/>
      <c r="N268" s="51"/>
      <c r="O268" s="51"/>
      <c r="P268" s="51"/>
      <c r="Q268" s="51"/>
      <c r="R268" s="51"/>
      <c r="S268" s="51"/>
      <c r="T268" s="51"/>
      <c r="U268" s="51"/>
      <c r="V268" s="51"/>
      <c r="W268" s="51"/>
      <c r="X268" s="51"/>
      <c r="Y268" s="51"/>
      <c r="Z268" s="51"/>
      <c r="AA268" s="51"/>
      <c r="AB268" s="51"/>
    </row>
    <row r="269" customFormat="false" ht="15.75" hidden="false" customHeight="false" outlineLevel="0" collapsed="false">
      <c r="A269" s="51"/>
      <c r="B269" s="51"/>
      <c r="C269" s="6"/>
      <c r="D269" s="49"/>
      <c r="E269" s="51"/>
      <c r="F269" s="6"/>
      <c r="G269" s="6"/>
      <c r="H269" s="6"/>
      <c r="I269" s="6"/>
      <c r="J269" s="6"/>
      <c r="K269" s="51"/>
      <c r="L269" s="51"/>
      <c r="M269" s="51"/>
      <c r="N269" s="51"/>
      <c r="O269" s="51"/>
      <c r="P269" s="51"/>
      <c r="Q269" s="51"/>
      <c r="R269" s="51"/>
      <c r="S269" s="51"/>
      <c r="T269" s="51"/>
      <c r="U269" s="51"/>
      <c r="V269" s="51"/>
      <c r="W269" s="51"/>
      <c r="X269" s="51"/>
      <c r="Y269" s="51"/>
      <c r="Z269" s="51"/>
      <c r="AA269" s="51"/>
      <c r="AB269" s="51"/>
    </row>
    <row r="270" customFormat="false" ht="15.75" hidden="false" customHeight="false" outlineLevel="0" collapsed="false">
      <c r="A270" s="51"/>
      <c r="B270" s="51"/>
      <c r="C270" s="6"/>
      <c r="D270" s="49"/>
      <c r="E270" s="51"/>
      <c r="F270" s="6"/>
      <c r="G270" s="6"/>
      <c r="H270" s="6"/>
      <c r="I270" s="6"/>
      <c r="J270" s="6"/>
      <c r="K270" s="51"/>
      <c r="L270" s="51"/>
      <c r="M270" s="51"/>
      <c r="N270" s="51"/>
      <c r="O270" s="51"/>
      <c r="P270" s="51"/>
      <c r="Q270" s="51"/>
      <c r="R270" s="51"/>
      <c r="S270" s="51"/>
      <c r="T270" s="51"/>
      <c r="U270" s="51"/>
      <c r="V270" s="51"/>
      <c r="W270" s="51"/>
      <c r="X270" s="51"/>
      <c r="Y270" s="51"/>
      <c r="Z270" s="51"/>
      <c r="AA270" s="51"/>
      <c r="AB270" s="51"/>
    </row>
    <row r="271" customFormat="false" ht="15.75" hidden="false" customHeight="false" outlineLevel="0" collapsed="false">
      <c r="A271" s="51"/>
      <c r="B271" s="51"/>
      <c r="C271" s="6"/>
      <c r="D271" s="49"/>
      <c r="E271" s="51"/>
      <c r="F271" s="6"/>
      <c r="G271" s="6"/>
      <c r="H271" s="6"/>
      <c r="I271" s="6"/>
      <c r="J271" s="6"/>
      <c r="K271" s="51"/>
      <c r="L271" s="51"/>
      <c r="M271" s="51"/>
      <c r="N271" s="51"/>
      <c r="O271" s="51"/>
      <c r="P271" s="51"/>
      <c r="Q271" s="51"/>
      <c r="R271" s="51"/>
      <c r="S271" s="51"/>
      <c r="T271" s="51"/>
      <c r="U271" s="51"/>
      <c r="V271" s="51"/>
      <c r="W271" s="51"/>
      <c r="X271" s="51"/>
      <c r="Y271" s="51"/>
      <c r="Z271" s="51"/>
      <c r="AA271" s="51"/>
      <c r="AB271" s="51"/>
    </row>
    <row r="272" customFormat="false" ht="15.75" hidden="false" customHeight="false" outlineLevel="0" collapsed="false">
      <c r="A272" s="51"/>
      <c r="B272" s="51"/>
      <c r="C272" s="6"/>
      <c r="D272" s="49"/>
      <c r="E272" s="51"/>
      <c r="F272" s="6"/>
      <c r="G272" s="6"/>
      <c r="H272" s="6"/>
      <c r="I272" s="6"/>
      <c r="J272" s="6"/>
      <c r="K272" s="51"/>
      <c r="L272" s="51"/>
      <c r="M272" s="51"/>
      <c r="N272" s="51"/>
      <c r="O272" s="51"/>
      <c r="P272" s="51"/>
      <c r="Q272" s="51"/>
      <c r="R272" s="51"/>
      <c r="S272" s="51"/>
      <c r="T272" s="51"/>
      <c r="U272" s="51"/>
      <c r="V272" s="51"/>
      <c r="W272" s="51"/>
      <c r="X272" s="51"/>
      <c r="Y272" s="51"/>
      <c r="Z272" s="51"/>
      <c r="AA272" s="51"/>
      <c r="AB272" s="51"/>
    </row>
    <row r="273" customFormat="false" ht="15.75" hidden="false" customHeight="false" outlineLevel="0" collapsed="false">
      <c r="A273" s="51"/>
      <c r="B273" s="51"/>
      <c r="C273" s="6"/>
      <c r="D273" s="49"/>
      <c r="E273" s="51"/>
      <c r="F273" s="6"/>
      <c r="G273" s="6"/>
      <c r="H273" s="6"/>
      <c r="I273" s="6"/>
      <c r="J273" s="6"/>
      <c r="K273" s="51"/>
      <c r="L273" s="51"/>
      <c r="M273" s="51"/>
      <c r="N273" s="51"/>
      <c r="O273" s="51"/>
      <c r="P273" s="51"/>
      <c r="Q273" s="51"/>
      <c r="R273" s="51"/>
      <c r="S273" s="51"/>
      <c r="T273" s="51"/>
      <c r="U273" s="51"/>
      <c r="V273" s="51"/>
      <c r="W273" s="51"/>
      <c r="X273" s="51"/>
      <c r="Y273" s="51"/>
      <c r="Z273" s="51"/>
      <c r="AA273" s="51"/>
      <c r="AB273" s="51"/>
    </row>
    <row r="274" customFormat="false" ht="15.75" hidden="false" customHeight="false" outlineLevel="0" collapsed="false">
      <c r="A274" s="51"/>
      <c r="B274" s="51"/>
      <c r="C274" s="6"/>
      <c r="D274" s="49"/>
      <c r="E274" s="51"/>
      <c r="F274" s="6"/>
      <c r="G274" s="6"/>
      <c r="H274" s="6"/>
      <c r="I274" s="6"/>
      <c r="J274" s="6"/>
      <c r="K274" s="51"/>
      <c r="L274" s="51"/>
      <c r="M274" s="51"/>
      <c r="N274" s="51"/>
      <c r="O274" s="51"/>
      <c r="P274" s="51"/>
      <c r="Q274" s="51"/>
      <c r="R274" s="51"/>
      <c r="S274" s="51"/>
      <c r="T274" s="51"/>
      <c r="U274" s="51"/>
      <c r="V274" s="51"/>
      <c r="W274" s="51"/>
      <c r="X274" s="51"/>
      <c r="Y274" s="51"/>
      <c r="Z274" s="51"/>
      <c r="AA274" s="51"/>
      <c r="AB274" s="51"/>
    </row>
    <row r="275" customFormat="false" ht="15.75" hidden="false" customHeight="false" outlineLevel="0" collapsed="false">
      <c r="A275" s="51"/>
      <c r="B275" s="51"/>
      <c r="C275" s="6"/>
      <c r="D275" s="49"/>
      <c r="E275" s="51"/>
      <c r="F275" s="6"/>
      <c r="G275" s="6"/>
      <c r="H275" s="6"/>
      <c r="I275" s="6"/>
      <c r="J275" s="6"/>
      <c r="K275" s="51"/>
      <c r="L275" s="51"/>
      <c r="M275" s="51"/>
      <c r="N275" s="51"/>
      <c r="O275" s="51"/>
      <c r="P275" s="51"/>
      <c r="Q275" s="51"/>
      <c r="R275" s="51"/>
      <c r="S275" s="51"/>
      <c r="T275" s="51"/>
      <c r="U275" s="51"/>
      <c r="V275" s="51"/>
      <c r="W275" s="51"/>
      <c r="X275" s="51"/>
      <c r="Y275" s="51"/>
      <c r="Z275" s="51"/>
      <c r="AA275" s="51"/>
      <c r="AB275" s="51"/>
    </row>
    <row r="276" customFormat="false" ht="15.75" hidden="false" customHeight="false" outlineLevel="0" collapsed="false">
      <c r="A276" s="51"/>
      <c r="B276" s="51"/>
      <c r="C276" s="6"/>
      <c r="D276" s="49"/>
      <c r="E276" s="51"/>
      <c r="F276" s="6"/>
      <c r="G276" s="6"/>
      <c r="H276" s="6"/>
      <c r="I276" s="6"/>
      <c r="J276" s="6"/>
      <c r="K276" s="51"/>
      <c r="L276" s="51"/>
      <c r="M276" s="51"/>
      <c r="N276" s="51"/>
      <c r="O276" s="51"/>
      <c r="P276" s="51"/>
      <c r="Q276" s="51"/>
      <c r="R276" s="51"/>
      <c r="S276" s="51"/>
      <c r="T276" s="51"/>
      <c r="U276" s="51"/>
      <c r="V276" s="51"/>
      <c r="W276" s="51"/>
      <c r="X276" s="51"/>
      <c r="Y276" s="51"/>
      <c r="Z276" s="51"/>
      <c r="AA276" s="51"/>
      <c r="AB276" s="51"/>
    </row>
    <row r="277" customFormat="false" ht="15.75" hidden="false" customHeight="false" outlineLevel="0" collapsed="false">
      <c r="A277" s="51"/>
      <c r="B277" s="51"/>
      <c r="C277" s="6"/>
      <c r="D277" s="49"/>
      <c r="E277" s="51"/>
      <c r="F277" s="6"/>
      <c r="G277" s="6"/>
      <c r="H277" s="6"/>
      <c r="I277" s="6"/>
      <c r="J277" s="6"/>
      <c r="K277" s="51"/>
      <c r="L277" s="51"/>
      <c r="M277" s="51"/>
      <c r="N277" s="51"/>
      <c r="O277" s="51"/>
      <c r="P277" s="51"/>
      <c r="Q277" s="51"/>
      <c r="R277" s="51"/>
      <c r="S277" s="51"/>
      <c r="T277" s="51"/>
      <c r="U277" s="51"/>
      <c r="V277" s="51"/>
      <c r="W277" s="51"/>
      <c r="X277" s="51"/>
      <c r="Y277" s="51"/>
      <c r="Z277" s="51"/>
      <c r="AA277" s="51"/>
      <c r="AB277" s="51"/>
    </row>
    <row r="278" customFormat="false" ht="15.75" hidden="false" customHeight="false" outlineLevel="0" collapsed="false">
      <c r="A278" s="51"/>
      <c r="B278" s="51"/>
      <c r="C278" s="6"/>
      <c r="D278" s="49"/>
      <c r="E278" s="51"/>
      <c r="F278" s="6"/>
      <c r="G278" s="6"/>
      <c r="H278" s="6"/>
      <c r="I278" s="6"/>
      <c r="J278" s="6"/>
      <c r="K278" s="51"/>
      <c r="L278" s="51"/>
      <c r="M278" s="51"/>
      <c r="N278" s="51"/>
      <c r="O278" s="51"/>
      <c r="P278" s="51"/>
      <c r="Q278" s="51"/>
      <c r="R278" s="51"/>
      <c r="S278" s="51"/>
      <c r="T278" s="51"/>
      <c r="U278" s="51"/>
      <c r="V278" s="51"/>
      <c r="W278" s="51"/>
      <c r="X278" s="51"/>
      <c r="Y278" s="51"/>
      <c r="Z278" s="51"/>
      <c r="AA278" s="51"/>
      <c r="AB278" s="51"/>
    </row>
    <row r="279" customFormat="false" ht="15.75" hidden="false" customHeight="false" outlineLevel="0" collapsed="false">
      <c r="A279" s="51"/>
      <c r="B279" s="51"/>
      <c r="C279" s="6"/>
      <c r="D279" s="49"/>
      <c r="E279" s="51"/>
      <c r="F279" s="6"/>
      <c r="G279" s="6"/>
      <c r="H279" s="6"/>
      <c r="I279" s="6"/>
      <c r="J279" s="6"/>
      <c r="K279" s="51"/>
      <c r="L279" s="51"/>
      <c r="M279" s="51"/>
      <c r="N279" s="51"/>
      <c r="O279" s="51"/>
      <c r="P279" s="51"/>
      <c r="Q279" s="51"/>
      <c r="R279" s="51"/>
      <c r="S279" s="51"/>
      <c r="T279" s="51"/>
      <c r="U279" s="51"/>
      <c r="V279" s="51"/>
      <c r="W279" s="51"/>
      <c r="X279" s="51"/>
      <c r="Y279" s="51"/>
      <c r="Z279" s="51"/>
      <c r="AA279" s="51"/>
      <c r="AB279" s="51"/>
    </row>
    <row r="280" customFormat="false" ht="15.75" hidden="false" customHeight="false" outlineLevel="0" collapsed="false">
      <c r="A280" s="51"/>
      <c r="B280" s="51"/>
      <c r="C280" s="6"/>
      <c r="D280" s="49"/>
      <c r="E280" s="51"/>
      <c r="F280" s="6"/>
      <c r="G280" s="6"/>
      <c r="H280" s="6"/>
      <c r="I280" s="6"/>
      <c r="J280" s="6"/>
      <c r="K280" s="51"/>
      <c r="L280" s="51"/>
      <c r="M280" s="51"/>
      <c r="N280" s="51"/>
      <c r="O280" s="51"/>
      <c r="P280" s="51"/>
      <c r="Q280" s="51"/>
      <c r="R280" s="51"/>
      <c r="S280" s="51"/>
      <c r="T280" s="51"/>
      <c r="U280" s="51"/>
      <c r="V280" s="51"/>
      <c r="W280" s="51"/>
      <c r="X280" s="51"/>
      <c r="Y280" s="51"/>
      <c r="Z280" s="51"/>
      <c r="AA280" s="51"/>
      <c r="AB280" s="51"/>
    </row>
    <row r="281" customFormat="false" ht="15.75" hidden="false" customHeight="false" outlineLevel="0" collapsed="false">
      <c r="A281" s="51"/>
      <c r="B281" s="51"/>
      <c r="C281" s="6"/>
      <c r="D281" s="49"/>
      <c r="E281" s="51"/>
      <c r="F281" s="6"/>
      <c r="G281" s="6"/>
      <c r="H281" s="6"/>
      <c r="I281" s="6"/>
      <c r="J281" s="6"/>
      <c r="K281" s="51"/>
      <c r="L281" s="51"/>
      <c r="M281" s="51"/>
      <c r="N281" s="51"/>
      <c r="O281" s="51"/>
      <c r="P281" s="51"/>
      <c r="Q281" s="51"/>
      <c r="R281" s="51"/>
      <c r="S281" s="51"/>
      <c r="T281" s="51"/>
      <c r="U281" s="51"/>
      <c r="V281" s="51"/>
      <c r="W281" s="51"/>
      <c r="X281" s="51"/>
      <c r="Y281" s="51"/>
      <c r="Z281" s="51"/>
      <c r="AA281" s="51"/>
      <c r="AB281" s="51"/>
    </row>
    <row r="282" customFormat="false" ht="15.75" hidden="false" customHeight="false" outlineLevel="0" collapsed="false">
      <c r="A282" s="51"/>
      <c r="B282" s="51"/>
      <c r="C282" s="6"/>
      <c r="D282" s="49"/>
      <c r="E282" s="51"/>
      <c r="F282" s="6"/>
      <c r="G282" s="6"/>
      <c r="H282" s="6"/>
      <c r="I282" s="6"/>
      <c r="J282" s="6"/>
      <c r="K282" s="51"/>
      <c r="L282" s="51"/>
      <c r="M282" s="51"/>
      <c r="N282" s="51"/>
      <c r="O282" s="51"/>
      <c r="P282" s="51"/>
      <c r="Q282" s="51"/>
      <c r="R282" s="51"/>
      <c r="S282" s="51"/>
      <c r="T282" s="51"/>
      <c r="U282" s="51"/>
      <c r="V282" s="51"/>
      <c r="W282" s="51"/>
      <c r="X282" s="51"/>
      <c r="Y282" s="51"/>
      <c r="Z282" s="51"/>
      <c r="AA282" s="51"/>
      <c r="AB282" s="51"/>
    </row>
    <row r="283" customFormat="false" ht="15.75" hidden="false" customHeight="false" outlineLevel="0" collapsed="false">
      <c r="A283" s="51"/>
      <c r="B283" s="51"/>
      <c r="C283" s="6"/>
      <c r="D283" s="49"/>
      <c r="E283" s="51"/>
      <c r="F283" s="6"/>
      <c r="G283" s="6"/>
      <c r="H283" s="6"/>
      <c r="I283" s="6"/>
      <c r="J283" s="6"/>
      <c r="K283" s="51"/>
      <c r="L283" s="51"/>
      <c r="M283" s="51"/>
      <c r="N283" s="51"/>
      <c r="O283" s="51"/>
      <c r="P283" s="51"/>
      <c r="Q283" s="51"/>
      <c r="R283" s="51"/>
      <c r="S283" s="51"/>
      <c r="T283" s="51"/>
      <c r="U283" s="51"/>
      <c r="V283" s="51"/>
      <c r="W283" s="51"/>
      <c r="X283" s="51"/>
      <c r="Y283" s="51"/>
      <c r="Z283" s="51"/>
      <c r="AA283" s="51"/>
      <c r="AB283" s="51"/>
    </row>
    <row r="284" customFormat="false" ht="15.75" hidden="false" customHeight="false" outlineLevel="0" collapsed="false">
      <c r="A284" s="51"/>
      <c r="B284" s="51"/>
      <c r="C284" s="6"/>
      <c r="D284" s="49"/>
      <c r="E284" s="51"/>
      <c r="F284" s="6"/>
      <c r="G284" s="6"/>
      <c r="H284" s="6"/>
      <c r="I284" s="6"/>
      <c r="J284" s="6"/>
      <c r="K284" s="51"/>
      <c r="L284" s="51"/>
      <c r="M284" s="51"/>
      <c r="N284" s="51"/>
      <c r="O284" s="51"/>
      <c r="P284" s="51"/>
      <c r="Q284" s="51"/>
      <c r="R284" s="51"/>
      <c r="S284" s="51"/>
      <c r="T284" s="51"/>
      <c r="U284" s="51"/>
      <c r="V284" s="51"/>
      <c r="W284" s="51"/>
      <c r="X284" s="51"/>
      <c r="Y284" s="51"/>
      <c r="Z284" s="51"/>
      <c r="AA284" s="51"/>
      <c r="AB284" s="51"/>
    </row>
    <row r="285" customFormat="false" ht="15.75" hidden="false" customHeight="false" outlineLevel="0" collapsed="false">
      <c r="A285" s="51"/>
      <c r="B285" s="51"/>
      <c r="C285" s="6"/>
      <c r="D285" s="49"/>
      <c r="E285" s="51"/>
      <c r="F285" s="6"/>
      <c r="G285" s="6"/>
      <c r="H285" s="6"/>
      <c r="I285" s="6"/>
      <c r="J285" s="6"/>
      <c r="K285" s="51"/>
      <c r="L285" s="51"/>
      <c r="M285" s="51"/>
      <c r="N285" s="51"/>
      <c r="O285" s="51"/>
      <c r="P285" s="51"/>
      <c r="Q285" s="51"/>
      <c r="R285" s="51"/>
      <c r="S285" s="51"/>
      <c r="T285" s="51"/>
      <c r="U285" s="51"/>
      <c r="V285" s="51"/>
      <c r="W285" s="51"/>
      <c r="X285" s="51"/>
      <c r="Y285" s="51"/>
      <c r="Z285" s="51"/>
      <c r="AA285" s="51"/>
      <c r="AB285" s="51"/>
    </row>
    <row r="286" customFormat="false" ht="15.75" hidden="false" customHeight="false" outlineLevel="0" collapsed="false">
      <c r="A286" s="51"/>
      <c r="B286" s="51"/>
      <c r="C286" s="6"/>
      <c r="D286" s="49"/>
      <c r="E286" s="51"/>
      <c r="F286" s="6"/>
      <c r="G286" s="6"/>
      <c r="H286" s="6"/>
      <c r="I286" s="6"/>
      <c r="J286" s="6"/>
      <c r="K286" s="51"/>
      <c r="L286" s="51"/>
      <c r="M286" s="51"/>
      <c r="N286" s="51"/>
      <c r="O286" s="51"/>
      <c r="P286" s="51"/>
      <c r="Q286" s="51"/>
      <c r="R286" s="51"/>
      <c r="S286" s="51"/>
      <c r="T286" s="51"/>
      <c r="U286" s="51"/>
      <c r="V286" s="51"/>
      <c r="W286" s="51"/>
      <c r="X286" s="51"/>
      <c r="Y286" s="51"/>
      <c r="Z286" s="51"/>
      <c r="AA286" s="51"/>
      <c r="AB286" s="51"/>
    </row>
    <row r="287" customFormat="false" ht="15.75" hidden="false" customHeight="false" outlineLevel="0" collapsed="false">
      <c r="A287" s="51"/>
      <c r="B287" s="51"/>
      <c r="C287" s="6"/>
      <c r="D287" s="49"/>
      <c r="E287" s="51"/>
      <c r="F287" s="6"/>
      <c r="G287" s="6"/>
      <c r="H287" s="6"/>
      <c r="I287" s="6"/>
      <c r="J287" s="6"/>
      <c r="K287" s="51"/>
      <c r="L287" s="51"/>
      <c r="M287" s="51"/>
      <c r="N287" s="51"/>
      <c r="O287" s="51"/>
      <c r="P287" s="51"/>
      <c r="Q287" s="51"/>
      <c r="R287" s="51"/>
      <c r="S287" s="51"/>
      <c r="T287" s="51"/>
      <c r="U287" s="51"/>
      <c r="V287" s="51"/>
      <c r="W287" s="51"/>
      <c r="X287" s="51"/>
      <c r="Y287" s="51"/>
      <c r="Z287" s="51"/>
      <c r="AA287" s="51"/>
      <c r="AB287" s="51"/>
    </row>
    <row r="288" customFormat="false" ht="15.75" hidden="false" customHeight="false" outlineLevel="0" collapsed="false">
      <c r="A288" s="51"/>
      <c r="B288" s="51"/>
      <c r="C288" s="6"/>
      <c r="D288" s="49"/>
      <c r="E288" s="51"/>
      <c r="F288" s="6"/>
      <c r="G288" s="6"/>
      <c r="H288" s="6"/>
      <c r="I288" s="6"/>
      <c r="J288" s="6"/>
      <c r="K288" s="51"/>
      <c r="L288" s="51"/>
      <c r="M288" s="51"/>
      <c r="N288" s="51"/>
      <c r="O288" s="51"/>
      <c r="P288" s="51"/>
      <c r="Q288" s="51"/>
      <c r="R288" s="51"/>
      <c r="S288" s="51"/>
      <c r="T288" s="51"/>
      <c r="U288" s="51"/>
      <c r="V288" s="51"/>
      <c r="W288" s="51"/>
      <c r="X288" s="51"/>
      <c r="Y288" s="51"/>
      <c r="Z288" s="51"/>
      <c r="AA288" s="51"/>
      <c r="AB288" s="51"/>
    </row>
    <row r="289" customFormat="false" ht="15.75" hidden="false" customHeight="false" outlineLevel="0" collapsed="false">
      <c r="A289" s="51"/>
      <c r="B289" s="51"/>
      <c r="C289" s="6"/>
      <c r="D289" s="49"/>
      <c r="E289" s="51"/>
      <c r="F289" s="6"/>
      <c r="G289" s="6"/>
      <c r="H289" s="6"/>
      <c r="I289" s="6"/>
      <c r="J289" s="6"/>
      <c r="K289" s="51"/>
      <c r="L289" s="51"/>
      <c r="M289" s="51"/>
      <c r="N289" s="51"/>
      <c r="O289" s="51"/>
      <c r="P289" s="51"/>
      <c r="Q289" s="51"/>
      <c r="R289" s="51"/>
      <c r="S289" s="51"/>
      <c r="T289" s="51"/>
      <c r="U289" s="51"/>
      <c r="V289" s="51"/>
      <c r="W289" s="51"/>
      <c r="X289" s="51"/>
      <c r="Y289" s="51"/>
      <c r="Z289" s="51"/>
      <c r="AA289" s="51"/>
      <c r="AB289" s="51"/>
    </row>
    <row r="290" customFormat="false" ht="15.75" hidden="false" customHeight="false" outlineLevel="0" collapsed="false">
      <c r="A290" s="51"/>
      <c r="B290" s="51"/>
      <c r="C290" s="6"/>
      <c r="D290" s="49"/>
      <c r="E290" s="51"/>
      <c r="F290" s="6"/>
      <c r="G290" s="6"/>
      <c r="H290" s="6"/>
      <c r="I290" s="6"/>
      <c r="J290" s="6"/>
      <c r="K290" s="51"/>
      <c r="L290" s="51"/>
      <c r="M290" s="51"/>
      <c r="N290" s="51"/>
      <c r="O290" s="51"/>
      <c r="P290" s="51"/>
      <c r="Q290" s="51"/>
      <c r="R290" s="51"/>
      <c r="S290" s="51"/>
      <c r="T290" s="51"/>
      <c r="U290" s="51"/>
      <c r="V290" s="51"/>
      <c r="W290" s="51"/>
      <c r="X290" s="51"/>
      <c r="Y290" s="51"/>
      <c r="Z290" s="51"/>
      <c r="AA290" s="51"/>
      <c r="AB290" s="51"/>
    </row>
    <row r="291" customFormat="false" ht="15.75" hidden="false" customHeight="false" outlineLevel="0" collapsed="false">
      <c r="A291" s="51"/>
      <c r="B291" s="51"/>
      <c r="C291" s="6"/>
      <c r="D291" s="49"/>
      <c r="E291" s="51"/>
      <c r="F291" s="6"/>
      <c r="G291" s="6"/>
      <c r="H291" s="6"/>
      <c r="I291" s="6"/>
      <c r="J291" s="6"/>
      <c r="K291" s="51"/>
      <c r="L291" s="51"/>
      <c r="M291" s="51"/>
      <c r="N291" s="51"/>
      <c r="O291" s="51"/>
      <c r="P291" s="51"/>
      <c r="Q291" s="51"/>
      <c r="R291" s="51"/>
      <c r="S291" s="51"/>
      <c r="T291" s="51"/>
      <c r="U291" s="51"/>
      <c r="V291" s="51"/>
      <c r="W291" s="51"/>
      <c r="X291" s="51"/>
      <c r="Y291" s="51"/>
      <c r="Z291" s="51"/>
      <c r="AA291" s="51"/>
      <c r="AB291" s="51"/>
    </row>
    <row r="292" customFormat="false" ht="15.75" hidden="false" customHeight="false" outlineLevel="0" collapsed="false">
      <c r="A292" s="51"/>
      <c r="B292" s="51"/>
      <c r="C292" s="6"/>
      <c r="D292" s="49"/>
      <c r="E292" s="51"/>
      <c r="F292" s="6"/>
      <c r="G292" s="6"/>
      <c r="H292" s="6"/>
      <c r="I292" s="6"/>
      <c r="J292" s="6"/>
      <c r="K292" s="51"/>
      <c r="L292" s="51"/>
      <c r="M292" s="51"/>
      <c r="N292" s="51"/>
      <c r="O292" s="51"/>
      <c r="P292" s="51"/>
      <c r="Q292" s="51"/>
      <c r="R292" s="51"/>
      <c r="S292" s="51"/>
      <c r="T292" s="51"/>
      <c r="U292" s="51"/>
      <c r="V292" s="51"/>
      <c r="W292" s="51"/>
      <c r="X292" s="51"/>
      <c r="Y292" s="51"/>
      <c r="Z292" s="51"/>
      <c r="AA292" s="51"/>
      <c r="AB292" s="51"/>
    </row>
    <row r="293" customFormat="false" ht="15.75" hidden="false" customHeight="false" outlineLevel="0" collapsed="false">
      <c r="A293" s="51"/>
      <c r="B293" s="51"/>
      <c r="C293" s="6"/>
      <c r="D293" s="49"/>
      <c r="E293" s="51"/>
      <c r="F293" s="6"/>
      <c r="G293" s="6"/>
      <c r="H293" s="6"/>
      <c r="I293" s="6"/>
      <c r="J293" s="6"/>
      <c r="K293" s="51"/>
      <c r="L293" s="51"/>
      <c r="M293" s="51"/>
      <c r="N293" s="51"/>
      <c r="O293" s="51"/>
      <c r="P293" s="51"/>
      <c r="Q293" s="51"/>
      <c r="R293" s="51"/>
      <c r="S293" s="51"/>
      <c r="T293" s="51"/>
      <c r="U293" s="51"/>
      <c r="V293" s="51"/>
      <c r="W293" s="51"/>
      <c r="X293" s="51"/>
      <c r="Y293" s="51"/>
      <c r="Z293" s="51"/>
      <c r="AA293" s="51"/>
      <c r="AB293" s="51"/>
    </row>
    <row r="294" customFormat="false" ht="15.75" hidden="false" customHeight="false" outlineLevel="0" collapsed="false">
      <c r="A294" s="51"/>
      <c r="B294" s="51"/>
      <c r="C294" s="6"/>
      <c r="D294" s="49"/>
      <c r="E294" s="51"/>
      <c r="F294" s="6"/>
      <c r="G294" s="6"/>
      <c r="H294" s="6"/>
      <c r="I294" s="6"/>
      <c r="J294" s="6"/>
      <c r="K294" s="51"/>
      <c r="L294" s="51"/>
      <c r="M294" s="51"/>
      <c r="N294" s="51"/>
      <c r="O294" s="51"/>
      <c r="P294" s="51"/>
      <c r="Q294" s="51"/>
      <c r="R294" s="51"/>
      <c r="S294" s="51"/>
      <c r="T294" s="51"/>
      <c r="U294" s="51"/>
      <c r="V294" s="51"/>
      <c r="W294" s="51"/>
      <c r="X294" s="51"/>
      <c r="Y294" s="51"/>
      <c r="Z294" s="51"/>
      <c r="AA294" s="51"/>
      <c r="AB294" s="51"/>
    </row>
    <row r="295" customFormat="false" ht="15.75" hidden="false" customHeight="false" outlineLevel="0" collapsed="false">
      <c r="A295" s="51"/>
      <c r="B295" s="51"/>
      <c r="C295" s="6"/>
      <c r="D295" s="49"/>
      <c r="E295" s="51"/>
      <c r="F295" s="6"/>
      <c r="G295" s="6"/>
      <c r="H295" s="6"/>
      <c r="I295" s="6"/>
      <c r="J295" s="6"/>
      <c r="K295" s="51"/>
      <c r="L295" s="51"/>
      <c r="M295" s="51"/>
      <c r="N295" s="51"/>
      <c r="O295" s="51"/>
      <c r="P295" s="51"/>
      <c r="Q295" s="51"/>
      <c r="R295" s="51"/>
      <c r="S295" s="51"/>
      <c r="T295" s="51"/>
      <c r="U295" s="51"/>
      <c r="V295" s="51"/>
      <c r="W295" s="51"/>
      <c r="X295" s="51"/>
      <c r="Y295" s="51"/>
      <c r="Z295" s="51"/>
      <c r="AA295" s="51"/>
      <c r="AB295" s="51"/>
    </row>
    <row r="296" customFormat="false" ht="15.75" hidden="false" customHeight="false" outlineLevel="0" collapsed="false">
      <c r="A296" s="51"/>
      <c r="B296" s="51"/>
      <c r="C296" s="6"/>
      <c r="D296" s="49"/>
      <c r="E296" s="51"/>
      <c r="F296" s="6"/>
      <c r="G296" s="6"/>
      <c r="H296" s="6"/>
      <c r="I296" s="6"/>
      <c r="J296" s="6"/>
      <c r="K296" s="51"/>
      <c r="L296" s="51"/>
      <c r="M296" s="51"/>
      <c r="N296" s="51"/>
      <c r="O296" s="51"/>
      <c r="P296" s="51"/>
      <c r="Q296" s="51"/>
      <c r="R296" s="51"/>
      <c r="S296" s="51"/>
      <c r="T296" s="51"/>
      <c r="U296" s="51"/>
      <c r="V296" s="51"/>
      <c r="W296" s="51"/>
      <c r="X296" s="51"/>
      <c r="Y296" s="51"/>
      <c r="Z296" s="51"/>
      <c r="AA296" s="51"/>
      <c r="AB296" s="51"/>
    </row>
    <row r="297" customFormat="false" ht="15.75" hidden="false" customHeight="false" outlineLevel="0" collapsed="false">
      <c r="A297" s="51"/>
      <c r="B297" s="51"/>
      <c r="C297" s="6"/>
      <c r="D297" s="49"/>
      <c r="E297" s="51"/>
      <c r="F297" s="6"/>
      <c r="G297" s="6"/>
      <c r="H297" s="6"/>
      <c r="I297" s="6"/>
      <c r="J297" s="6"/>
      <c r="K297" s="51"/>
      <c r="L297" s="51"/>
      <c r="M297" s="51"/>
      <c r="N297" s="51"/>
      <c r="O297" s="51"/>
      <c r="P297" s="51"/>
      <c r="Q297" s="51"/>
      <c r="R297" s="51"/>
      <c r="S297" s="51"/>
      <c r="T297" s="51"/>
      <c r="U297" s="51"/>
      <c r="V297" s="51"/>
      <c r="W297" s="51"/>
      <c r="X297" s="51"/>
      <c r="Y297" s="51"/>
      <c r="Z297" s="51"/>
      <c r="AA297" s="51"/>
      <c r="AB297" s="51"/>
    </row>
    <row r="298" customFormat="false" ht="15.75" hidden="false" customHeight="false" outlineLevel="0" collapsed="false">
      <c r="A298" s="51"/>
      <c r="B298" s="51"/>
      <c r="C298" s="6"/>
      <c r="D298" s="49"/>
      <c r="E298" s="51"/>
      <c r="F298" s="6"/>
      <c r="G298" s="6"/>
      <c r="H298" s="6"/>
      <c r="I298" s="6"/>
      <c r="J298" s="6"/>
      <c r="K298" s="51"/>
      <c r="L298" s="51"/>
      <c r="M298" s="51"/>
      <c r="N298" s="51"/>
      <c r="O298" s="51"/>
      <c r="P298" s="51"/>
      <c r="Q298" s="51"/>
      <c r="R298" s="51"/>
      <c r="S298" s="51"/>
      <c r="T298" s="51"/>
      <c r="U298" s="51"/>
      <c r="V298" s="51"/>
      <c r="W298" s="51"/>
      <c r="X298" s="51"/>
      <c r="Y298" s="51"/>
      <c r="Z298" s="51"/>
      <c r="AA298" s="51"/>
      <c r="AB298" s="51"/>
    </row>
    <row r="299" customFormat="false" ht="15.75" hidden="false" customHeight="false" outlineLevel="0" collapsed="false">
      <c r="A299" s="51"/>
      <c r="B299" s="51"/>
      <c r="C299" s="6"/>
      <c r="D299" s="49"/>
      <c r="E299" s="51"/>
      <c r="F299" s="6"/>
      <c r="G299" s="6"/>
      <c r="H299" s="6"/>
      <c r="I299" s="6"/>
      <c r="J299" s="6"/>
      <c r="K299" s="51"/>
      <c r="L299" s="51"/>
      <c r="M299" s="51"/>
      <c r="N299" s="51"/>
      <c r="O299" s="51"/>
      <c r="P299" s="51"/>
      <c r="Q299" s="51"/>
      <c r="R299" s="51"/>
      <c r="S299" s="51"/>
      <c r="T299" s="51"/>
      <c r="U299" s="51"/>
      <c r="V299" s="51"/>
      <c r="W299" s="51"/>
      <c r="X299" s="51"/>
      <c r="Y299" s="51"/>
      <c r="Z299" s="51"/>
      <c r="AA299" s="51"/>
      <c r="AB299" s="51"/>
    </row>
    <row r="300" customFormat="false" ht="15.75" hidden="false" customHeight="false" outlineLevel="0" collapsed="false">
      <c r="A300" s="51"/>
      <c r="B300" s="51"/>
      <c r="C300" s="6"/>
      <c r="D300" s="49"/>
      <c r="E300" s="51"/>
      <c r="F300" s="6"/>
      <c r="G300" s="6"/>
      <c r="H300" s="6"/>
      <c r="I300" s="6"/>
      <c r="J300" s="6"/>
      <c r="K300" s="51"/>
      <c r="L300" s="51"/>
      <c r="M300" s="51"/>
      <c r="N300" s="51"/>
      <c r="O300" s="51"/>
      <c r="P300" s="51"/>
      <c r="Q300" s="51"/>
      <c r="R300" s="51"/>
      <c r="S300" s="51"/>
      <c r="T300" s="51"/>
      <c r="U300" s="51"/>
      <c r="V300" s="51"/>
      <c r="W300" s="51"/>
      <c r="X300" s="51"/>
      <c r="Y300" s="51"/>
      <c r="Z300" s="51"/>
      <c r="AA300" s="51"/>
      <c r="AB300" s="51"/>
    </row>
    <row r="301" customFormat="false" ht="15.75" hidden="false" customHeight="false" outlineLevel="0" collapsed="false">
      <c r="A301" s="51"/>
      <c r="B301" s="51"/>
      <c r="C301" s="6"/>
      <c r="D301" s="49"/>
      <c r="E301" s="51"/>
      <c r="F301" s="6"/>
      <c r="G301" s="6"/>
      <c r="H301" s="6"/>
      <c r="I301" s="6"/>
      <c r="J301" s="6"/>
      <c r="K301" s="51"/>
      <c r="L301" s="51"/>
      <c r="M301" s="51"/>
      <c r="N301" s="51"/>
      <c r="O301" s="51"/>
      <c r="P301" s="51"/>
      <c r="Q301" s="51"/>
      <c r="R301" s="51"/>
      <c r="S301" s="51"/>
      <c r="T301" s="51"/>
      <c r="U301" s="51"/>
      <c r="V301" s="51"/>
      <c r="W301" s="51"/>
      <c r="X301" s="51"/>
      <c r="Y301" s="51"/>
      <c r="Z301" s="51"/>
      <c r="AA301" s="51"/>
      <c r="AB301" s="51"/>
    </row>
    <row r="302" customFormat="false" ht="15.75" hidden="false" customHeight="false" outlineLevel="0" collapsed="false">
      <c r="A302" s="51"/>
      <c r="B302" s="51"/>
      <c r="C302" s="6"/>
      <c r="D302" s="49"/>
      <c r="E302" s="51"/>
      <c r="F302" s="6"/>
      <c r="G302" s="6"/>
      <c r="H302" s="6"/>
      <c r="I302" s="6"/>
      <c r="J302" s="6"/>
      <c r="K302" s="51"/>
      <c r="L302" s="51"/>
      <c r="M302" s="51"/>
      <c r="N302" s="51"/>
      <c r="O302" s="51"/>
      <c r="P302" s="51"/>
      <c r="Q302" s="51"/>
      <c r="R302" s="51"/>
      <c r="S302" s="51"/>
      <c r="T302" s="51"/>
      <c r="U302" s="51"/>
      <c r="V302" s="51"/>
      <c r="W302" s="51"/>
      <c r="X302" s="51"/>
      <c r="Y302" s="51"/>
      <c r="Z302" s="51"/>
      <c r="AA302" s="51"/>
      <c r="AB302" s="51"/>
    </row>
    <row r="303" customFormat="false" ht="15.75" hidden="false" customHeight="false" outlineLevel="0" collapsed="false">
      <c r="A303" s="51"/>
      <c r="B303" s="51"/>
      <c r="C303" s="6"/>
      <c r="D303" s="49"/>
      <c r="E303" s="51"/>
      <c r="F303" s="6"/>
      <c r="G303" s="6"/>
      <c r="H303" s="6"/>
      <c r="I303" s="6"/>
      <c r="J303" s="6"/>
      <c r="K303" s="51"/>
      <c r="L303" s="51"/>
      <c r="M303" s="51"/>
      <c r="N303" s="51"/>
      <c r="O303" s="51"/>
      <c r="P303" s="51"/>
      <c r="Q303" s="51"/>
      <c r="R303" s="51"/>
      <c r="S303" s="51"/>
      <c r="T303" s="51"/>
      <c r="U303" s="51"/>
      <c r="V303" s="51"/>
      <c r="W303" s="51"/>
      <c r="X303" s="51"/>
      <c r="Y303" s="51"/>
      <c r="Z303" s="51"/>
      <c r="AA303" s="51"/>
      <c r="AB303" s="51"/>
    </row>
    <row r="304" customFormat="false" ht="15.75" hidden="false" customHeight="false" outlineLevel="0" collapsed="false">
      <c r="A304" s="51"/>
      <c r="B304" s="51"/>
      <c r="C304" s="6"/>
      <c r="D304" s="49"/>
      <c r="E304" s="51"/>
      <c r="F304" s="6"/>
      <c r="G304" s="6"/>
      <c r="H304" s="6"/>
      <c r="I304" s="6"/>
      <c r="J304" s="6"/>
      <c r="K304" s="51"/>
      <c r="L304" s="51"/>
      <c r="M304" s="51"/>
      <c r="N304" s="51"/>
      <c r="O304" s="51"/>
      <c r="P304" s="51"/>
      <c r="Q304" s="51"/>
      <c r="R304" s="51"/>
      <c r="S304" s="51"/>
      <c r="T304" s="51"/>
      <c r="U304" s="51"/>
      <c r="V304" s="51"/>
      <c r="W304" s="51"/>
      <c r="X304" s="51"/>
      <c r="Y304" s="51"/>
      <c r="Z304" s="51"/>
      <c r="AA304" s="51"/>
      <c r="AB304" s="51"/>
    </row>
    <row r="305" customFormat="false" ht="15.75" hidden="false" customHeight="false" outlineLevel="0" collapsed="false">
      <c r="A305" s="51"/>
      <c r="B305" s="51"/>
      <c r="C305" s="6"/>
      <c r="D305" s="49"/>
      <c r="E305" s="51"/>
      <c r="F305" s="6"/>
      <c r="G305" s="6"/>
      <c r="H305" s="6"/>
      <c r="I305" s="6"/>
      <c r="J305" s="6"/>
      <c r="K305" s="51"/>
      <c r="L305" s="51"/>
      <c r="M305" s="51"/>
      <c r="N305" s="51"/>
      <c r="O305" s="51"/>
      <c r="P305" s="51"/>
      <c r="Q305" s="51"/>
      <c r="R305" s="51"/>
      <c r="S305" s="51"/>
      <c r="T305" s="51"/>
      <c r="U305" s="51"/>
      <c r="V305" s="51"/>
      <c r="W305" s="51"/>
      <c r="X305" s="51"/>
      <c r="Y305" s="51"/>
      <c r="Z305" s="51"/>
      <c r="AA305" s="51"/>
      <c r="AB305" s="51"/>
    </row>
    <row r="306" customFormat="false" ht="15.75" hidden="false" customHeight="false" outlineLevel="0" collapsed="false">
      <c r="A306" s="51"/>
      <c r="B306" s="51"/>
      <c r="C306" s="6"/>
      <c r="D306" s="49"/>
      <c r="E306" s="51"/>
      <c r="F306" s="6"/>
      <c r="G306" s="6"/>
      <c r="H306" s="6"/>
      <c r="I306" s="6"/>
      <c r="J306" s="6"/>
      <c r="K306" s="51"/>
      <c r="L306" s="51"/>
      <c r="M306" s="51"/>
      <c r="N306" s="51"/>
      <c r="O306" s="51"/>
      <c r="P306" s="51"/>
      <c r="Q306" s="51"/>
      <c r="R306" s="51"/>
      <c r="S306" s="51"/>
      <c r="T306" s="51"/>
      <c r="U306" s="51"/>
      <c r="V306" s="51"/>
      <c r="W306" s="51"/>
      <c r="X306" s="51"/>
      <c r="Y306" s="51"/>
      <c r="Z306" s="51"/>
      <c r="AA306" s="51"/>
      <c r="AB306" s="51"/>
    </row>
    <row r="307" customFormat="false" ht="15.75" hidden="false" customHeight="false" outlineLevel="0" collapsed="false">
      <c r="A307" s="51"/>
      <c r="B307" s="51"/>
      <c r="C307" s="6"/>
      <c r="D307" s="49"/>
      <c r="E307" s="51"/>
      <c r="F307" s="6"/>
      <c r="G307" s="6"/>
      <c r="H307" s="6"/>
      <c r="I307" s="6"/>
      <c r="J307" s="6"/>
      <c r="K307" s="51"/>
      <c r="L307" s="51"/>
      <c r="M307" s="51"/>
      <c r="N307" s="51"/>
      <c r="O307" s="51"/>
      <c r="P307" s="51"/>
      <c r="Q307" s="51"/>
      <c r="R307" s="51"/>
      <c r="S307" s="51"/>
      <c r="T307" s="51"/>
      <c r="U307" s="51"/>
      <c r="V307" s="51"/>
      <c r="W307" s="51"/>
      <c r="X307" s="51"/>
      <c r="Y307" s="51"/>
      <c r="Z307" s="51"/>
      <c r="AA307" s="51"/>
      <c r="AB307" s="51"/>
    </row>
    <row r="308" customFormat="false" ht="15.75" hidden="false" customHeight="false" outlineLevel="0" collapsed="false">
      <c r="A308" s="51"/>
      <c r="B308" s="51"/>
      <c r="C308" s="6"/>
      <c r="D308" s="49"/>
      <c r="E308" s="51"/>
      <c r="F308" s="6"/>
      <c r="G308" s="6"/>
      <c r="H308" s="6"/>
      <c r="I308" s="6"/>
      <c r="J308" s="6"/>
      <c r="K308" s="51"/>
      <c r="L308" s="51"/>
      <c r="M308" s="51"/>
      <c r="N308" s="51"/>
      <c r="O308" s="51"/>
      <c r="P308" s="51"/>
      <c r="Q308" s="51"/>
      <c r="R308" s="51"/>
      <c r="S308" s="51"/>
      <c r="T308" s="51"/>
      <c r="U308" s="51"/>
      <c r="V308" s="51"/>
      <c r="W308" s="51"/>
      <c r="X308" s="51"/>
      <c r="Y308" s="51"/>
      <c r="Z308" s="51"/>
      <c r="AA308" s="51"/>
      <c r="AB308" s="51"/>
    </row>
    <row r="309" customFormat="false" ht="15.75" hidden="false" customHeight="false" outlineLevel="0" collapsed="false">
      <c r="A309" s="51"/>
      <c r="B309" s="51"/>
      <c r="C309" s="6"/>
      <c r="D309" s="49"/>
      <c r="E309" s="51"/>
      <c r="F309" s="6"/>
      <c r="G309" s="6"/>
      <c r="H309" s="6"/>
      <c r="I309" s="6"/>
      <c r="J309" s="6"/>
      <c r="K309" s="51"/>
      <c r="L309" s="51"/>
      <c r="M309" s="51"/>
      <c r="N309" s="51"/>
      <c r="O309" s="51"/>
      <c r="P309" s="51"/>
      <c r="Q309" s="51"/>
      <c r="R309" s="51"/>
      <c r="S309" s="51"/>
      <c r="T309" s="51"/>
      <c r="U309" s="51"/>
      <c r="V309" s="51"/>
      <c r="W309" s="51"/>
      <c r="X309" s="51"/>
      <c r="Y309" s="51"/>
      <c r="Z309" s="51"/>
      <c r="AA309" s="51"/>
      <c r="AB309" s="51"/>
    </row>
    <row r="310" customFormat="false" ht="15.75" hidden="false" customHeight="false" outlineLevel="0" collapsed="false">
      <c r="A310" s="51"/>
      <c r="B310" s="51"/>
      <c r="C310" s="6"/>
      <c r="D310" s="49"/>
      <c r="E310" s="51"/>
      <c r="F310" s="6"/>
      <c r="G310" s="6"/>
      <c r="H310" s="6"/>
      <c r="I310" s="6"/>
      <c r="J310" s="6"/>
      <c r="K310" s="51"/>
      <c r="L310" s="51"/>
      <c r="M310" s="51"/>
      <c r="N310" s="51"/>
      <c r="O310" s="51"/>
      <c r="P310" s="51"/>
      <c r="Q310" s="51"/>
      <c r="R310" s="51"/>
      <c r="S310" s="51"/>
      <c r="T310" s="51"/>
      <c r="U310" s="51"/>
      <c r="V310" s="51"/>
      <c r="W310" s="51"/>
      <c r="X310" s="51"/>
      <c r="Y310" s="51"/>
      <c r="Z310" s="51"/>
      <c r="AA310" s="51"/>
      <c r="AB310" s="51"/>
    </row>
    <row r="311" customFormat="false" ht="15.75" hidden="false" customHeight="false" outlineLevel="0" collapsed="false">
      <c r="A311" s="51"/>
      <c r="B311" s="51"/>
      <c r="C311" s="6"/>
      <c r="D311" s="49"/>
      <c r="E311" s="51"/>
      <c r="F311" s="6"/>
      <c r="G311" s="6"/>
      <c r="H311" s="6"/>
      <c r="I311" s="6"/>
      <c r="J311" s="6"/>
      <c r="K311" s="51"/>
      <c r="L311" s="51"/>
      <c r="M311" s="51"/>
      <c r="N311" s="51"/>
      <c r="O311" s="51"/>
      <c r="P311" s="51"/>
      <c r="Q311" s="51"/>
      <c r="R311" s="51"/>
      <c r="S311" s="51"/>
      <c r="T311" s="51"/>
      <c r="U311" s="51"/>
      <c r="V311" s="51"/>
      <c r="W311" s="51"/>
      <c r="X311" s="51"/>
      <c r="Y311" s="51"/>
      <c r="Z311" s="51"/>
      <c r="AA311" s="51"/>
      <c r="AB311" s="51"/>
    </row>
    <row r="312" customFormat="false" ht="15.75" hidden="false" customHeight="false" outlineLevel="0" collapsed="false">
      <c r="A312" s="51"/>
      <c r="B312" s="51"/>
      <c r="C312" s="6"/>
      <c r="D312" s="49"/>
      <c r="E312" s="51"/>
      <c r="F312" s="6"/>
      <c r="G312" s="6"/>
      <c r="H312" s="6"/>
      <c r="I312" s="6"/>
      <c r="J312" s="6"/>
      <c r="K312" s="51"/>
      <c r="L312" s="51"/>
      <c r="M312" s="51"/>
      <c r="N312" s="51"/>
      <c r="O312" s="51"/>
      <c r="P312" s="51"/>
      <c r="Q312" s="51"/>
      <c r="R312" s="51"/>
      <c r="S312" s="51"/>
      <c r="T312" s="51"/>
      <c r="U312" s="51"/>
      <c r="V312" s="51"/>
      <c r="W312" s="51"/>
      <c r="X312" s="51"/>
      <c r="Y312" s="51"/>
      <c r="Z312" s="51"/>
      <c r="AA312" s="51"/>
      <c r="AB312" s="51"/>
    </row>
    <row r="313" customFormat="false" ht="15.75" hidden="false" customHeight="false" outlineLevel="0" collapsed="false">
      <c r="A313" s="51"/>
      <c r="B313" s="51"/>
      <c r="C313" s="6"/>
      <c r="D313" s="49"/>
      <c r="E313" s="51"/>
      <c r="F313" s="6"/>
      <c r="G313" s="6"/>
      <c r="H313" s="6"/>
      <c r="I313" s="6"/>
      <c r="J313" s="6"/>
      <c r="K313" s="51"/>
      <c r="L313" s="51"/>
      <c r="M313" s="51"/>
      <c r="N313" s="51"/>
      <c r="O313" s="51"/>
      <c r="P313" s="51"/>
      <c r="Q313" s="51"/>
      <c r="R313" s="51"/>
      <c r="S313" s="51"/>
      <c r="T313" s="51"/>
      <c r="U313" s="51"/>
      <c r="V313" s="51"/>
      <c r="W313" s="51"/>
      <c r="X313" s="51"/>
      <c r="Y313" s="51"/>
      <c r="Z313" s="51"/>
      <c r="AA313" s="51"/>
      <c r="AB313" s="51"/>
    </row>
    <row r="314" customFormat="false" ht="15.75" hidden="false" customHeight="false" outlineLevel="0" collapsed="false">
      <c r="A314" s="51"/>
      <c r="B314" s="51"/>
      <c r="C314" s="6"/>
      <c r="D314" s="49"/>
      <c r="E314" s="51"/>
      <c r="F314" s="6"/>
      <c r="G314" s="6"/>
      <c r="H314" s="6"/>
      <c r="I314" s="6"/>
      <c r="J314" s="6"/>
      <c r="K314" s="51"/>
      <c r="L314" s="51"/>
      <c r="M314" s="51"/>
      <c r="N314" s="51"/>
      <c r="O314" s="51"/>
      <c r="P314" s="51"/>
      <c r="Q314" s="51"/>
      <c r="R314" s="51"/>
      <c r="S314" s="51"/>
      <c r="T314" s="51"/>
      <c r="U314" s="51"/>
      <c r="V314" s="51"/>
      <c r="W314" s="51"/>
      <c r="X314" s="51"/>
      <c r="Y314" s="51"/>
      <c r="Z314" s="51"/>
      <c r="AA314" s="51"/>
      <c r="AB314" s="51"/>
    </row>
    <row r="315" customFormat="false" ht="15.75" hidden="false" customHeight="false" outlineLevel="0" collapsed="false">
      <c r="A315" s="51"/>
      <c r="B315" s="51"/>
      <c r="C315" s="6"/>
      <c r="D315" s="49"/>
      <c r="E315" s="51"/>
      <c r="F315" s="6"/>
      <c r="G315" s="6"/>
      <c r="H315" s="6"/>
      <c r="I315" s="6"/>
      <c r="J315" s="6"/>
      <c r="K315" s="51"/>
      <c r="L315" s="51"/>
      <c r="M315" s="51"/>
      <c r="N315" s="51"/>
      <c r="O315" s="51"/>
      <c r="P315" s="51"/>
      <c r="Q315" s="51"/>
      <c r="R315" s="51"/>
      <c r="S315" s="51"/>
      <c r="T315" s="51"/>
      <c r="U315" s="51"/>
      <c r="V315" s="51"/>
      <c r="W315" s="51"/>
      <c r="X315" s="51"/>
      <c r="Y315" s="51"/>
      <c r="Z315" s="51"/>
      <c r="AA315" s="51"/>
      <c r="AB315" s="51"/>
    </row>
    <row r="316" customFormat="false" ht="15.75" hidden="false" customHeight="false" outlineLevel="0" collapsed="false">
      <c r="A316" s="51"/>
      <c r="B316" s="51"/>
      <c r="C316" s="6"/>
      <c r="D316" s="49"/>
      <c r="E316" s="51"/>
      <c r="F316" s="6"/>
      <c r="G316" s="6"/>
      <c r="H316" s="6"/>
      <c r="I316" s="6"/>
      <c r="J316" s="6"/>
      <c r="K316" s="51"/>
      <c r="L316" s="51"/>
      <c r="M316" s="51"/>
      <c r="N316" s="51"/>
      <c r="O316" s="51"/>
      <c r="P316" s="51"/>
      <c r="Q316" s="51"/>
      <c r="R316" s="51"/>
      <c r="S316" s="51"/>
      <c r="T316" s="51"/>
      <c r="U316" s="51"/>
      <c r="V316" s="51"/>
      <c r="W316" s="51"/>
      <c r="X316" s="51"/>
      <c r="Y316" s="51"/>
      <c r="Z316" s="51"/>
      <c r="AA316" s="51"/>
      <c r="AB316" s="51"/>
    </row>
    <row r="317" customFormat="false" ht="15.75" hidden="false" customHeight="false" outlineLevel="0" collapsed="false">
      <c r="A317" s="51"/>
      <c r="B317" s="51"/>
      <c r="C317" s="6"/>
      <c r="D317" s="49"/>
      <c r="E317" s="51"/>
      <c r="F317" s="6"/>
      <c r="G317" s="6"/>
      <c r="H317" s="6"/>
      <c r="I317" s="6"/>
      <c r="J317" s="6"/>
      <c r="K317" s="51"/>
      <c r="L317" s="51"/>
      <c r="M317" s="51"/>
      <c r="N317" s="51"/>
      <c r="O317" s="51"/>
      <c r="P317" s="51"/>
      <c r="Q317" s="51"/>
      <c r="R317" s="51"/>
      <c r="S317" s="51"/>
      <c r="T317" s="51"/>
      <c r="U317" s="51"/>
      <c r="V317" s="51"/>
      <c r="W317" s="51"/>
      <c r="X317" s="51"/>
      <c r="Y317" s="51"/>
      <c r="Z317" s="51"/>
      <c r="AA317" s="51"/>
      <c r="AB317" s="51"/>
    </row>
    <row r="318" customFormat="false" ht="15.75" hidden="false" customHeight="false" outlineLevel="0" collapsed="false">
      <c r="A318" s="51"/>
      <c r="B318" s="51"/>
      <c r="C318" s="6"/>
      <c r="D318" s="49"/>
      <c r="E318" s="51"/>
      <c r="F318" s="6"/>
      <c r="G318" s="6"/>
      <c r="H318" s="6"/>
      <c r="I318" s="6"/>
      <c r="J318" s="6"/>
      <c r="K318" s="51"/>
      <c r="L318" s="51"/>
      <c r="M318" s="51"/>
      <c r="N318" s="51"/>
      <c r="O318" s="51"/>
      <c r="P318" s="51"/>
      <c r="Q318" s="51"/>
      <c r="R318" s="51"/>
      <c r="S318" s="51"/>
      <c r="T318" s="51"/>
      <c r="U318" s="51"/>
      <c r="V318" s="51"/>
      <c r="W318" s="51"/>
      <c r="X318" s="51"/>
      <c r="Y318" s="51"/>
      <c r="Z318" s="51"/>
      <c r="AA318" s="51"/>
      <c r="AB318" s="51"/>
    </row>
    <row r="319" customFormat="false" ht="15.75" hidden="false" customHeight="false" outlineLevel="0" collapsed="false">
      <c r="A319" s="51"/>
      <c r="B319" s="51"/>
      <c r="C319" s="6"/>
      <c r="D319" s="49"/>
      <c r="E319" s="51"/>
      <c r="F319" s="6"/>
      <c r="G319" s="6"/>
      <c r="H319" s="6"/>
      <c r="I319" s="6"/>
      <c r="J319" s="6"/>
      <c r="K319" s="51"/>
      <c r="L319" s="51"/>
      <c r="M319" s="51"/>
      <c r="N319" s="51"/>
      <c r="O319" s="51"/>
      <c r="P319" s="51"/>
      <c r="Q319" s="51"/>
      <c r="R319" s="51"/>
      <c r="S319" s="51"/>
      <c r="T319" s="51"/>
      <c r="U319" s="51"/>
      <c r="V319" s="51"/>
      <c r="W319" s="51"/>
      <c r="X319" s="51"/>
      <c r="Y319" s="51"/>
      <c r="Z319" s="51"/>
      <c r="AA319" s="51"/>
      <c r="AB319" s="51"/>
    </row>
    <row r="320" customFormat="false" ht="15.75" hidden="false" customHeight="false" outlineLevel="0" collapsed="false">
      <c r="A320" s="51"/>
      <c r="B320" s="51"/>
      <c r="C320" s="6"/>
      <c r="D320" s="49"/>
      <c r="E320" s="51"/>
      <c r="F320" s="6"/>
      <c r="G320" s="6"/>
      <c r="H320" s="6"/>
      <c r="I320" s="6"/>
      <c r="J320" s="6"/>
      <c r="K320" s="51"/>
      <c r="L320" s="51"/>
      <c r="M320" s="51"/>
      <c r="N320" s="51"/>
      <c r="O320" s="51"/>
      <c r="P320" s="51"/>
      <c r="Q320" s="51"/>
      <c r="R320" s="51"/>
      <c r="S320" s="51"/>
      <c r="T320" s="51"/>
      <c r="U320" s="51"/>
      <c r="V320" s="51"/>
      <c r="W320" s="51"/>
      <c r="X320" s="51"/>
      <c r="Y320" s="51"/>
      <c r="Z320" s="51"/>
      <c r="AA320" s="51"/>
      <c r="AB320" s="51"/>
    </row>
    <row r="321" customFormat="false" ht="15.75" hidden="false" customHeight="false" outlineLevel="0" collapsed="false">
      <c r="A321" s="51"/>
      <c r="B321" s="51"/>
      <c r="C321" s="6"/>
      <c r="D321" s="49"/>
      <c r="E321" s="51"/>
      <c r="F321" s="6"/>
      <c r="G321" s="6"/>
      <c r="H321" s="6"/>
      <c r="I321" s="6"/>
      <c r="J321" s="6"/>
      <c r="K321" s="51"/>
      <c r="L321" s="51"/>
      <c r="M321" s="51"/>
      <c r="N321" s="51"/>
      <c r="O321" s="51"/>
      <c r="P321" s="51"/>
      <c r="Q321" s="51"/>
      <c r="R321" s="51"/>
      <c r="S321" s="51"/>
      <c r="T321" s="51"/>
      <c r="U321" s="51"/>
      <c r="V321" s="51"/>
      <c r="W321" s="51"/>
      <c r="X321" s="51"/>
      <c r="Y321" s="51"/>
      <c r="Z321" s="51"/>
      <c r="AA321" s="51"/>
      <c r="AB321" s="51"/>
    </row>
    <row r="322" customFormat="false" ht="15.75" hidden="false" customHeight="false" outlineLevel="0" collapsed="false">
      <c r="A322" s="51"/>
      <c r="B322" s="51"/>
      <c r="C322" s="6"/>
      <c r="D322" s="49"/>
      <c r="E322" s="51"/>
      <c r="F322" s="6"/>
      <c r="G322" s="6"/>
      <c r="H322" s="6"/>
      <c r="I322" s="6"/>
      <c r="J322" s="6"/>
      <c r="K322" s="51"/>
      <c r="L322" s="51"/>
      <c r="M322" s="51"/>
      <c r="N322" s="51"/>
      <c r="O322" s="51"/>
      <c r="P322" s="51"/>
      <c r="Q322" s="51"/>
      <c r="R322" s="51"/>
      <c r="S322" s="51"/>
      <c r="T322" s="51"/>
      <c r="U322" s="51"/>
      <c r="V322" s="51"/>
      <c r="W322" s="51"/>
      <c r="X322" s="51"/>
      <c r="Y322" s="51"/>
      <c r="Z322" s="51"/>
      <c r="AA322" s="51"/>
      <c r="AB322" s="51"/>
    </row>
    <row r="323" customFormat="false" ht="15.75" hidden="false" customHeight="false" outlineLevel="0" collapsed="false">
      <c r="A323" s="51"/>
      <c r="B323" s="51"/>
      <c r="C323" s="6"/>
      <c r="D323" s="49"/>
      <c r="E323" s="51"/>
      <c r="F323" s="6"/>
      <c r="G323" s="6"/>
      <c r="H323" s="6"/>
      <c r="I323" s="6"/>
      <c r="J323" s="6"/>
      <c r="K323" s="51"/>
      <c r="L323" s="51"/>
      <c r="M323" s="51"/>
      <c r="N323" s="51"/>
      <c r="O323" s="51"/>
      <c r="P323" s="51"/>
      <c r="Q323" s="51"/>
      <c r="R323" s="51"/>
      <c r="S323" s="51"/>
      <c r="T323" s="51"/>
      <c r="U323" s="51"/>
      <c r="V323" s="51"/>
      <c r="W323" s="51"/>
      <c r="X323" s="51"/>
      <c r="Y323" s="51"/>
      <c r="Z323" s="51"/>
      <c r="AA323" s="51"/>
      <c r="AB323" s="51"/>
    </row>
    <row r="324" customFormat="false" ht="15.75" hidden="false" customHeight="false" outlineLevel="0" collapsed="false">
      <c r="A324" s="51"/>
      <c r="B324" s="51"/>
      <c r="C324" s="6"/>
      <c r="D324" s="49"/>
      <c r="E324" s="51"/>
      <c r="F324" s="6"/>
      <c r="G324" s="6"/>
      <c r="H324" s="6"/>
      <c r="I324" s="6"/>
      <c r="J324" s="6"/>
      <c r="K324" s="51"/>
      <c r="L324" s="51"/>
      <c r="M324" s="51"/>
      <c r="N324" s="51"/>
      <c r="O324" s="51"/>
      <c r="P324" s="51"/>
      <c r="Q324" s="51"/>
      <c r="R324" s="51"/>
      <c r="S324" s="51"/>
      <c r="T324" s="51"/>
      <c r="U324" s="51"/>
      <c r="V324" s="51"/>
      <c r="W324" s="51"/>
      <c r="X324" s="51"/>
      <c r="Y324" s="51"/>
      <c r="Z324" s="51"/>
      <c r="AA324" s="51"/>
      <c r="AB324" s="51"/>
    </row>
    <row r="325" customFormat="false" ht="15.75" hidden="false" customHeight="false" outlineLevel="0" collapsed="false">
      <c r="A325" s="51"/>
      <c r="B325" s="51"/>
      <c r="C325" s="6"/>
      <c r="D325" s="49"/>
      <c r="E325" s="51"/>
      <c r="F325" s="6"/>
      <c r="G325" s="6"/>
      <c r="H325" s="6"/>
      <c r="I325" s="6"/>
      <c r="J325" s="6"/>
      <c r="K325" s="51"/>
      <c r="L325" s="51"/>
      <c r="M325" s="51"/>
      <c r="N325" s="51"/>
      <c r="O325" s="51"/>
      <c r="P325" s="51"/>
      <c r="Q325" s="51"/>
      <c r="R325" s="51"/>
      <c r="S325" s="51"/>
      <c r="T325" s="51"/>
      <c r="U325" s="51"/>
      <c r="V325" s="51"/>
      <c r="W325" s="51"/>
      <c r="X325" s="51"/>
      <c r="Y325" s="51"/>
      <c r="Z325" s="51"/>
      <c r="AA325" s="51"/>
      <c r="AB325" s="51"/>
    </row>
    <row r="326" customFormat="false" ht="15.75" hidden="false" customHeight="false" outlineLevel="0" collapsed="false">
      <c r="A326" s="51"/>
      <c r="B326" s="51"/>
      <c r="C326" s="6"/>
      <c r="D326" s="49"/>
      <c r="E326" s="51"/>
      <c r="F326" s="6"/>
      <c r="G326" s="6"/>
      <c r="H326" s="6"/>
      <c r="I326" s="6"/>
      <c r="J326" s="6"/>
      <c r="K326" s="51"/>
      <c r="L326" s="51"/>
      <c r="M326" s="51"/>
      <c r="N326" s="51"/>
      <c r="O326" s="51"/>
      <c r="P326" s="51"/>
      <c r="Q326" s="51"/>
      <c r="R326" s="51"/>
      <c r="S326" s="51"/>
      <c r="T326" s="51"/>
      <c r="U326" s="51"/>
      <c r="V326" s="51"/>
      <c r="W326" s="51"/>
      <c r="X326" s="51"/>
      <c r="Y326" s="51"/>
      <c r="Z326" s="51"/>
      <c r="AA326" s="51"/>
      <c r="AB326" s="51"/>
    </row>
    <row r="327" customFormat="false" ht="15.75" hidden="false" customHeight="false" outlineLevel="0" collapsed="false">
      <c r="A327" s="51"/>
      <c r="B327" s="51"/>
      <c r="C327" s="6"/>
      <c r="D327" s="49"/>
      <c r="E327" s="51"/>
      <c r="F327" s="6"/>
      <c r="G327" s="6"/>
      <c r="H327" s="6"/>
      <c r="I327" s="6"/>
      <c r="J327" s="6"/>
      <c r="K327" s="51"/>
      <c r="L327" s="51"/>
      <c r="M327" s="51"/>
      <c r="N327" s="51"/>
      <c r="O327" s="51"/>
      <c r="P327" s="51"/>
      <c r="Q327" s="51"/>
      <c r="R327" s="51"/>
      <c r="S327" s="51"/>
      <c r="T327" s="51"/>
      <c r="U327" s="51"/>
      <c r="V327" s="51"/>
      <c r="W327" s="51"/>
      <c r="X327" s="51"/>
      <c r="Y327" s="51"/>
      <c r="Z327" s="51"/>
      <c r="AA327" s="51"/>
      <c r="AB327" s="51"/>
    </row>
    <row r="328" customFormat="false" ht="15.75" hidden="false" customHeight="false" outlineLevel="0" collapsed="false">
      <c r="A328" s="51"/>
      <c r="B328" s="51"/>
      <c r="C328" s="6"/>
      <c r="D328" s="49"/>
      <c r="E328" s="51"/>
      <c r="F328" s="6"/>
      <c r="G328" s="6"/>
      <c r="H328" s="6"/>
      <c r="I328" s="6"/>
      <c r="J328" s="6"/>
      <c r="K328" s="51"/>
      <c r="L328" s="51"/>
      <c r="M328" s="51"/>
      <c r="N328" s="51"/>
      <c r="O328" s="51"/>
      <c r="P328" s="51"/>
      <c r="Q328" s="51"/>
      <c r="R328" s="51"/>
      <c r="S328" s="51"/>
      <c r="T328" s="51"/>
      <c r="U328" s="51"/>
      <c r="V328" s="51"/>
      <c r="W328" s="51"/>
      <c r="X328" s="51"/>
      <c r="Y328" s="51"/>
      <c r="Z328" s="51"/>
      <c r="AA328" s="51"/>
      <c r="AB328" s="51"/>
    </row>
    <row r="329" customFormat="false" ht="15.75" hidden="false" customHeight="false" outlineLevel="0" collapsed="false">
      <c r="A329" s="51"/>
      <c r="B329" s="51"/>
      <c r="C329" s="6"/>
      <c r="D329" s="49"/>
      <c r="E329" s="51"/>
      <c r="F329" s="6"/>
      <c r="G329" s="6"/>
      <c r="H329" s="6"/>
      <c r="I329" s="6"/>
      <c r="J329" s="6"/>
      <c r="K329" s="51"/>
      <c r="L329" s="51"/>
      <c r="M329" s="51"/>
      <c r="N329" s="51"/>
      <c r="O329" s="51"/>
      <c r="P329" s="51"/>
      <c r="Q329" s="51"/>
      <c r="R329" s="51"/>
      <c r="S329" s="51"/>
      <c r="T329" s="51"/>
      <c r="U329" s="51"/>
      <c r="V329" s="51"/>
      <c r="W329" s="51"/>
      <c r="X329" s="51"/>
      <c r="Y329" s="51"/>
      <c r="Z329" s="51"/>
      <c r="AA329" s="51"/>
      <c r="AB329" s="51"/>
    </row>
    <row r="330" customFormat="false" ht="15.75" hidden="false" customHeight="false" outlineLevel="0" collapsed="false">
      <c r="A330" s="51"/>
      <c r="B330" s="51"/>
      <c r="C330" s="6"/>
      <c r="D330" s="49"/>
      <c r="E330" s="51"/>
      <c r="F330" s="6"/>
      <c r="G330" s="6"/>
      <c r="H330" s="6"/>
      <c r="I330" s="6"/>
      <c r="J330" s="6"/>
      <c r="K330" s="51"/>
      <c r="L330" s="51"/>
      <c r="M330" s="51"/>
      <c r="N330" s="51"/>
      <c r="O330" s="51"/>
      <c r="P330" s="51"/>
      <c r="Q330" s="51"/>
      <c r="R330" s="51"/>
      <c r="S330" s="51"/>
      <c r="T330" s="51"/>
      <c r="U330" s="51"/>
      <c r="V330" s="51"/>
      <c r="W330" s="51"/>
      <c r="X330" s="51"/>
      <c r="Y330" s="51"/>
      <c r="Z330" s="51"/>
      <c r="AA330" s="51"/>
      <c r="AB330" s="51"/>
    </row>
    <row r="331" customFormat="false" ht="15.75" hidden="false" customHeight="false" outlineLevel="0" collapsed="false">
      <c r="A331" s="51"/>
      <c r="B331" s="51"/>
      <c r="C331" s="6"/>
      <c r="D331" s="49"/>
      <c r="E331" s="51"/>
      <c r="F331" s="6"/>
      <c r="G331" s="6"/>
      <c r="H331" s="6"/>
      <c r="I331" s="6"/>
      <c r="J331" s="6"/>
      <c r="K331" s="51"/>
      <c r="L331" s="51"/>
      <c r="M331" s="51"/>
      <c r="N331" s="51"/>
      <c r="O331" s="51"/>
      <c r="P331" s="51"/>
      <c r="Q331" s="51"/>
      <c r="R331" s="51"/>
      <c r="S331" s="51"/>
      <c r="T331" s="51"/>
      <c r="U331" s="51"/>
      <c r="V331" s="51"/>
      <c r="W331" s="51"/>
      <c r="X331" s="51"/>
      <c r="Y331" s="51"/>
      <c r="Z331" s="51"/>
      <c r="AA331" s="51"/>
      <c r="AB331" s="51"/>
    </row>
    <row r="332" customFormat="false" ht="15.75" hidden="false" customHeight="false" outlineLevel="0" collapsed="false">
      <c r="A332" s="51"/>
      <c r="B332" s="51"/>
      <c r="C332" s="6"/>
      <c r="D332" s="49"/>
      <c r="E332" s="51"/>
      <c r="F332" s="6"/>
      <c r="G332" s="6"/>
      <c r="H332" s="6"/>
      <c r="I332" s="6"/>
      <c r="J332" s="6"/>
      <c r="K332" s="51"/>
      <c r="L332" s="51"/>
      <c r="M332" s="51"/>
      <c r="N332" s="51"/>
      <c r="O332" s="51"/>
      <c r="P332" s="51"/>
      <c r="Q332" s="51"/>
      <c r="R332" s="51"/>
      <c r="S332" s="51"/>
      <c r="T332" s="51"/>
      <c r="U332" s="51"/>
      <c r="V332" s="51"/>
      <c r="W332" s="51"/>
      <c r="X332" s="51"/>
      <c r="Y332" s="51"/>
      <c r="Z332" s="51"/>
      <c r="AA332" s="51"/>
      <c r="AB332" s="51"/>
    </row>
    <row r="333" customFormat="false" ht="15.75" hidden="false" customHeight="false" outlineLevel="0" collapsed="false">
      <c r="A333" s="51"/>
      <c r="B333" s="51"/>
      <c r="C333" s="6"/>
      <c r="D333" s="49"/>
      <c r="E333" s="51"/>
      <c r="F333" s="6"/>
      <c r="G333" s="6"/>
      <c r="H333" s="6"/>
      <c r="I333" s="6"/>
      <c r="J333" s="6"/>
      <c r="K333" s="51"/>
      <c r="L333" s="51"/>
      <c r="M333" s="51"/>
      <c r="N333" s="51"/>
      <c r="O333" s="51"/>
      <c r="P333" s="51"/>
      <c r="Q333" s="51"/>
      <c r="R333" s="51"/>
      <c r="S333" s="51"/>
      <c r="T333" s="51"/>
      <c r="U333" s="51"/>
      <c r="V333" s="51"/>
      <c r="W333" s="51"/>
      <c r="X333" s="51"/>
      <c r="Y333" s="51"/>
      <c r="Z333" s="51"/>
      <c r="AA333" s="51"/>
      <c r="AB333" s="51"/>
    </row>
    <row r="334" customFormat="false" ht="15.75" hidden="false" customHeight="false" outlineLevel="0" collapsed="false">
      <c r="A334" s="51"/>
      <c r="B334" s="51"/>
      <c r="C334" s="6"/>
      <c r="D334" s="49"/>
      <c r="E334" s="51"/>
      <c r="F334" s="6"/>
      <c r="G334" s="6"/>
      <c r="H334" s="6"/>
      <c r="I334" s="6"/>
      <c r="J334" s="6"/>
      <c r="K334" s="51"/>
      <c r="L334" s="51"/>
      <c r="M334" s="51"/>
      <c r="N334" s="51"/>
      <c r="O334" s="51"/>
      <c r="P334" s="51"/>
      <c r="Q334" s="51"/>
      <c r="R334" s="51"/>
      <c r="S334" s="51"/>
      <c r="T334" s="51"/>
      <c r="U334" s="51"/>
      <c r="V334" s="51"/>
      <c r="W334" s="51"/>
      <c r="X334" s="51"/>
      <c r="Y334" s="51"/>
      <c r="Z334" s="51"/>
      <c r="AA334" s="51"/>
      <c r="AB334" s="51"/>
    </row>
    <row r="335" customFormat="false" ht="15.75" hidden="false" customHeight="false" outlineLevel="0" collapsed="false">
      <c r="A335" s="51"/>
      <c r="B335" s="51"/>
      <c r="C335" s="6"/>
      <c r="D335" s="49"/>
      <c r="E335" s="51"/>
      <c r="F335" s="6"/>
      <c r="G335" s="6"/>
      <c r="H335" s="6"/>
      <c r="I335" s="6"/>
      <c r="J335" s="6"/>
      <c r="K335" s="51"/>
      <c r="L335" s="51"/>
      <c r="M335" s="51"/>
      <c r="N335" s="51"/>
      <c r="O335" s="51"/>
      <c r="P335" s="51"/>
      <c r="Q335" s="51"/>
      <c r="R335" s="51"/>
      <c r="S335" s="51"/>
      <c r="T335" s="51"/>
      <c r="U335" s="51"/>
      <c r="V335" s="51"/>
      <c r="W335" s="51"/>
      <c r="X335" s="51"/>
      <c r="Y335" s="51"/>
      <c r="Z335" s="51"/>
      <c r="AA335" s="51"/>
      <c r="AB335" s="51"/>
    </row>
    <row r="336" customFormat="false" ht="15.75" hidden="false" customHeight="false" outlineLevel="0" collapsed="false">
      <c r="A336" s="51"/>
      <c r="B336" s="51"/>
      <c r="C336" s="6"/>
      <c r="D336" s="49"/>
      <c r="E336" s="51"/>
      <c r="F336" s="6"/>
      <c r="G336" s="6"/>
      <c r="H336" s="6"/>
      <c r="I336" s="6"/>
      <c r="J336" s="6"/>
      <c r="K336" s="51"/>
      <c r="L336" s="51"/>
      <c r="M336" s="51"/>
      <c r="N336" s="51"/>
      <c r="O336" s="51"/>
      <c r="P336" s="51"/>
      <c r="Q336" s="51"/>
      <c r="R336" s="51"/>
      <c r="S336" s="51"/>
      <c r="T336" s="51"/>
      <c r="U336" s="51"/>
      <c r="V336" s="51"/>
      <c r="W336" s="51"/>
      <c r="X336" s="51"/>
      <c r="Y336" s="51"/>
      <c r="Z336" s="51"/>
      <c r="AA336" s="51"/>
      <c r="AB336" s="51"/>
    </row>
    <row r="337" customFormat="false" ht="15.75" hidden="false" customHeight="false" outlineLevel="0" collapsed="false">
      <c r="A337" s="51"/>
      <c r="B337" s="51"/>
      <c r="C337" s="6"/>
      <c r="D337" s="49"/>
      <c r="E337" s="51"/>
      <c r="F337" s="6"/>
      <c r="G337" s="6"/>
      <c r="H337" s="6"/>
      <c r="I337" s="6"/>
      <c r="J337" s="6"/>
      <c r="K337" s="51"/>
      <c r="L337" s="51"/>
      <c r="M337" s="51"/>
      <c r="N337" s="51"/>
      <c r="O337" s="51"/>
      <c r="P337" s="51"/>
      <c r="Q337" s="51"/>
      <c r="R337" s="51"/>
      <c r="S337" s="51"/>
      <c r="T337" s="51"/>
      <c r="U337" s="51"/>
      <c r="V337" s="51"/>
      <c r="W337" s="51"/>
      <c r="X337" s="51"/>
      <c r="Y337" s="51"/>
      <c r="Z337" s="51"/>
      <c r="AA337" s="51"/>
      <c r="AB337" s="51"/>
    </row>
    <row r="338" customFormat="false" ht="15.75" hidden="false" customHeight="false" outlineLevel="0" collapsed="false">
      <c r="A338" s="51"/>
      <c r="B338" s="51"/>
      <c r="C338" s="6"/>
      <c r="D338" s="49"/>
      <c r="E338" s="51"/>
      <c r="F338" s="6"/>
      <c r="G338" s="6"/>
      <c r="H338" s="6"/>
      <c r="I338" s="6"/>
      <c r="J338" s="6"/>
      <c r="K338" s="51"/>
      <c r="L338" s="51"/>
      <c r="M338" s="51"/>
      <c r="N338" s="51"/>
      <c r="O338" s="51"/>
      <c r="P338" s="51"/>
      <c r="Q338" s="51"/>
      <c r="R338" s="51"/>
      <c r="S338" s="51"/>
      <c r="T338" s="51"/>
      <c r="U338" s="51"/>
      <c r="V338" s="51"/>
      <c r="W338" s="51"/>
      <c r="X338" s="51"/>
      <c r="Y338" s="51"/>
      <c r="Z338" s="51"/>
      <c r="AA338" s="51"/>
      <c r="AB338" s="51"/>
    </row>
    <row r="339" customFormat="false" ht="15.75" hidden="false" customHeight="false" outlineLevel="0" collapsed="false">
      <c r="A339" s="51"/>
      <c r="B339" s="51"/>
      <c r="C339" s="6"/>
      <c r="D339" s="49"/>
      <c r="E339" s="51"/>
      <c r="F339" s="6"/>
      <c r="G339" s="6"/>
      <c r="H339" s="6"/>
      <c r="I339" s="6"/>
      <c r="J339" s="6"/>
      <c r="K339" s="51"/>
      <c r="L339" s="51"/>
      <c r="M339" s="51"/>
      <c r="N339" s="51"/>
      <c r="O339" s="51"/>
      <c r="P339" s="51"/>
      <c r="Q339" s="51"/>
      <c r="R339" s="51"/>
      <c r="S339" s="51"/>
      <c r="T339" s="51"/>
      <c r="U339" s="51"/>
      <c r="V339" s="51"/>
      <c r="W339" s="51"/>
      <c r="X339" s="51"/>
      <c r="Y339" s="51"/>
      <c r="Z339" s="51"/>
      <c r="AA339" s="51"/>
      <c r="AB339" s="51"/>
    </row>
    <row r="340" customFormat="false" ht="15.75" hidden="false" customHeight="false" outlineLevel="0" collapsed="false">
      <c r="A340" s="51"/>
      <c r="B340" s="51"/>
      <c r="C340" s="6"/>
      <c r="D340" s="49"/>
      <c r="E340" s="51"/>
      <c r="F340" s="6"/>
      <c r="G340" s="6"/>
      <c r="H340" s="6"/>
      <c r="I340" s="6"/>
      <c r="J340" s="6"/>
      <c r="K340" s="51"/>
      <c r="L340" s="51"/>
      <c r="M340" s="51"/>
      <c r="N340" s="51"/>
      <c r="O340" s="51"/>
      <c r="P340" s="51"/>
      <c r="Q340" s="51"/>
      <c r="R340" s="51"/>
      <c r="S340" s="51"/>
      <c r="T340" s="51"/>
      <c r="U340" s="51"/>
      <c r="V340" s="51"/>
      <c r="W340" s="51"/>
      <c r="X340" s="51"/>
      <c r="Y340" s="51"/>
      <c r="Z340" s="51"/>
      <c r="AA340" s="51"/>
      <c r="AB340" s="51"/>
    </row>
    <row r="341" customFormat="false" ht="15.75" hidden="false" customHeight="false" outlineLevel="0" collapsed="false">
      <c r="A341" s="51"/>
      <c r="B341" s="51"/>
      <c r="C341" s="6"/>
      <c r="D341" s="49"/>
      <c r="E341" s="51"/>
      <c r="F341" s="6"/>
      <c r="G341" s="6"/>
      <c r="H341" s="6"/>
      <c r="I341" s="6"/>
      <c r="J341" s="6"/>
      <c r="K341" s="51"/>
      <c r="L341" s="51"/>
      <c r="M341" s="51"/>
      <c r="N341" s="51"/>
      <c r="O341" s="51"/>
      <c r="P341" s="51"/>
      <c r="Q341" s="51"/>
      <c r="R341" s="51"/>
      <c r="S341" s="51"/>
      <c r="T341" s="51"/>
      <c r="U341" s="51"/>
      <c r="V341" s="51"/>
      <c r="W341" s="51"/>
      <c r="X341" s="51"/>
      <c r="Y341" s="51"/>
      <c r="Z341" s="51"/>
      <c r="AA341" s="51"/>
      <c r="AB341" s="51"/>
    </row>
    <row r="342" customFormat="false" ht="15.75" hidden="false" customHeight="false" outlineLevel="0" collapsed="false">
      <c r="A342" s="51"/>
      <c r="B342" s="51"/>
      <c r="C342" s="6"/>
      <c r="D342" s="49"/>
      <c r="E342" s="51"/>
      <c r="F342" s="6"/>
      <c r="G342" s="6"/>
      <c r="H342" s="6"/>
      <c r="I342" s="6"/>
      <c r="J342" s="6"/>
      <c r="K342" s="51"/>
      <c r="L342" s="51"/>
      <c r="M342" s="51"/>
      <c r="N342" s="51"/>
      <c r="O342" s="51"/>
      <c r="P342" s="51"/>
      <c r="Q342" s="51"/>
      <c r="R342" s="51"/>
      <c r="S342" s="51"/>
      <c r="T342" s="51"/>
      <c r="U342" s="51"/>
      <c r="V342" s="51"/>
      <c r="W342" s="51"/>
      <c r="X342" s="51"/>
      <c r="Y342" s="51"/>
      <c r="Z342" s="51"/>
      <c r="AA342" s="51"/>
      <c r="AB342" s="51"/>
    </row>
    <row r="343" customFormat="false" ht="15.75" hidden="false" customHeight="false" outlineLevel="0" collapsed="false">
      <c r="A343" s="51"/>
      <c r="B343" s="51"/>
      <c r="C343" s="6"/>
      <c r="D343" s="49"/>
      <c r="E343" s="51"/>
      <c r="F343" s="6"/>
      <c r="G343" s="6"/>
      <c r="H343" s="6"/>
      <c r="I343" s="6"/>
      <c r="J343" s="6"/>
      <c r="K343" s="51"/>
      <c r="L343" s="51"/>
      <c r="M343" s="51"/>
      <c r="N343" s="51"/>
      <c r="O343" s="51"/>
      <c r="P343" s="51"/>
      <c r="Q343" s="51"/>
      <c r="R343" s="51"/>
      <c r="S343" s="51"/>
      <c r="T343" s="51"/>
      <c r="U343" s="51"/>
      <c r="V343" s="51"/>
      <c r="W343" s="51"/>
      <c r="X343" s="51"/>
      <c r="Y343" s="51"/>
      <c r="Z343" s="51"/>
      <c r="AA343" s="51"/>
      <c r="AB343" s="51"/>
    </row>
    <row r="344" customFormat="false" ht="15.75" hidden="false" customHeight="false" outlineLevel="0" collapsed="false">
      <c r="A344" s="51"/>
      <c r="B344" s="51"/>
      <c r="C344" s="6"/>
      <c r="D344" s="49"/>
      <c r="E344" s="51"/>
      <c r="F344" s="6"/>
      <c r="G344" s="6"/>
      <c r="H344" s="6"/>
      <c r="I344" s="6"/>
      <c r="J344" s="6"/>
      <c r="K344" s="51"/>
      <c r="L344" s="51"/>
      <c r="M344" s="51"/>
      <c r="N344" s="51"/>
      <c r="O344" s="51"/>
      <c r="P344" s="51"/>
      <c r="Q344" s="51"/>
      <c r="R344" s="51"/>
      <c r="S344" s="51"/>
      <c r="T344" s="51"/>
      <c r="U344" s="51"/>
      <c r="V344" s="51"/>
      <c r="W344" s="51"/>
      <c r="X344" s="51"/>
      <c r="Y344" s="51"/>
      <c r="Z344" s="51"/>
      <c r="AA344" s="51"/>
      <c r="AB344" s="51"/>
    </row>
    <row r="345" customFormat="false" ht="15.75" hidden="false" customHeight="false" outlineLevel="0" collapsed="false">
      <c r="A345" s="51"/>
      <c r="B345" s="51"/>
      <c r="C345" s="6"/>
      <c r="D345" s="49"/>
      <c r="E345" s="51"/>
      <c r="F345" s="6"/>
      <c r="G345" s="6"/>
      <c r="H345" s="6"/>
      <c r="I345" s="6"/>
      <c r="J345" s="6"/>
      <c r="K345" s="51"/>
      <c r="L345" s="51"/>
      <c r="M345" s="51"/>
      <c r="N345" s="51"/>
      <c r="O345" s="51"/>
      <c r="P345" s="51"/>
      <c r="Q345" s="51"/>
      <c r="R345" s="51"/>
      <c r="S345" s="51"/>
      <c r="T345" s="51"/>
      <c r="U345" s="51"/>
      <c r="V345" s="51"/>
      <c r="W345" s="51"/>
      <c r="X345" s="51"/>
      <c r="Y345" s="51"/>
      <c r="Z345" s="51"/>
      <c r="AA345" s="51"/>
      <c r="AB345" s="51"/>
    </row>
    <row r="346" customFormat="false" ht="15.75" hidden="false" customHeight="false" outlineLevel="0" collapsed="false">
      <c r="A346" s="51"/>
      <c r="B346" s="51"/>
      <c r="C346" s="6"/>
      <c r="D346" s="49"/>
      <c r="E346" s="51"/>
      <c r="F346" s="6"/>
      <c r="G346" s="6"/>
      <c r="H346" s="6"/>
      <c r="I346" s="6"/>
      <c r="J346" s="6"/>
      <c r="K346" s="51"/>
      <c r="L346" s="51"/>
      <c r="M346" s="51"/>
      <c r="N346" s="51"/>
      <c r="O346" s="51"/>
      <c r="P346" s="51"/>
      <c r="Q346" s="51"/>
      <c r="R346" s="51"/>
      <c r="S346" s="51"/>
      <c r="T346" s="51"/>
      <c r="U346" s="51"/>
      <c r="V346" s="51"/>
      <c r="W346" s="51"/>
      <c r="X346" s="51"/>
      <c r="Y346" s="51"/>
      <c r="Z346" s="51"/>
      <c r="AA346" s="51"/>
      <c r="AB346" s="51"/>
    </row>
    <row r="347" customFormat="false" ht="15.75" hidden="false" customHeight="false" outlineLevel="0" collapsed="false">
      <c r="A347" s="51"/>
      <c r="B347" s="51"/>
      <c r="C347" s="6"/>
      <c r="D347" s="49"/>
      <c r="E347" s="51"/>
      <c r="F347" s="6"/>
      <c r="G347" s="6"/>
      <c r="H347" s="6"/>
      <c r="I347" s="6"/>
      <c r="J347" s="6"/>
      <c r="K347" s="51"/>
      <c r="L347" s="51"/>
      <c r="M347" s="51"/>
      <c r="N347" s="51"/>
      <c r="O347" s="51"/>
      <c r="P347" s="51"/>
      <c r="Q347" s="51"/>
      <c r="R347" s="51"/>
      <c r="S347" s="51"/>
      <c r="T347" s="51"/>
      <c r="U347" s="51"/>
      <c r="V347" s="51"/>
      <c r="W347" s="51"/>
      <c r="X347" s="51"/>
      <c r="Y347" s="51"/>
      <c r="Z347" s="51"/>
      <c r="AA347" s="51"/>
      <c r="AB347" s="51"/>
    </row>
    <row r="348" customFormat="false" ht="15.75" hidden="false" customHeight="false" outlineLevel="0" collapsed="false">
      <c r="A348" s="51"/>
      <c r="B348" s="51"/>
      <c r="C348" s="6"/>
      <c r="D348" s="49"/>
      <c r="E348" s="51"/>
      <c r="F348" s="6"/>
      <c r="G348" s="6"/>
      <c r="H348" s="6"/>
      <c r="I348" s="6"/>
      <c r="J348" s="6"/>
      <c r="K348" s="51"/>
      <c r="L348" s="51"/>
      <c r="M348" s="51"/>
      <c r="N348" s="51"/>
      <c r="O348" s="51"/>
      <c r="P348" s="51"/>
      <c r="Q348" s="51"/>
      <c r="R348" s="51"/>
      <c r="S348" s="51"/>
      <c r="T348" s="51"/>
      <c r="U348" s="51"/>
      <c r="V348" s="51"/>
      <c r="W348" s="51"/>
      <c r="X348" s="51"/>
      <c r="Y348" s="51"/>
      <c r="Z348" s="51"/>
      <c r="AA348" s="51"/>
      <c r="AB348" s="51"/>
    </row>
    <row r="349" customFormat="false" ht="15.75" hidden="false" customHeight="false" outlineLevel="0" collapsed="false">
      <c r="A349" s="51"/>
      <c r="B349" s="51"/>
      <c r="C349" s="6"/>
      <c r="D349" s="49"/>
      <c r="E349" s="51"/>
      <c r="F349" s="6"/>
      <c r="G349" s="6"/>
      <c r="H349" s="6"/>
      <c r="I349" s="6"/>
      <c r="J349" s="6"/>
      <c r="K349" s="51"/>
      <c r="L349" s="51"/>
      <c r="M349" s="51"/>
      <c r="N349" s="51"/>
      <c r="O349" s="51"/>
      <c r="P349" s="51"/>
      <c r="Q349" s="51"/>
      <c r="R349" s="51"/>
      <c r="S349" s="51"/>
      <c r="T349" s="51"/>
      <c r="U349" s="51"/>
      <c r="V349" s="51"/>
      <c r="W349" s="51"/>
      <c r="X349" s="51"/>
      <c r="Y349" s="51"/>
      <c r="Z349" s="51"/>
      <c r="AA349" s="51"/>
      <c r="AB349" s="51"/>
    </row>
    <row r="350" customFormat="false" ht="15.75" hidden="false" customHeight="false" outlineLevel="0" collapsed="false">
      <c r="A350" s="51"/>
      <c r="B350" s="51"/>
      <c r="C350" s="6"/>
      <c r="D350" s="49"/>
      <c r="E350" s="51"/>
      <c r="F350" s="6"/>
      <c r="G350" s="6"/>
      <c r="H350" s="6"/>
      <c r="I350" s="6"/>
      <c r="J350" s="6"/>
      <c r="K350" s="51"/>
      <c r="L350" s="51"/>
      <c r="M350" s="51"/>
      <c r="N350" s="51"/>
      <c r="O350" s="51"/>
      <c r="P350" s="51"/>
      <c r="Q350" s="51"/>
      <c r="R350" s="51"/>
      <c r="S350" s="51"/>
      <c r="T350" s="51"/>
      <c r="U350" s="51"/>
      <c r="V350" s="51"/>
      <c r="W350" s="51"/>
      <c r="X350" s="51"/>
      <c r="Y350" s="51"/>
      <c r="Z350" s="51"/>
      <c r="AA350" s="51"/>
      <c r="AB350" s="51"/>
    </row>
    <row r="351" customFormat="false" ht="15.75" hidden="false" customHeight="false" outlineLevel="0" collapsed="false">
      <c r="A351" s="51"/>
      <c r="B351" s="51"/>
      <c r="C351" s="6"/>
      <c r="D351" s="49"/>
      <c r="E351" s="51"/>
      <c r="F351" s="6"/>
      <c r="G351" s="6"/>
      <c r="H351" s="6"/>
      <c r="I351" s="6"/>
      <c r="J351" s="6"/>
      <c r="K351" s="51"/>
      <c r="L351" s="51"/>
      <c r="M351" s="51"/>
      <c r="N351" s="51"/>
      <c r="O351" s="51"/>
      <c r="P351" s="51"/>
      <c r="Q351" s="51"/>
      <c r="R351" s="51"/>
      <c r="S351" s="51"/>
      <c r="T351" s="51"/>
      <c r="U351" s="51"/>
      <c r="V351" s="51"/>
      <c r="W351" s="51"/>
      <c r="X351" s="51"/>
      <c r="Y351" s="51"/>
      <c r="Z351" s="51"/>
      <c r="AA351" s="51"/>
      <c r="AB351" s="51"/>
    </row>
    <row r="352" customFormat="false" ht="15.75" hidden="false" customHeight="false" outlineLevel="0" collapsed="false">
      <c r="A352" s="51"/>
      <c r="B352" s="51"/>
      <c r="C352" s="6"/>
      <c r="D352" s="49"/>
      <c r="E352" s="51"/>
      <c r="F352" s="6"/>
      <c r="G352" s="6"/>
      <c r="H352" s="6"/>
      <c r="I352" s="6"/>
      <c r="J352" s="6"/>
      <c r="K352" s="51"/>
      <c r="L352" s="51"/>
      <c r="M352" s="51"/>
      <c r="N352" s="51"/>
      <c r="O352" s="51"/>
      <c r="P352" s="51"/>
      <c r="Q352" s="51"/>
      <c r="R352" s="51"/>
      <c r="S352" s="51"/>
      <c r="T352" s="51"/>
      <c r="U352" s="51"/>
      <c r="V352" s="51"/>
      <c r="W352" s="51"/>
      <c r="X352" s="51"/>
      <c r="Y352" s="51"/>
      <c r="Z352" s="51"/>
      <c r="AA352" s="51"/>
      <c r="AB352" s="51"/>
    </row>
    <row r="353" customFormat="false" ht="15.75" hidden="false" customHeight="false" outlineLevel="0" collapsed="false">
      <c r="A353" s="51"/>
      <c r="B353" s="51"/>
      <c r="C353" s="6"/>
      <c r="D353" s="49"/>
      <c r="E353" s="51"/>
      <c r="F353" s="6"/>
      <c r="G353" s="6"/>
      <c r="H353" s="6"/>
      <c r="I353" s="6"/>
      <c r="J353" s="6"/>
      <c r="K353" s="51"/>
      <c r="L353" s="51"/>
      <c r="M353" s="51"/>
      <c r="N353" s="51"/>
      <c r="O353" s="51"/>
      <c r="P353" s="51"/>
      <c r="Q353" s="51"/>
      <c r="R353" s="51"/>
      <c r="S353" s="51"/>
      <c r="T353" s="51"/>
      <c r="U353" s="51"/>
      <c r="V353" s="51"/>
      <c r="W353" s="51"/>
      <c r="X353" s="51"/>
      <c r="Y353" s="51"/>
      <c r="Z353" s="51"/>
      <c r="AA353" s="51"/>
      <c r="AB353" s="51"/>
    </row>
    <row r="354" customFormat="false" ht="15.75" hidden="false" customHeight="false" outlineLevel="0" collapsed="false">
      <c r="A354" s="51"/>
      <c r="B354" s="51"/>
      <c r="C354" s="6"/>
      <c r="D354" s="49"/>
      <c r="E354" s="51"/>
      <c r="F354" s="6"/>
      <c r="G354" s="6"/>
      <c r="H354" s="6"/>
      <c r="I354" s="6"/>
      <c r="J354" s="6"/>
      <c r="K354" s="51"/>
      <c r="L354" s="51"/>
      <c r="M354" s="51"/>
      <c r="N354" s="51"/>
      <c r="O354" s="51"/>
      <c r="P354" s="51"/>
      <c r="Q354" s="51"/>
      <c r="R354" s="51"/>
      <c r="S354" s="51"/>
      <c r="T354" s="51"/>
      <c r="U354" s="51"/>
      <c r="V354" s="51"/>
      <c r="W354" s="51"/>
      <c r="X354" s="51"/>
      <c r="Y354" s="51"/>
      <c r="Z354" s="51"/>
      <c r="AA354" s="51"/>
      <c r="AB354" s="51"/>
    </row>
    <row r="355" customFormat="false" ht="15.75" hidden="false" customHeight="false" outlineLevel="0" collapsed="false">
      <c r="A355" s="51"/>
      <c r="B355" s="51"/>
      <c r="C355" s="6"/>
      <c r="D355" s="49"/>
      <c r="E355" s="51"/>
      <c r="F355" s="6"/>
      <c r="G355" s="6"/>
      <c r="H355" s="6"/>
      <c r="I355" s="6"/>
      <c r="J355" s="6"/>
      <c r="K355" s="51"/>
      <c r="L355" s="51"/>
      <c r="M355" s="51"/>
      <c r="N355" s="51"/>
      <c r="O355" s="51"/>
      <c r="P355" s="51"/>
      <c r="Q355" s="51"/>
      <c r="R355" s="51"/>
      <c r="S355" s="51"/>
      <c r="T355" s="51"/>
      <c r="U355" s="51"/>
      <c r="V355" s="51"/>
      <c r="W355" s="51"/>
      <c r="X355" s="51"/>
      <c r="Y355" s="51"/>
      <c r="Z355" s="51"/>
      <c r="AA355" s="51"/>
      <c r="AB355" s="51"/>
    </row>
    <row r="356" customFormat="false" ht="15.75" hidden="false" customHeight="false" outlineLevel="0" collapsed="false">
      <c r="A356" s="51"/>
      <c r="B356" s="51"/>
      <c r="C356" s="6"/>
      <c r="D356" s="49"/>
      <c r="E356" s="51"/>
      <c r="F356" s="6"/>
      <c r="G356" s="6"/>
      <c r="H356" s="6"/>
      <c r="I356" s="6"/>
      <c r="J356" s="6"/>
      <c r="K356" s="51"/>
      <c r="L356" s="51"/>
      <c r="M356" s="51"/>
      <c r="N356" s="51"/>
      <c r="O356" s="51"/>
      <c r="P356" s="51"/>
      <c r="Q356" s="51"/>
      <c r="R356" s="51"/>
      <c r="S356" s="51"/>
      <c r="T356" s="51"/>
      <c r="U356" s="51"/>
      <c r="V356" s="51"/>
      <c r="W356" s="51"/>
      <c r="X356" s="51"/>
      <c r="Y356" s="51"/>
      <c r="Z356" s="51"/>
      <c r="AA356" s="51"/>
      <c r="AB356" s="51"/>
    </row>
    <row r="357" customFormat="false" ht="15.75" hidden="false" customHeight="false" outlineLevel="0" collapsed="false">
      <c r="A357" s="51"/>
      <c r="B357" s="51"/>
      <c r="C357" s="6"/>
      <c r="D357" s="49"/>
      <c r="E357" s="51"/>
      <c r="F357" s="6"/>
      <c r="G357" s="6"/>
      <c r="H357" s="6"/>
      <c r="I357" s="6"/>
      <c r="J357" s="6"/>
      <c r="K357" s="51"/>
      <c r="L357" s="51"/>
      <c r="M357" s="51"/>
      <c r="N357" s="51"/>
      <c r="O357" s="51"/>
      <c r="P357" s="51"/>
      <c r="Q357" s="51"/>
      <c r="R357" s="51"/>
      <c r="S357" s="51"/>
      <c r="T357" s="51"/>
      <c r="U357" s="51"/>
      <c r="V357" s="51"/>
      <c r="W357" s="51"/>
      <c r="X357" s="51"/>
      <c r="Y357" s="51"/>
      <c r="Z357" s="51"/>
      <c r="AA357" s="51"/>
      <c r="AB357" s="51"/>
    </row>
    <row r="358" customFormat="false" ht="15.75" hidden="false" customHeight="false" outlineLevel="0" collapsed="false">
      <c r="A358" s="51"/>
      <c r="B358" s="51"/>
      <c r="C358" s="6"/>
      <c r="D358" s="49"/>
      <c r="E358" s="51"/>
      <c r="F358" s="6"/>
      <c r="G358" s="6"/>
      <c r="H358" s="6"/>
      <c r="I358" s="6"/>
      <c r="J358" s="6"/>
      <c r="K358" s="51"/>
      <c r="L358" s="51"/>
      <c r="M358" s="51"/>
      <c r="N358" s="51"/>
      <c r="O358" s="51"/>
      <c r="P358" s="51"/>
      <c r="Q358" s="51"/>
      <c r="R358" s="51"/>
      <c r="S358" s="51"/>
      <c r="T358" s="51"/>
      <c r="U358" s="51"/>
      <c r="V358" s="51"/>
      <c r="W358" s="51"/>
      <c r="X358" s="51"/>
      <c r="Y358" s="51"/>
      <c r="Z358" s="51"/>
      <c r="AA358" s="51"/>
      <c r="AB358" s="51"/>
    </row>
    <row r="359" customFormat="false" ht="15.75" hidden="false" customHeight="false" outlineLevel="0" collapsed="false">
      <c r="A359" s="51"/>
      <c r="B359" s="51"/>
      <c r="C359" s="6"/>
      <c r="D359" s="49"/>
      <c r="E359" s="51"/>
      <c r="F359" s="6"/>
      <c r="G359" s="6"/>
      <c r="H359" s="6"/>
      <c r="I359" s="6"/>
      <c r="J359" s="6"/>
      <c r="K359" s="51"/>
      <c r="L359" s="51"/>
      <c r="M359" s="51"/>
      <c r="N359" s="51"/>
      <c r="O359" s="51"/>
      <c r="P359" s="51"/>
      <c r="Q359" s="51"/>
      <c r="R359" s="51"/>
      <c r="S359" s="51"/>
      <c r="T359" s="51"/>
      <c r="U359" s="51"/>
      <c r="V359" s="51"/>
      <c r="W359" s="51"/>
      <c r="X359" s="51"/>
      <c r="Y359" s="51"/>
      <c r="Z359" s="51"/>
      <c r="AA359" s="51"/>
      <c r="AB359" s="51"/>
    </row>
    <row r="360" customFormat="false" ht="15.75" hidden="false" customHeight="false" outlineLevel="0" collapsed="false">
      <c r="A360" s="51"/>
      <c r="B360" s="51"/>
      <c r="C360" s="6"/>
      <c r="D360" s="49"/>
      <c r="E360" s="51"/>
      <c r="F360" s="6"/>
      <c r="G360" s="6"/>
      <c r="H360" s="6"/>
      <c r="I360" s="6"/>
      <c r="J360" s="6"/>
      <c r="K360" s="51"/>
      <c r="L360" s="51"/>
      <c r="M360" s="51"/>
      <c r="N360" s="51"/>
      <c r="O360" s="51"/>
      <c r="P360" s="51"/>
      <c r="Q360" s="51"/>
      <c r="R360" s="51"/>
      <c r="S360" s="51"/>
      <c r="T360" s="51"/>
      <c r="U360" s="51"/>
      <c r="V360" s="51"/>
      <c r="W360" s="51"/>
      <c r="X360" s="51"/>
      <c r="Y360" s="51"/>
      <c r="Z360" s="51"/>
      <c r="AA360" s="51"/>
      <c r="AB360" s="51"/>
    </row>
    <row r="361" customFormat="false" ht="15.75" hidden="false" customHeight="false" outlineLevel="0" collapsed="false">
      <c r="A361" s="51"/>
      <c r="B361" s="51"/>
      <c r="C361" s="6"/>
      <c r="D361" s="49"/>
      <c r="E361" s="51"/>
      <c r="F361" s="6"/>
      <c r="G361" s="6"/>
      <c r="H361" s="6"/>
      <c r="I361" s="6"/>
      <c r="J361" s="6"/>
      <c r="K361" s="51"/>
      <c r="L361" s="51"/>
      <c r="M361" s="51"/>
      <c r="N361" s="51"/>
      <c r="O361" s="51"/>
      <c r="P361" s="51"/>
      <c r="Q361" s="51"/>
      <c r="R361" s="51"/>
      <c r="S361" s="51"/>
      <c r="T361" s="51"/>
      <c r="U361" s="51"/>
      <c r="V361" s="51"/>
      <c r="W361" s="51"/>
      <c r="X361" s="51"/>
      <c r="Y361" s="51"/>
      <c r="Z361" s="51"/>
      <c r="AA361" s="51"/>
      <c r="AB361" s="51"/>
    </row>
    <row r="362" customFormat="false" ht="15.75" hidden="false" customHeight="false" outlineLevel="0" collapsed="false">
      <c r="A362" s="51"/>
      <c r="B362" s="51"/>
      <c r="C362" s="6"/>
      <c r="D362" s="49"/>
      <c r="E362" s="51"/>
      <c r="F362" s="6"/>
      <c r="G362" s="6"/>
      <c r="H362" s="6"/>
      <c r="I362" s="6"/>
      <c r="J362" s="6"/>
      <c r="K362" s="51"/>
      <c r="L362" s="51"/>
      <c r="M362" s="51"/>
      <c r="N362" s="51"/>
      <c r="O362" s="51"/>
      <c r="P362" s="51"/>
      <c r="Q362" s="51"/>
      <c r="R362" s="51"/>
      <c r="S362" s="51"/>
      <c r="T362" s="51"/>
      <c r="U362" s="51"/>
      <c r="V362" s="51"/>
      <c r="W362" s="51"/>
      <c r="X362" s="51"/>
      <c r="Y362" s="51"/>
      <c r="Z362" s="51"/>
      <c r="AA362" s="51"/>
      <c r="AB362" s="51"/>
    </row>
    <row r="363" customFormat="false" ht="15.75" hidden="false" customHeight="false" outlineLevel="0" collapsed="false">
      <c r="A363" s="51"/>
      <c r="B363" s="51"/>
      <c r="C363" s="6"/>
      <c r="D363" s="49"/>
      <c r="E363" s="51"/>
      <c r="F363" s="6"/>
      <c r="G363" s="6"/>
      <c r="H363" s="6"/>
      <c r="I363" s="6"/>
      <c r="J363" s="6"/>
      <c r="K363" s="51"/>
      <c r="L363" s="51"/>
      <c r="M363" s="51"/>
      <c r="N363" s="51"/>
      <c r="O363" s="51"/>
      <c r="P363" s="51"/>
      <c r="Q363" s="51"/>
      <c r="R363" s="51"/>
      <c r="S363" s="51"/>
      <c r="T363" s="51"/>
      <c r="U363" s="51"/>
      <c r="V363" s="51"/>
      <c r="W363" s="51"/>
      <c r="X363" s="51"/>
      <c r="Y363" s="51"/>
      <c r="Z363" s="51"/>
      <c r="AA363" s="51"/>
      <c r="AB363" s="51"/>
    </row>
    <row r="364" customFormat="false" ht="15.75" hidden="false" customHeight="false" outlineLevel="0" collapsed="false">
      <c r="A364" s="51"/>
      <c r="B364" s="51"/>
      <c r="C364" s="6"/>
      <c r="D364" s="49"/>
      <c r="E364" s="51"/>
      <c r="F364" s="6"/>
      <c r="G364" s="6"/>
      <c r="H364" s="6"/>
      <c r="I364" s="6"/>
      <c r="J364" s="6"/>
      <c r="K364" s="51"/>
      <c r="L364" s="51"/>
      <c r="M364" s="51"/>
      <c r="N364" s="51"/>
      <c r="O364" s="51"/>
      <c r="P364" s="51"/>
      <c r="Q364" s="51"/>
      <c r="R364" s="51"/>
      <c r="S364" s="51"/>
      <c r="T364" s="51"/>
      <c r="U364" s="51"/>
      <c r="V364" s="51"/>
      <c r="W364" s="51"/>
      <c r="X364" s="51"/>
      <c r="Y364" s="51"/>
      <c r="Z364" s="51"/>
      <c r="AA364" s="51"/>
      <c r="AB364" s="51"/>
    </row>
    <row r="365" customFormat="false" ht="15.75" hidden="false" customHeight="false" outlineLevel="0" collapsed="false">
      <c r="A365" s="51"/>
      <c r="B365" s="51"/>
      <c r="C365" s="6"/>
      <c r="D365" s="49"/>
      <c r="E365" s="51"/>
      <c r="F365" s="6"/>
      <c r="G365" s="6"/>
      <c r="H365" s="6"/>
      <c r="I365" s="6"/>
      <c r="J365" s="6"/>
      <c r="K365" s="51"/>
      <c r="L365" s="51"/>
      <c r="M365" s="51"/>
      <c r="N365" s="51"/>
      <c r="O365" s="51"/>
      <c r="P365" s="51"/>
      <c r="Q365" s="51"/>
      <c r="R365" s="51"/>
      <c r="S365" s="51"/>
      <c r="T365" s="51"/>
      <c r="U365" s="51"/>
      <c r="V365" s="51"/>
      <c r="W365" s="51"/>
      <c r="X365" s="51"/>
      <c r="Y365" s="51"/>
      <c r="Z365" s="51"/>
      <c r="AA365" s="51"/>
      <c r="AB365" s="51"/>
    </row>
    <row r="366" customFormat="false" ht="15.75" hidden="false" customHeight="false" outlineLevel="0" collapsed="false">
      <c r="A366" s="51"/>
      <c r="B366" s="51"/>
      <c r="C366" s="6"/>
      <c r="D366" s="49"/>
      <c r="E366" s="51"/>
      <c r="F366" s="6"/>
      <c r="G366" s="6"/>
      <c r="H366" s="6"/>
      <c r="I366" s="6"/>
      <c r="J366" s="6"/>
      <c r="K366" s="51"/>
      <c r="L366" s="51"/>
      <c r="M366" s="51"/>
      <c r="N366" s="51"/>
      <c r="O366" s="51"/>
      <c r="P366" s="51"/>
      <c r="Q366" s="51"/>
      <c r="R366" s="51"/>
      <c r="S366" s="51"/>
      <c r="T366" s="51"/>
      <c r="U366" s="51"/>
      <c r="V366" s="51"/>
      <c r="W366" s="51"/>
      <c r="X366" s="51"/>
      <c r="Y366" s="51"/>
      <c r="Z366" s="51"/>
      <c r="AA366" s="51"/>
      <c r="AB366" s="51"/>
    </row>
    <row r="367" customFormat="false" ht="15.75" hidden="false" customHeight="false" outlineLevel="0" collapsed="false">
      <c r="A367" s="51"/>
      <c r="B367" s="51"/>
      <c r="C367" s="6"/>
      <c r="D367" s="49"/>
      <c r="E367" s="51"/>
      <c r="F367" s="6"/>
      <c r="G367" s="6"/>
      <c r="H367" s="6"/>
      <c r="I367" s="6"/>
      <c r="J367" s="6"/>
      <c r="K367" s="51"/>
      <c r="L367" s="51"/>
      <c r="M367" s="51"/>
      <c r="N367" s="51"/>
      <c r="O367" s="51"/>
      <c r="P367" s="51"/>
      <c r="Q367" s="51"/>
      <c r="R367" s="51"/>
      <c r="S367" s="51"/>
      <c r="T367" s="51"/>
      <c r="U367" s="51"/>
      <c r="V367" s="51"/>
      <c r="W367" s="51"/>
      <c r="X367" s="51"/>
      <c r="Y367" s="51"/>
      <c r="Z367" s="51"/>
      <c r="AA367" s="51"/>
      <c r="AB367" s="51"/>
    </row>
    <row r="368" customFormat="false" ht="15.75" hidden="false" customHeight="false" outlineLevel="0" collapsed="false">
      <c r="A368" s="51"/>
      <c r="B368" s="51"/>
      <c r="C368" s="6"/>
      <c r="D368" s="49"/>
      <c r="E368" s="51"/>
      <c r="F368" s="6"/>
      <c r="G368" s="6"/>
      <c r="H368" s="6"/>
      <c r="I368" s="6"/>
      <c r="J368" s="6"/>
      <c r="K368" s="51"/>
      <c r="L368" s="51"/>
      <c r="M368" s="51"/>
      <c r="N368" s="51"/>
      <c r="O368" s="51"/>
      <c r="P368" s="51"/>
      <c r="Q368" s="51"/>
      <c r="R368" s="51"/>
      <c r="S368" s="51"/>
      <c r="T368" s="51"/>
      <c r="U368" s="51"/>
      <c r="V368" s="51"/>
      <c r="W368" s="51"/>
      <c r="X368" s="51"/>
      <c r="Y368" s="51"/>
      <c r="Z368" s="51"/>
      <c r="AA368" s="51"/>
      <c r="AB368" s="51"/>
    </row>
    <row r="369" customFormat="false" ht="15.75" hidden="false" customHeight="false" outlineLevel="0" collapsed="false">
      <c r="A369" s="51"/>
      <c r="B369" s="51"/>
      <c r="C369" s="6"/>
      <c r="D369" s="49"/>
      <c r="E369" s="51"/>
      <c r="F369" s="6"/>
      <c r="G369" s="6"/>
      <c r="H369" s="6"/>
      <c r="I369" s="6"/>
      <c r="J369" s="6"/>
      <c r="K369" s="51"/>
      <c r="L369" s="51"/>
      <c r="M369" s="51"/>
      <c r="N369" s="51"/>
      <c r="O369" s="51"/>
      <c r="P369" s="51"/>
      <c r="Q369" s="51"/>
      <c r="R369" s="51"/>
      <c r="S369" s="51"/>
      <c r="T369" s="51"/>
      <c r="U369" s="51"/>
      <c r="V369" s="51"/>
      <c r="W369" s="51"/>
      <c r="X369" s="51"/>
      <c r="Y369" s="51"/>
      <c r="Z369" s="51"/>
      <c r="AA369" s="51"/>
      <c r="AB369" s="51"/>
    </row>
    <row r="370" customFormat="false" ht="15.75" hidden="false" customHeight="false" outlineLevel="0" collapsed="false">
      <c r="A370" s="51"/>
      <c r="B370" s="51"/>
      <c r="C370" s="6"/>
      <c r="D370" s="49"/>
      <c r="E370" s="51"/>
      <c r="F370" s="6"/>
      <c r="G370" s="6"/>
      <c r="H370" s="6"/>
      <c r="I370" s="6"/>
      <c r="J370" s="6"/>
      <c r="K370" s="51"/>
      <c r="L370" s="51"/>
      <c r="M370" s="51"/>
      <c r="N370" s="51"/>
      <c r="O370" s="51"/>
      <c r="P370" s="51"/>
      <c r="Q370" s="51"/>
      <c r="R370" s="51"/>
      <c r="S370" s="51"/>
      <c r="T370" s="51"/>
      <c r="U370" s="51"/>
      <c r="V370" s="51"/>
      <c r="W370" s="51"/>
      <c r="X370" s="51"/>
      <c r="Y370" s="51"/>
      <c r="Z370" s="51"/>
      <c r="AA370" s="51"/>
      <c r="AB370" s="51"/>
    </row>
    <row r="371" customFormat="false" ht="15.75" hidden="false" customHeight="false" outlineLevel="0" collapsed="false">
      <c r="A371" s="51"/>
      <c r="B371" s="51"/>
      <c r="C371" s="6"/>
      <c r="D371" s="49"/>
      <c r="E371" s="51"/>
      <c r="F371" s="6"/>
      <c r="G371" s="6"/>
      <c r="H371" s="6"/>
      <c r="I371" s="6"/>
      <c r="J371" s="6"/>
      <c r="K371" s="51"/>
      <c r="L371" s="51"/>
      <c r="M371" s="51"/>
      <c r="N371" s="51"/>
      <c r="O371" s="51"/>
      <c r="P371" s="51"/>
      <c r="Q371" s="51"/>
      <c r="R371" s="51"/>
      <c r="S371" s="51"/>
      <c r="T371" s="51"/>
      <c r="U371" s="51"/>
      <c r="V371" s="51"/>
      <c r="W371" s="51"/>
      <c r="X371" s="51"/>
      <c r="Y371" s="51"/>
      <c r="Z371" s="51"/>
      <c r="AA371" s="51"/>
      <c r="AB371" s="51"/>
    </row>
    <row r="372" customFormat="false" ht="15.75" hidden="false" customHeight="false" outlineLevel="0" collapsed="false">
      <c r="A372" s="51"/>
      <c r="B372" s="51"/>
      <c r="C372" s="6"/>
      <c r="D372" s="49"/>
      <c r="E372" s="51"/>
      <c r="F372" s="6"/>
      <c r="G372" s="6"/>
      <c r="H372" s="6"/>
      <c r="I372" s="6"/>
      <c r="J372" s="6"/>
      <c r="K372" s="51"/>
      <c r="L372" s="51"/>
      <c r="M372" s="51"/>
      <c r="N372" s="51"/>
      <c r="O372" s="51"/>
      <c r="P372" s="51"/>
      <c r="Q372" s="51"/>
      <c r="R372" s="51"/>
      <c r="S372" s="51"/>
      <c r="T372" s="51"/>
      <c r="U372" s="51"/>
      <c r="V372" s="51"/>
      <c r="W372" s="51"/>
      <c r="X372" s="51"/>
      <c r="Y372" s="51"/>
      <c r="Z372" s="51"/>
      <c r="AA372" s="51"/>
      <c r="AB372" s="51"/>
    </row>
    <row r="373" customFormat="false" ht="15.75" hidden="false" customHeight="false" outlineLevel="0" collapsed="false">
      <c r="A373" s="51"/>
      <c r="B373" s="51"/>
      <c r="C373" s="6"/>
      <c r="D373" s="49"/>
      <c r="E373" s="51"/>
      <c r="F373" s="6"/>
      <c r="G373" s="6"/>
      <c r="H373" s="6"/>
      <c r="I373" s="6"/>
      <c r="J373" s="6"/>
      <c r="K373" s="51"/>
      <c r="L373" s="51"/>
      <c r="M373" s="51"/>
      <c r="N373" s="51"/>
      <c r="O373" s="51"/>
      <c r="P373" s="51"/>
      <c r="Q373" s="51"/>
      <c r="R373" s="51"/>
      <c r="S373" s="51"/>
      <c r="T373" s="51"/>
      <c r="U373" s="51"/>
      <c r="V373" s="51"/>
      <c r="W373" s="51"/>
      <c r="X373" s="51"/>
      <c r="Y373" s="51"/>
      <c r="Z373" s="51"/>
      <c r="AA373" s="51"/>
      <c r="AB373" s="51"/>
    </row>
    <row r="374" customFormat="false" ht="15.75" hidden="false" customHeight="false" outlineLevel="0" collapsed="false">
      <c r="A374" s="51"/>
      <c r="B374" s="51"/>
      <c r="C374" s="6"/>
      <c r="D374" s="49"/>
      <c r="E374" s="51"/>
      <c r="F374" s="6"/>
      <c r="G374" s="6"/>
      <c r="H374" s="6"/>
      <c r="I374" s="6"/>
      <c r="J374" s="6"/>
      <c r="K374" s="51"/>
      <c r="L374" s="51"/>
      <c r="M374" s="51"/>
      <c r="N374" s="51"/>
      <c r="O374" s="51"/>
      <c r="P374" s="51"/>
      <c r="Q374" s="51"/>
      <c r="R374" s="51"/>
      <c r="S374" s="51"/>
      <c r="T374" s="51"/>
      <c r="U374" s="51"/>
      <c r="V374" s="51"/>
      <c r="W374" s="51"/>
      <c r="X374" s="51"/>
      <c r="Y374" s="51"/>
      <c r="Z374" s="51"/>
      <c r="AA374" s="51"/>
      <c r="AB374" s="51"/>
    </row>
    <row r="375" customFormat="false" ht="15.75" hidden="false" customHeight="false" outlineLevel="0" collapsed="false">
      <c r="A375" s="51"/>
      <c r="B375" s="51"/>
      <c r="C375" s="6"/>
      <c r="D375" s="49"/>
      <c r="E375" s="51"/>
      <c r="F375" s="6"/>
      <c r="G375" s="6"/>
      <c r="H375" s="6"/>
      <c r="I375" s="6"/>
      <c r="J375" s="6"/>
      <c r="K375" s="51"/>
      <c r="L375" s="51"/>
      <c r="M375" s="51"/>
      <c r="N375" s="51"/>
      <c r="O375" s="51"/>
      <c r="P375" s="51"/>
      <c r="Q375" s="51"/>
      <c r="R375" s="51"/>
      <c r="S375" s="51"/>
      <c r="T375" s="51"/>
      <c r="U375" s="51"/>
      <c r="V375" s="51"/>
      <c r="W375" s="51"/>
      <c r="X375" s="51"/>
      <c r="Y375" s="51"/>
      <c r="Z375" s="51"/>
      <c r="AA375" s="51"/>
      <c r="AB375" s="51"/>
    </row>
    <row r="376" customFormat="false" ht="15.75" hidden="false" customHeight="false" outlineLevel="0" collapsed="false">
      <c r="A376" s="51"/>
      <c r="B376" s="51"/>
      <c r="C376" s="6"/>
      <c r="D376" s="49"/>
      <c r="E376" s="51"/>
      <c r="F376" s="6"/>
      <c r="G376" s="6"/>
      <c r="H376" s="6"/>
      <c r="I376" s="6"/>
      <c r="J376" s="6"/>
      <c r="K376" s="51"/>
      <c r="L376" s="51"/>
      <c r="M376" s="51"/>
      <c r="N376" s="51"/>
      <c r="O376" s="51"/>
      <c r="P376" s="51"/>
      <c r="Q376" s="51"/>
      <c r="R376" s="51"/>
      <c r="S376" s="51"/>
      <c r="T376" s="51"/>
      <c r="U376" s="51"/>
      <c r="V376" s="51"/>
      <c r="W376" s="51"/>
      <c r="X376" s="51"/>
      <c r="Y376" s="51"/>
      <c r="Z376" s="51"/>
      <c r="AA376" s="51"/>
      <c r="AB376" s="51"/>
    </row>
    <row r="377" customFormat="false" ht="15.75" hidden="false" customHeight="false" outlineLevel="0" collapsed="false">
      <c r="A377" s="51"/>
      <c r="B377" s="51"/>
      <c r="C377" s="6"/>
      <c r="D377" s="49"/>
      <c r="E377" s="51"/>
      <c r="F377" s="6"/>
      <c r="G377" s="6"/>
      <c r="H377" s="6"/>
      <c r="I377" s="6"/>
      <c r="J377" s="6"/>
      <c r="K377" s="51"/>
      <c r="L377" s="51"/>
      <c r="M377" s="51"/>
      <c r="N377" s="51"/>
      <c r="O377" s="51"/>
      <c r="P377" s="51"/>
      <c r="Q377" s="51"/>
      <c r="R377" s="51"/>
      <c r="S377" s="51"/>
      <c r="T377" s="51"/>
      <c r="U377" s="51"/>
      <c r="V377" s="51"/>
      <c r="W377" s="51"/>
      <c r="X377" s="51"/>
      <c r="Y377" s="51"/>
      <c r="Z377" s="51"/>
      <c r="AA377" s="51"/>
      <c r="AB377" s="51"/>
    </row>
    <row r="378" customFormat="false" ht="15.75" hidden="false" customHeight="false" outlineLevel="0" collapsed="false">
      <c r="A378" s="51"/>
      <c r="B378" s="51"/>
      <c r="C378" s="6"/>
      <c r="D378" s="49"/>
      <c r="E378" s="51"/>
      <c r="F378" s="6"/>
      <c r="G378" s="6"/>
      <c r="H378" s="6"/>
      <c r="I378" s="6"/>
      <c r="J378" s="6"/>
      <c r="K378" s="51"/>
      <c r="L378" s="51"/>
      <c r="M378" s="51"/>
      <c r="N378" s="51"/>
      <c r="O378" s="51"/>
      <c r="P378" s="51"/>
      <c r="Q378" s="51"/>
      <c r="R378" s="51"/>
      <c r="S378" s="51"/>
      <c r="T378" s="51"/>
      <c r="U378" s="51"/>
      <c r="V378" s="51"/>
      <c r="W378" s="51"/>
      <c r="X378" s="51"/>
      <c r="Y378" s="51"/>
      <c r="Z378" s="51"/>
      <c r="AA378" s="51"/>
      <c r="AB378" s="51"/>
    </row>
    <row r="379" customFormat="false" ht="15.75" hidden="false" customHeight="false" outlineLevel="0" collapsed="false">
      <c r="A379" s="51"/>
      <c r="B379" s="51"/>
      <c r="C379" s="6"/>
      <c r="D379" s="49"/>
      <c r="E379" s="51"/>
      <c r="F379" s="6"/>
      <c r="G379" s="6"/>
      <c r="H379" s="6"/>
      <c r="I379" s="6"/>
      <c r="J379" s="6"/>
      <c r="K379" s="51"/>
      <c r="L379" s="51"/>
      <c r="M379" s="51"/>
      <c r="N379" s="51"/>
      <c r="O379" s="51"/>
      <c r="P379" s="51"/>
      <c r="Q379" s="51"/>
      <c r="R379" s="51"/>
      <c r="S379" s="51"/>
      <c r="T379" s="51"/>
      <c r="U379" s="51"/>
      <c r="V379" s="51"/>
      <c r="W379" s="51"/>
      <c r="X379" s="51"/>
      <c r="Y379" s="51"/>
      <c r="Z379" s="51"/>
      <c r="AA379" s="51"/>
      <c r="AB379" s="51"/>
    </row>
    <row r="380" customFormat="false" ht="15.75" hidden="false" customHeight="false" outlineLevel="0" collapsed="false">
      <c r="A380" s="51"/>
      <c r="B380" s="51"/>
      <c r="C380" s="6"/>
      <c r="D380" s="49"/>
      <c r="E380" s="51"/>
      <c r="F380" s="6"/>
      <c r="G380" s="6"/>
      <c r="H380" s="6"/>
      <c r="I380" s="6"/>
      <c r="J380" s="6"/>
      <c r="K380" s="51"/>
      <c r="L380" s="51"/>
      <c r="M380" s="51"/>
      <c r="N380" s="51"/>
      <c r="O380" s="51"/>
      <c r="P380" s="51"/>
      <c r="Q380" s="51"/>
      <c r="R380" s="51"/>
      <c r="S380" s="51"/>
      <c r="T380" s="51"/>
      <c r="U380" s="51"/>
      <c r="V380" s="51"/>
      <c r="W380" s="51"/>
      <c r="X380" s="51"/>
      <c r="Y380" s="51"/>
      <c r="Z380" s="51"/>
      <c r="AA380" s="51"/>
      <c r="AB380" s="51"/>
    </row>
    <row r="381" customFormat="false" ht="15.75" hidden="false" customHeight="false" outlineLevel="0" collapsed="false">
      <c r="A381" s="51"/>
      <c r="B381" s="51"/>
      <c r="C381" s="6"/>
      <c r="D381" s="49"/>
      <c r="E381" s="51"/>
      <c r="F381" s="6"/>
      <c r="G381" s="6"/>
      <c r="H381" s="6"/>
      <c r="I381" s="6"/>
      <c r="J381" s="6"/>
      <c r="K381" s="51"/>
      <c r="L381" s="51"/>
      <c r="M381" s="51"/>
      <c r="N381" s="51"/>
      <c r="O381" s="51"/>
      <c r="P381" s="51"/>
      <c r="Q381" s="51"/>
      <c r="R381" s="51"/>
      <c r="S381" s="51"/>
      <c r="T381" s="51"/>
      <c r="U381" s="51"/>
      <c r="V381" s="51"/>
      <c r="W381" s="51"/>
      <c r="X381" s="51"/>
      <c r="Y381" s="51"/>
      <c r="Z381" s="51"/>
      <c r="AA381" s="51"/>
      <c r="AB381" s="51"/>
    </row>
    <row r="382" customFormat="false" ht="15.75" hidden="false" customHeight="false" outlineLevel="0" collapsed="false">
      <c r="A382" s="51"/>
      <c r="B382" s="51"/>
      <c r="C382" s="6"/>
      <c r="D382" s="49"/>
      <c r="E382" s="51"/>
      <c r="F382" s="6"/>
      <c r="G382" s="6"/>
      <c r="H382" s="6"/>
      <c r="I382" s="6"/>
      <c r="J382" s="6"/>
      <c r="K382" s="51"/>
      <c r="L382" s="51"/>
      <c r="M382" s="51"/>
      <c r="N382" s="51"/>
      <c r="O382" s="51"/>
      <c r="P382" s="51"/>
      <c r="Q382" s="51"/>
      <c r="R382" s="51"/>
      <c r="S382" s="51"/>
      <c r="T382" s="51"/>
      <c r="U382" s="51"/>
      <c r="V382" s="51"/>
      <c r="W382" s="51"/>
      <c r="X382" s="51"/>
      <c r="Y382" s="51"/>
      <c r="Z382" s="51"/>
      <c r="AA382" s="51"/>
      <c r="AB382" s="51"/>
    </row>
    <row r="383" customFormat="false" ht="15.75" hidden="false" customHeight="false" outlineLevel="0" collapsed="false">
      <c r="A383" s="51"/>
      <c r="B383" s="51"/>
      <c r="C383" s="6"/>
      <c r="D383" s="49"/>
      <c r="E383" s="51"/>
      <c r="F383" s="6"/>
      <c r="G383" s="6"/>
      <c r="H383" s="6"/>
      <c r="I383" s="6"/>
      <c r="J383" s="6"/>
      <c r="K383" s="51"/>
      <c r="L383" s="51"/>
      <c r="M383" s="51"/>
      <c r="N383" s="51"/>
      <c r="O383" s="51"/>
      <c r="P383" s="51"/>
      <c r="Q383" s="51"/>
      <c r="R383" s="51"/>
      <c r="S383" s="51"/>
      <c r="T383" s="51"/>
      <c r="U383" s="51"/>
      <c r="V383" s="51"/>
      <c r="W383" s="51"/>
      <c r="X383" s="51"/>
      <c r="Y383" s="51"/>
      <c r="Z383" s="51"/>
      <c r="AA383" s="51"/>
      <c r="AB383" s="51"/>
    </row>
    <row r="384" customFormat="false" ht="15.75" hidden="false" customHeight="false" outlineLevel="0" collapsed="false">
      <c r="A384" s="51"/>
      <c r="B384" s="51"/>
      <c r="C384" s="6"/>
      <c r="D384" s="49"/>
      <c r="E384" s="51"/>
      <c r="F384" s="6"/>
      <c r="G384" s="6"/>
      <c r="H384" s="6"/>
      <c r="I384" s="6"/>
      <c r="J384" s="6"/>
      <c r="K384" s="51"/>
      <c r="L384" s="51"/>
      <c r="M384" s="51"/>
      <c r="N384" s="51"/>
      <c r="O384" s="51"/>
      <c r="P384" s="51"/>
      <c r="Q384" s="51"/>
      <c r="R384" s="51"/>
      <c r="S384" s="51"/>
      <c r="T384" s="51"/>
      <c r="U384" s="51"/>
      <c r="V384" s="51"/>
      <c r="W384" s="51"/>
      <c r="X384" s="51"/>
      <c r="Y384" s="51"/>
      <c r="Z384" s="51"/>
      <c r="AA384" s="51"/>
      <c r="AB384" s="51"/>
    </row>
    <row r="385" customFormat="false" ht="15.75" hidden="false" customHeight="false" outlineLevel="0" collapsed="false">
      <c r="A385" s="51"/>
      <c r="B385" s="51"/>
      <c r="C385" s="6"/>
      <c r="D385" s="49"/>
      <c r="E385" s="51"/>
      <c r="F385" s="6"/>
      <c r="G385" s="6"/>
      <c r="H385" s="6"/>
      <c r="I385" s="6"/>
      <c r="J385" s="6"/>
      <c r="K385" s="51"/>
      <c r="L385" s="51"/>
      <c r="M385" s="51"/>
      <c r="N385" s="51"/>
      <c r="O385" s="51"/>
      <c r="P385" s="51"/>
      <c r="Q385" s="51"/>
      <c r="R385" s="51"/>
      <c r="S385" s="51"/>
      <c r="T385" s="51"/>
      <c r="U385" s="51"/>
      <c r="V385" s="51"/>
      <c r="W385" s="51"/>
      <c r="X385" s="51"/>
      <c r="Y385" s="51"/>
      <c r="Z385" s="51"/>
      <c r="AA385" s="51"/>
      <c r="AB385" s="51"/>
    </row>
    <row r="386" customFormat="false" ht="15.75" hidden="false" customHeight="false" outlineLevel="0" collapsed="false">
      <c r="A386" s="51"/>
      <c r="B386" s="51"/>
      <c r="C386" s="6"/>
      <c r="D386" s="49"/>
      <c r="E386" s="51"/>
      <c r="F386" s="6"/>
      <c r="G386" s="6"/>
      <c r="H386" s="6"/>
      <c r="I386" s="6"/>
      <c r="J386" s="6"/>
      <c r="K386" s="51"/>
      <c r="L386" s="51"/>
      <c r="M386" s="51"/>
      <c r="N386" s="51"/>
      <c r="O386" s="51"/>
      <c r="P386" s="51"/>
      <c r="Q386" s="51"/>
      <c r="R386" s="51"/>
      <c r="S386" s="51"/>
      <c r="T386" s="51"/>
      <c r="U386" s="51"/>
      <c r="V386" s="51"/>
      <c r="W386" s="51"/>
      <c r="X386" s="51"/>
      <c r="Y386" s="51"/>
      <c r="Z386" s="51"/>
      <c r="AA386" s="51"/>
      <c r="AB386" s="51"/>
    </row>
    <row r="387" customFormat="false" ht="15.75" hidden="false" customHeight="false" outlineLevel="0" collapsed="false">
      <c r="A387" s="51"/>
      <c r="B387" s="51"/>
      <c r="C387" s="6"/>
      <c r="D387" s="49"/>
      <c r="E387" s="51"/>
      <c r="F387" s="6"/>
      <c r="G387" s="6"/>
      <c r="H387" s="6"/>
      <c r="I387" s="6"/>
      <c r="J387" s="6"/>
      <c r="K387" s="51"/>
      <c r="L387" s="51"/>
      <c r="M387" s="51"/>
      <c r="N387" s="51"/>
      <c r="O387" s="51"/>
      <c r="P387" s="51"/>
      <c r="Q387" s="51"/>
      <c r="R387" s="51"/>
      <c r="S387" s="51"/>
      <c r="T387" s="51"/>
      <c r="U387" s="51"/>
      <c r="V387" s="51"/>
      <c r="W387" s="51"/>
      <c r="X387" s="51"/>
      <c r="Y387" s="51"/>
      <c r="Z387" s="51"/>
      <c r="AA387" s="51"/>
      <c r="AB387" s="51"/>
    </row>
    <row r="388" customFormat="false" ht="15.75" hidden="false" customHeight="false" outlineLevel="0" collapsed="false">
      <c r="A388" s="51"/>
      <c r="B388" s="51"/>
      <c r="C388" s="6"/>
      <c r="D388" s="49"/>
      <c r="E388" s="51"/>
      <c r="F388" s="6"/>
      <c r="G388" s="6"/>
      <c r="H388" s="6"/>
      <c r="I388" s="6"/>
      <c r="J388" s="6"/>
      <c r="K388" s="51"/>
      <c r="L388" s="51"/>
      <c r="M388" s="51"/>
      <c r="N388" s="51"/>
      <c r="O388" s="51"/>
      <c r="P388" s="51"/>
      <c r="Q388" s="51"/>
      <c r="R388" s="51"/>
      <c r="S388" s="51"/>
      <c r="T388" s="51"/>
      <c r="U388" s="51"/>
      <c r="V388" s="51"/>
      <c r="W388" s="51"/>
      <c r="X388" s="51"/>
      <c r="Y388" s="51"/>
      <c r="Z388" s="51"/>
      <c r="AA388" s="51"/>
      <c r="AB388" s="51"/>
    </row>
    <row r="389" customFormat="false" ht="15.75" hidden="false" customHeight="false" outlineLevel="0" collapsed="false">
      <c r="A389" s="51"/>
      <c r="B389" s="51"/>
      <c r="C389" s="6"/>
      <c r="D389" s="49"/>
      <c r="E389" s="51"/>
      <c r="F389" s="6"/>
      <c r="G389" s="6"/>
      <c r="H389" s="6"/>
      <c r="I389" s="6"/>
      <c r="J389" s="6"/>
      <c r="K389" s="51"/>
      <c r="L389" s="51"/>
      <c r="M389" s="51"/>
      <c r="N389" s="51"/>
      <c r="O389" s="51"/>
      <c r="P389" s="51"/>
      <c r="Q389" s="51"/>
      <c r="R389" s="51"/>
      <c r="S389" s="51"/>
      <c r="T389" s="51"/>
      <c r="U389" s="51"/>
      <c r="V389" s="51"/>
      <c r="W389" s="51"/>
      <c r="X389" s="51"/>
      <c r="Y389" s="51"/>
      <c r="Z389" s="51"/>
      <c r="AA389" s="51"/>
      <c r="AB389" s="51"/>
    </row>
    <row r="390" customFormat="false" ht="15.75" hidden="false" customHeight="false" outlineLevel="0" collapsed="false">
      <c r="A390" s="51"/>
      <c r="B390" s="51"/>
      <c r="C390" s="6"/>
      <c r="D390" s="49"/>
      <c r="E390" s="51"/>
      <c r="F390" s="6"/>
      <c r="G390" s="6"/>
      <c r="H390" s="6"/>
      <c r="I390" s="6"/>
      <c r="J390" s="6"/>
      <c r="K390" s="51"/>
      <c r="L390" s="51"/>
      <c r="M390" s="51"/>
      <c r="N390" s="51"/>
      <c r="O390" s="51"/>
      <c r="P390" s="51"/>
      <c r="Q390" s="51"/>
      <c r="R390" s="51"/>
      <c r="S390" s="51"/>
      <c r="T390" s="51"/>
      <c r="U390" s="51"/>
      <c r="V390" s="51"/>
      <c r="W390" s="51"/>
      <c r="X390" s="51"/>
      <c r="Y390" s="51"/>
      <c r="Z390" s="51"/>
      <c r="AA390" s="51"/>
      <c r="AB390" s="51"/>
    </row>
    <row r="391" customFormat="false" ht="15.75" hidden="false" customHeight="false" outlineLevel="0" collapsed="false">
      <c r="A391" s="51"/>
      <c r="B391" s="51"/>
      <c r="C391" s="6"/>
      <c r="D391" s="49"/>
      <c r="E391" s="51"/>
      <c r="F391" s="6"/>
      <c r="G391" s="6"/>
      <c r="H391" s="6"/>
      <c r="I391" s="6"/>
      <c r="J391" s="6"/>
      <c r="K391" s="51"/>
      <c r="L391" s="51"/>
      <c r="M391" s="51"/>
      <c r="N391" s="51"/>
      <c r="O391" s="51"/>
      <c r="P391" s="51"/>
      <c r="Q391" s="51"/>
      <c r="R391" s="51"/>
      <c r="S391" s="51"/>
      <c r="T391" s="51"/>
      <c r="U391" s="51"/>
      <c r="V391" s="51"/>
      <c r="W391" s="51"/>
      <c r="X391" s="51"/>
      <c r="Y391" s="51"/>
      <c r="Z391" s="51"/>
      <c r="AA391" s="51"/>
      <c r="AB391" s="51"/>
    </row>
    <row r="392" customFormat="false" ht="15.75" hidden="false" customHeight="false" outlineLevel="0" collapsed="false">
      <c r="A392" s="51"/>
      <c r="B392" s="51"/>
      <c r="C392" s="6"/>
      <c r="D392" s="49"/>
      <c r="E392" s="51"/>
      <c r="F392" s="6"/>
      <c r="G392" s="6"/>
      <c r="H392" s="6"/>
      <c r="I392" s="6"/>
      <c r="J392" s="6"/>
      <c r="K392" s="51"/>
      <c r="L392" s="51"/>
      <c r="M392" s="51"/>
      <c r="N392" s="51"/>
      <c r="O392" s="51"/>
      <c r="P392" s="51"/>
      <c r="Q392" s="51"/>
      <c r="R392" s="51"/>
      <c r="S392" s="51"/>
      <c r="T392" s="51"/>
      <c r="U392" s="51"/>
      <c r="V392" s="51"/>
      <c r="W392" s="51"/>
      <c r="X392" s="51"/>
      <c r="Y392" s="51"/>
      <c r="Z392" s="51"/>
      <c r="AA392" s="51"/>
      <c r="AB392" s="51"/>
    </row>
    <row r="393" customFormat="false" ht="15.75" hidden="false" customHeight="false" outlineLevel="0" collapsed="false">
      <c r="A393" s="51"/>
      <c r="B393" s="51"/>
      <c r="C393" s="6"/>
      <c r="D393" s="49"/>
      <c r="E393" s="51"/>
      <c r="F393" s="6"/>
      <c r="G393" s="6"/>
      <c r="H393" s="6"/>
      <c r="I393" s="6"/>
      <c r="J393" s="6"/>
      <c r="K393" s="51"/>
      <c r="L393" s="51"/>
      <c r="M393" s="51"/>
      <c r="N393" s="51"/>
      <c r="O393" s="51"/>
      <c r="P393" s="51"/>
      <c r="Q393" s="51"/>
      <c r="R393" s="51"/>
      <c r="S393" s="51"/>
      <c r="T393" s="51"/>
      <c r="U393" s="51"/>
      <c r="V393" s="51"/>
      <c r="W393" s="51"/>
      <c r="X393" s="51"/>
      <c r="Y393" s="51"/>
      <c r="Z393" s="51"/>
      <c r="AA393" s="51"/>
      <c r="AB393" s="51"/>
    </row>
    <row r="394" customFormat="false" ht="15.75" hidden="false" customHeight="false" outlineLevel="0" collapsed="false">
      <c r="A394" s="51"/>
      <c r="B394" s="51"/>
      <c r="C394" s="6"/>
      <c r="D394" s="49"/>
      <c r="E394" s="51"/>
      <c r="F394" s="6"/>
      <c r="G394" s="6"/>
      <c r="H394" s="6"/>
      <c r="I394" s="6"/>
      <c r="J394" s="6"/>
      <c r="K394" s="51"/>
      <c r="L394" s="51"/>
      <c r="M394" s="51"/>
      <c r="N394" s="51"/>
      <c r="O394" s="51"/>
      <c r="P394" s="51"/>
      <c r="Q394" s="51"/>
      <c r="R394" s="51"/>
      <c r="S394" s="51"/>
      <c r="T394" s="51"/>
      <c r="U394" s="51"/>
      <c r="V394" s="51"/>
      <c r="W394" s="51"/>
      <c r="X394" s="51"/>
      <c r="Y394" s="51"/>
      <c r="Z394" s="51"/>
      <c r="AA394" s="51"/>
      <c r="AB394" s="51"/>
    </row>
    <row r="395" customFormat="false" ht="15.75" hidden="false" customHeight="false" outlineLevel="0" collapsed="false">
      <c r="A395" s="51"/>
      <c r="B395" s="51"/>
      <c r="C395" s="6"/>
      <c r="D395" s="49"/>
      <c r="E395" s="51"/>
      <c r="F395" s="6"/>
      <c r="G395" s="6"/>
      <c r="H395" s="6"/>
      <c r="I395" s="6"/>
      <c r="J395" s="6"/>
      <c r="K395" s="51"/>
      <c r="L395" s="51"/>
      <c r="M395" s="51"/>
      <c r="N395" s="51"/>
      <c r="O395" s="51"/>
      <c r="P395" s="51"/>
      <c r="Q395" s="51"/>
      <c r="R395" s="51"/>
      <c r="S395" s="51"/>
      <c r="T395" s="51"/>
      <c r="U395" s="51"/>
      <c r="V395" s="51"/>
      <c r="W395" s="51"/>
      <c r="X395" s="51"/>
      <c r="Y395" s="51"/>
      <c r="Z395" s="51"/>
      <c r="AA395" s="51"/>
      <c r="AB395" s="51"/>
    </row>
    <row r="396" customFormat="false" ht="15.75" hidden="false" customHeight="false" outlineLevel="0" collapsed="false">
      <c r="A396" s="51"/>
      <c r="B396" s="51"/>
      <c r="C396" s="6"/>
      <c r="D396" s="49"/>
      <c r="E396" s="51"/>
      <c r="F396" s="6"/>
      <c r="G396" s="6"/>
      <c r="H396" s="6"/>
      <c r="I396" s="6"/>
      <c r="J396" s="6"/>
      <c r="K396" s="51"/>
      <c r="L396" s="51"/>
      <c r="M396" s="51"/>
      <c r="N396" s="51"/>
      <c r="O396" s="51"/>
      <c r="P396" s="51"/>
      <c r="Q396" s="51"/>
      <c r="R396" s="51"/>
      <c r="S396" s="51"/>
      <c r="T396" s="51"/>
      <c r="U396" s="51"/>
      <c r="V396" s="51"/>
      <c r="W396" s="51"/>
      <c r="X396" s="51"/>
      <c r="Y396" s="51"/>
      <c r="Z396" s="51"/>
      <c r="AA396" s="51"/>
      <c r="AB396" s="51"/>
    </row>
    <row r="397" customFormat="false" ht="15.75" hidden="false" customHeight="false" outlineLevel="0" collapsed="false">
      <c r="A397" s="51"/>
      <c r="B397" s="51"/>
      <c r="C397" s="6"/>
      <c r="D397" s="49"/>
      <c r="E397" s="51"/>
      <c r="F397" s="6"/>
      <c r="G397" s="6"/>
      <c r="H397" s="6"/>
      <c r="I397" s="6"/>
      <c r="J397" s="6"/>
      <c r="K397" s="51"/>
      <c r="L397" s="51"/>
      <c r="M397" s="51"/>
      <c r="N397" s="51"/>
      <c r="O397" s="51"/>
      <c r="P397" s="51"/>
      <c r="Q397" s="51"/>
      <c r="R397" s="51"/>
      <c r="S397" s="51"/>
      <c r="T397" s="51"/>
      <c r="U397" s="51"/>
      <c r="V397" s="51"/>
      <c r="W397" s="51"/>
      <c r="X397" s="51"/>
      <c r="Y397" s="51"/>
      <c r="Z397" s="51"/>
      <c r="AA397" s="51"/>
      <c r="AB397" s="51"/>
    </row>
    <row r="398" customFormat="false" ht="15.75" hidden="false" customHeight="false" outlineLevel="0" collapsed="false">
      <c r="A398" s="51"/>
      <c r="B398" s="51"/>
      <c r="C398" s="6"/>
      <c r="D398" s="49"/>
      <c r="E398" s="51"/>
      <c r="F398" s="6"/>
      <c r="G398" s="6"/>
      <c r="H398" s="6"/>
      <c r="I398" s="6"/>
      <c r="J398" s="6"/>
      <c r="K398" s="51"/>
      <c r="L398" s="51"/>
      <c r="M398" s="51"/>
      <c r="N398" s="51"/>
      <c r="O398" s="51"/>
      <c r="P398" s="51"/>
      <c r="Q398" s="51"/>
      <c r="R398" s="51"/>
      <c r="S398" s="51"/>
      <c r="T398" s="51"/>
      <c r="U398" s="51"/>
      <c r="V398" s="51"/>
      <c r="W398" s="51"/>
      <c r="X398" s="51"/>
      <c r="Y398" s="51"/>
      <c r="Z398" s="51"/>
      <c r="AA398" s="51"/>
      <c r="AB398" s="51"/>
    </row>
    <row r="399" customFormat="false" ht="15.75" hidden="false" customHeight="false" outlineLevel="0" collapsed="false">
      <c r="A399" s="51"/>
      <c r="B399" s="51"/>
      <c r="C399" s="6"/>
      <c r="D399" s="49"/>
      <c r="E399" s="51"/>
      <c r="F399" s="6"/>
      <c r="G399" s="6"/>
      <c r="H399" s="6"/>
      <c r="I399" s="6"/>
      <c r="J399" s="6"/>
      <c r="K399" s="51"/>
      <c r="L399" s="51"/>
      <c r="M399" s="51"/>
      <c r="N399" s="51"/>
      <c r="O399" s="51"/>
      <c r="P399" s="51"/>
      <c r="Q399" s="51"/>
      <c r="R399" s="51"/>
      <c r="S399" s="51"/>
      <c r="T399" s="51"/>
      <c r="U399" s="51"/>
      <c r="V399" s="51"/>
      <c r="W399" s="51"/>
      <c r="X399" s="51"/>
      <c r="Y399" s="51"/>
      <c r="Z399" s="51"/>
      <c r="AA399" s="51"/>
      <c r="AB399" s="51"/>
    </row>
    <row r="400" customFormat="false" ht="15.75" hidden="false" customHeight="false" outlineLevel="0" collapsed="false">
      <c r="A400" s="51"/>
      <c r="B400" s="51"/>
      <c r="C400" s="6"/>
      <c r="D400" s="49"/>
      <c r="E400" s="51"/>
      <c r="F400" s="6"/>
      <c r="G400" s="6"/>
      <c r="H400" s="6"/>
      <c r="I400" s="6"/>
      <c r="J400" s="6"/>
      <c r="K400" s="51"/>
      <c r="L400" s="51"/>
      <c r="M400" s="51"/>
      <c r="N400" s="51"/>
      <c r="O400" s="51"/>
      <c r="P400" s="51"/>
      <c r="Q400" s="51"/>
      <c r="R400" s="51"/>
      <c r="S400" s="51"/>
      <c r="T400" s="51"/>
      <c r="U400" s="51"/>
      <c r="V400" s="51"/>
      <c r="W400" s="51"/>
      <c r="X400" s="51"/>
      <c r="Y400" s="51"/>
      <c r="Z400" s="51"/>
      <c r="AA400" s="51"/>
      <c r="AB400" s="51"/>
    </row>
    <row r="401" customFormat="false" ht="15.75" hidden="false" customHeight="false" outlineLevel="0" collapsed="false">
      <c r="A401" s="51"/>
      <c r="B401" s="51"/>
      <c r="C401" s="6"/>
      <c r="D401" s="49"/>
      <c r="E401" s="51"/>
      <c r="F401" s="6"/>
      <c r="G401" s="6"/>
      <c r="H401" s="6"/>
      <c r="I401" s="6"/>
      <c r="J401" s="6"/>
      <c r="K401" s="51"/>
      <c r="L401" s="51"/>
      <c r="M401" s="51"/>
      <c r="N401" s="51"/>
      <c r="O401" s="51"/>
      <c r="P401" s="51"/>
      <c r="Q401" s="51"/>
      <c r="R401" s="51"/>
      <c r="S401" s="51"/>
      <c r="T401" s="51"/>
      <c r="U401" s="51"/>
      <c r="V401" s="51"/>
      <c r="W401" s="51"/>
      <c r="X401" s="51"/>
      <c r="Y401" s="51"/>
      <c r="Z401" s="51"/>
      <c r="AA401" s="51"/>
      <c r="AB401" s="51"/>
    </row>
    <row r="402" customFormat="false" ht="15.75" hidden="false" customHeight="false" outlineLevel="0" collapsed="false">
      <c r="A402" s="51"/>
      <c r="B402" s="51"/>
      <c r="C402" s="6"/>
      <c r="D402" s="49"/>
      <c r="E402" s="51"/>
      <c r="F402" s="6"/>
      <c r="G402" s="6"/>
      <c r="H402" s="6"/>
      <c r="I402" s="6"/>
      <c r="J402" s="6"/>
      <c r="K402" s="51"/>
      <c r="L402" s="51"/>
      <c r="M402" s="51"/>
      <c r="N402" s="51"/>
      <c r="O402" s="51"/>
      <c r="P402" s="51"/>
      <c r="Q402" s="51"/>
      <c r="R402" s="51"/>
      <c r="S402" s="51"/>
      <c r="T402" s="51"/>
      <c r="U402" s="51"/>
      <c r="V402" s="51"/>
      <c r="W402" s="51"/>
      <c r="X402" s="51"/>
      <c r="Y402" s="51"/>
      <c r="Z402" s="51"/>
      <c r="AA402" s="51"/>
      <c r="AB402" s="51"/>
    </row>
    <row r="403" customFormat="false" ht="15.75" hidden="false" customHeight="false" outlineLevel="0" collapsed="false">
      <c r="A403" s="51"/>
      <c r="B403" s="51"/>
      <c r="C403" s="6"/>
      <c r="D403" s="49"/>
      <c r="E403" s="51"/>
      <c r="F403" s="6"/>
      <c r="G403" s="6"/>
      <c r="H403" s="6"/>
      <c r="I403" s="6"/>
      <c r="J403" s="6"/>
      <c r="K403" s="51"/>
      <c r="L403" s="51"/>
      <c r="M403" s="51"/>
      <c r="N403" s="51"/>
      <c r="O403" s="51"/>
      <c r="P403" s="51"/>
      <c r="Q403" s="51"/>
      <c r="R403" s="51"/>
      <c r="S403" s="51"/>
      <c r="T403" s="51"/>
      <c r="U403" s="51"/>
      <c r="V403" s="51"/>
      <c r="W403" s="51"/>
      <c r="X403" s="51"/>
      <c r="Y403" s="51"/>
      <c r="Z403" s="51"/>
      <c r="AA403" s="51"/>
      <c r="AB403" s="51"/>
    </row>
    <row r="404" customFormat="false" ht="15.75" hidden="false" customHeight="false" outlineLevel="0" collapsed="false">
      <c r="A404" s="51"/>
      <c r="B404" s="51"/>
      <c r="C404" s="6"/>
      <c r="D404" s="49"/>
      <c r="E404" s="51"/>
      <c r="F404" s="6"/>
      <c r="G404" s="6"/>
      <c r="H404" s="6"/>
      <c r="I404" s="6"/>
      <c r="J404" s="6"/>
      <c r="K404" s="51"/>
      <c r="L404" s="51"/>
      <c r="M404" s="51"/>
      <c r="N404" s="51"/>
      <c r="O404" s="51"/>
      <c r="P404" s="51"/>
      <c r="Q404" s="51"/>
      <c r="R404" s="51"/>
      <c r="S404" s="51"/>
      <c r="T404" s="51"/>
      <c r="U404" s="51"/>
      <c r="V404" s="51"/>
      <c r="W404" s="51"/>
      <c r="X404" s="51"/>
      <c r="Y404" s="51"/>
      <c r="Z404" s="51"/>
      <c r="AA404" s="51"/>
      <c r="AB404" s="51"/>
    </row>
    <row r="405" customFormat="false" ht="15.75" hidden="false" customHeight="false" outlineLevel="0" collapsed="false">
      <c r="A405" s="51"/>
      <c r="B405" s="51"/>
      <c r="C405" s="6"/>
      <c r="D405" s="49"/>
      <c r="E405" s="51"/>
      <c r="F405" s="6"/>
      <c r="G405" s="6"/>
      <c r="H405" s="6"/>
      <c r="I405" s="6"/>
      <c r="J405" s="6"/>
      <c r="K405" s="51"/>
      <c r="L405" s="51"/>
      <c r="M405" s="51"/>
      <c r="N405" s="51"/>
      <c r="O405" s="51"/>
      <c r="P405" s="51"/>
      <c r="Q405" s="51"/>
      <c r="R405" s="51"/>
      <c r="S405" s="51"/>
      <c r="T405" s="51"/>
      <c r="U405" s="51"/>
      <c r="V405" s="51"/>
      <c r="W405" s="51"/>
      <c r="X405" s="51"/>
      <c r="Y405" s="51"/>
      <c r="Z405" s="51"/>
      <c r="AA405" s="51"/>
      <c r="AB405" s="51"/>
    </row>
    <row r="406" customFormat="false" ht="15.75" hidden="false" customHeight="false" outlineLevel="0" collapsed="false">
      <c r="A406" s="51"/>
      <c r="B406" s="51"/>
      <c r="C406" s="6"/>
      <c r="D406" s="49"/>
      <c r="E406" s="51"/>
      <c r="F406" s="6"/>
      <c r="G406" s="6"/>
      <c r="H406" s="6"/>
      <c r="I406" s="6"/>
      <c r="J406" s="6"/>
      <c r="K406" s="51"/>
      <c r="L406" s="51"/>
      <c r="M406" s="51"/>
      <c r="N406" s="51"/>
      <c r="O406" s="51"/>
      <c r="P406" s="51"/>
      <c r="Q406" s="51"/>
      <c r="R406" s="51"/>
      <c r="S406" s="51"/>
      <c r="T406" s="51"/>
      <c r="U406" s="51"/>
      <c r="V406" s="51"/>
      <c r="W406" s="51"/>
      <c r="X406" s="51"/>
      <c r="Y406" s="51"/>
      <c r="Z406" s="51"/>
      <c r="AA406" s="51"/>
      <c r="AB406" s="51"/>
    </row>
    <row r="407" customFormat="false" ht="15.75" hidden="false" customHeight="false" outlineLevel="0" collapsed="false">
      <c r="A407" s="51"/>
      <c r="B407" s="51"/>
      <c r="C407" s="6"/>
      <c r="D407" s="49"/>
      <c r="E407" s="51"/>
      <c r="F407" s="6"/>
      <c r="G407" s="6"/>
      <c r="H407" s="6"/>
      <c r="I407" s="6"/>
      <c r="J407" s="6"/>
      <c r="K407" s="51"/>
      <c r="L407" s="51"/>
      <c r="M407" s="51"/>
      <c r="N407" s="51"/>
      <c r="O407" s="51"/>
      <c r="P407" s="51"/>
      <c r="Q407" s="51"/>
      <c r="R407" s="51"/>
      <c r="S407" s="51"/>
      <c r="T407" s="51"/>
      <c r="U407" s="51"/>
      <c r="V407" s="51"/>
      <c r="W407" s="51"/>
      <c r="X407" s="51"/>
      <c r="Y407" s="51"/>
      <c r="Z407" s="51"/>
      <c r="AA407" s="51"/>
      <c r="AB407" s="51"/>
    </row>
    <row r="408" customFormat="false" ht="15.75" hidden="false" customHeight="false" outlineLevel="0" collapsed="false">
      <c r="A408" s="51"/>
      <c r="B408" s="51"/>
      <c r="C408" s="6"/>
      <c r="D408" s="49"/>
      <c r="E408" s="51"/>
      <c r="F408" s="6"/>
      <c r="G408" s="6"/>
      <c r="H408" s="6"/>
      <c r="I408" s="6"/>
      <c r="J408" s="6"/>
      <c r="K408" s="51"/>
      <c r="L408" s="51"/>
      <c r="M408" s="51"/>
      <c r="N408" s="51"/>
      <c r="O408" s="51"/>
      <c r="P408" s="51"/>
      <c r="Q408" s="51"/>
      <c r="R408" s="51"/>
      <c r="S408" s="51"/>
      <c r="T408" s="51"/>
      <c r="U408" s="51"/>
      <c r="V408" s="51"/>
      <c r="W408" s="51"/>
      <c r="X408" s="51"/>
      <c r="Y408" s="51"/>
      <c r="Z408" s="51"/>
      <c r="AA408" s="51"/>
      <c r="AB408" s="51"/>
    </row>
    <row r="409" customFormat="false" ht="15.75" hidden="false" customHeight="false" outlineLevel="0" collapsed="false">
      <c r="A409" s="51"/>
      <c r="B409" s="51"/>
      <c r="C409" s="6"/>
      <c r="D409" s="49"/>
      <c r="E409" s="51"/>
      <c r="F409" s="6"/>
      <c r="G409" s="6"/>
      <c r="H409" s="6"/>
      <c r="I409" s="6"/>
      <c r="J409" s="6"/>
      <c r="K409" s="51"/>
      <c r="L409" s="51"/>
      <c r="M409" s="51"/>
      <c r="N409" s="51"/>
      <c r="O409" s="51"/>
      <c r="P409" s="51"/>
      <c r="Q409" s="51"/>
      <c r="R409" s="51"/>
      <c r="S409" s="51"/>
      <c r="T409" s="51"/>
      <c r="U409" s="51"/>
      <c r="V409" s="51"/>
      <c r="W409" s="51"/>
      <c r="X409" s="51"/>
      <c r="Y409" s="51"/>
      <c r="Z409" s="51"/>
      <c r="AA409" s="51"/>
      <c r="AB409" s="51"/>
    </row>
    <row r="410" customFormat="false" ht="15.75" hidden="false" customHeight="false" outlineLevel="0" collapsed="false">
      <c r="A410" s="51"/>
      <c r="B410" s="51"/>
      <c r="C410" s="6"/>
      <c r="D410" s="49"/>
      <c r="E410" s="51"/>
      <c r="F410" s="6"/>
      <c r="G410" s="6"/>
      <c r="H410" s="6"/>
      <c r="I410" s="6"/>
      <c r="J410" s="6"/>
      <c r="K410" s="51"/>
      <c r="L410" s="51"/>
      <c r="M410" s="51"/>
      <c r="N410" s="51"/>
      <c r="O410" s="51"/>
      <c r="P410" s="51"/>
      <c r="Q410" s="51"/>
      <c r="R410" s="51"/>
      <c r="S410" s="51"/>
      <c r="T410" s="51"/>
      <c r="U410" s="51"/>
      <c r="V410" s="51"/>
      <c r="W410" s="51"/>
      <c r="X410" s="51"/>
      <c r="Y410" s="51"/>
      <c r="Z410" s="51"/>
      <c r="AA410" s="51"/>
      <c r="AB410" s="51"/>
    </row>
    <row r="411" customFormat="false" ht="15.75" hidden="false" customHeight="false" outlineLevel="0" collapsed="false">
      <c r="A411" s="51"/>
      <c r="B411" s="51"/>
      <c r="C411" s="6"/>
      <c r="D411" s="49"/>
      <c r="E411" s="51"/>
      <c r="F411" s="6"/>
      <c r="G411" s="6"/>
      <c r="H411" s="6"/>
      <c r="I411" s="6"/>
      <c r="J411" s="6"/>
      <c r="K411" s="51"/>
      <c r="L411" s="51"/>
      <c r="M411" s="51"/>
      <c r="N411" s="51"/>
      <c r="O411" s="51"/>
      <c r="P411" s="51"/>
      <c r="Q411" s="51"/>
      <c r="R411" s="51"/>
      <c r="S411" s="51"/>
      <c r="T411" s="51"/>
      <c r="U411" s="51"/>
      <c r="V411" s="51"/>
      <c r="W411" s="51"/>
      <c r="X411" s="51"/>
      <c r="Y411" s="51"/>
      <c r="Z411" s="51"/>
      <c r="AA411" s="51"/>
      <c r="AB411" s="51"/>
    </row>
    <row r="412" customFormat="false" ht="15.75" hidden="false" customHeight="false" outlineLevel="0" collapsed="false">
      <c r="A412" s="51"/>
      <c r="B412" s="51"/>
      <c r="C412" s="6"/>
      <c r="D412" s="49"/>
      <c r="E412" s="51"/>
      <c r="F412" s="6"/>
      <c r="G412" s="6"/>
      <c r="H412" s="6"/>
      <c r="I412" s="6"/>
      <c r="J412" s="6"/>
      <c r="K412" s="51"/>
      <c r="L412" s="51"/>
      <c r="M412" s="51"/>
      <c r="N412" s="51"/>
      <c r="O412" s="51"/>
      <c r="P412" s="51"/>
      <c r="Q412" s="51"/>
      <c r="R412" s="51"/>
      <c r="S412" s="51"/>
      <c r="T412" s="51"/>
      <c r="U412" s="51"/>
      <c r="V412" s="51"/>
      <c r="W412" s="51"/>
      <c r="X412" s="51"/>
      <c r="Y412" s="51"/>
      <c r="Z412" s="51"/>
      <c r="AA412" s="51"/>
      <c r="AB412" s="51"/>
    </row>
    <row r="413" customFormat="false" ht="15.75" hidden="false" customHeight="false" outlineLevel="0" collapsed="false">
      <c r="A413" s="51"/>
      <c r="B413" s="51"/>
      <c r="C413" s="6"/>
      <c r="D413" s="49"/>
      <c r="E413" s="51"/>
      <c r="F413" s="6"/>
      <c r="G413" s="6"/>
      <c r="H413" s="6"/>
      <c r="I413" s="6"/>
      <c r="J413" s="6"/>
      <c r="K413" s="51"/>
      <c r="L413" s="51"/>
      <c r="M413" s="51"/>
      <c r="N413" s="51"/>
      <c r="O413" s="51"/>
      <c r="P413" s="51"/>
      <c r="Q413" s="51"/>
      <c r="R413" s="51"/>
      <c r="S413" s="51"/>
      <c r="T413" s="51"/>
      <c r="U413" s="51"/>
      <c r="V413" s="51"/>
      <c r="W413" s="51"/>
      <c r="X413" s="51"/>
      <c r="Y413" s="51"/>
      <c r="Z413" s="51"/>
      <c r="AA413" s="51"/>
      <c r="AB413" s="51"/>
    </row>
    <row r="414" customFormat="false" ht="15.75" hidden="false" customHeight="false" outlineLevel="0" collapsed="false">
      <c r="A414" s="51"/>
      <c r="B414" s="51"/>
      <c r="C414" s="6"/>
      <c r="D414" s="49"/>
      <c r="E414" s="51"/>
      <c r="F414" s="6"/>
      <c r="G414" s="6"/>
      <c r="H414" s="6"/>
      <c r="I414" s="6"/>
      <c r="J414" s="6"/>
      <c r="K414" s="51"/>
      <c r="L414" s="51"/>
      <c r="M414" s="51"/>
      <c r="N414" s="51"/>
      <c r="O414" s="51"/>
      <c r="P414" s="51"/>
      <c r="Q414" s="51"/>
      <c r="R414" s="51"/>
      <c r="S414" s="51"/>
      <c r="T414" s="51"/>
      <c r="U414" s="51"/>
      <c r="V414" s="51"/>
      <c r="W414" s="51"/>
      <c r="X414" s="51"/>
      <c r="Y414" s="51"/>
      <c r="Z414" s="51"/>
      <c r="AA414" s="51"/>
      <c r="AB414" s="51"/>
    </row>
    <row r="415" customFormat="false" ht="15.75" hidden="false" customHeight="false" outlineLevel="0" collapsed="false">
      <c r="A415" s="51"/>
      <c r="B415" s="51"/>
      <c r="C415" s="6"/>
      <c r="D415" s="49"/>
      <c r="E415" s="51"/>
      <c r="F415" s="6"/>
      <c r="G415" s="6"/>
      <c r="H415" s="6"/>
      <c r="I415" s="6"/>
      <c r="J415" s="6"/>
      <c r="K415" s="51"/>
      <c r="L415" s="51"/>
      <c r="M415" s="51"/>
      <c r="N415" s="51"/>
      <c r="O415" s="51"/>
      <c r="P415" s="51"/>
      <c r="Q415" s="51"/>
      <c r="R415" s="51"/>
      <c r="S415" s="51"/>
      <c r="T415" s="51"/>
      <c r="U415" s="51"/>
      <c r="V415" s="51"/>
      <c r="W415" s="51"/>
      <c r="X415" s="51"/>
      <c r="Y415" s="51"/>
      <c r="Z415" s="51"/>
      <c r="AA415" s="51"/>
      <c r="AB415" s="51"/>
    </row>
    <row r="416" customFormat="false" ht="15.75" hidden="false" customHeight="false" outlineLevel="0" collapsed="false">
      <c r="A416" s="51"/>
      <c r="B416" s="51"/>
      <c r="C416" s="6"/>
      <c r="D416" s="49"/>
      <c r="E416" s="51"/>
      <c r="F416" s="6"/>
      <c r="G416" s="6"/>
      <c r="H416" s="6"/>
      <c r="I416" s="6"/>
      <c r="J416" s="6"/>
      <c r="K416" s="51"/>
      <c r="L416" s="51"/>
      <c r="M416" s="51"/>
      <c r="N416" s="51"/>
      <c r="O416" s="51"/>
      <c r="P416" s="51"/>
      <c r="Q416" s="51"/>
      <c r="R416" s="51"/>
      <c r="S416" s="51"/>
      <c r="T416" s="51"/>
      <c r="U416" s="51"/>
      <c r="V416" s="51"/>
      <c r="W416" s="51"/>
      <c r="X416" s="51"/>
      <c r="Y416" s="51"/>
      <c r="Z416" s="51"/>
      <c r="AA416" s="51"/>
      <c r="AB416" s="51"/>
    </row>
    <row r="417" customFormat="false" ht="15.75" hidden="false" customHeight="false" outlineLevel="0" collapsed="false">
      <c r="A417" s="51"/>
      <c r="B417" s="51"/>
      <c r="C417" s="6"/>
      <c r="D417" s="49"/>
      <c r="E417" s="51"/>
      <c r="F417" s="6"/>
      <c r="G417" s="6"/>
      <c r="H417" s="6"/>
      <c r="I417" s="6"/>
      <c r="J417" s="6"/>
      <c r="K417" s="51"/>
      <c r="L417" s="51"/>
      <c r="M417" s="51"/>
      <c r="N417" s="51"/>
      <c r="O417" s="51"/>
      <c r="P417" s="51"/>
      <c r="Q417" s="51"/>
      <c r="R417" s="51"/>
      <c r="S417" s="51"/>
      <c r="T417" s="51"/>
      <c r="U417" s="51"/>
      <c r="V417" s="51"/>
      <c r="W417" s="51"/>
      <c r="X417" s="51"/>
      <c r="Y417" s="51"/>
      <c r="Z417" s="51"/>
      <c r="AA417" s="51"/>
      <c r="AB417" s="51"/>
    </row>
    <row r="418" customFormat="false" ht="15.75" hidden="false" customHeight="false" outlineLevel="0" collapsed="false">
      <c r="A418" s="51"/>
      <c r="B418" s="51"/>
      <c r="C418" s="6"/>
      <c r="D418" s="49"/>
      <c r="E418" s="51"/>
      <c r="F418" s="6"/>
      <c r="G418" s="6"/>
      <c r="H418" s="6"/>
      <c r="I418" s="6"/>
      <c r="J418" s="6"/>
      <c r="K418" s="51"/>
      <c r="L418" s="51"/>
      <c r="M418" s="51"/>
      <c r="N418" s="51"/>
      <c r="O418" s="51"/>
      <c r="P418" s="51"/>
      <c r="Q418" s="51"/>
      <c r="R418" s="51"/>
      <c r="S418" s="51"/>
      <c r="T418" s="51"/>
      <c r="U418" s="51"/>
      <c r="V418" s="51"/>
      <c r="W418" s="51"/>
      <c r="X418" s="51"/>
      <c r="Y418" s="51"/>
      <c r="Z418" s="51"/>
      <c r="AA418" s="51"/>
      <c r="AB418" s="51"/>
    </row>
    <row r="419" customFormat="false" ht="15.75" hidden="false" customHeight="false" outlineLevel="0" collapsed="false">
      <c r="A419" s="51"/>
      <c r="B419" s="51"/>
      <c r="C419" s="6"/>
      <c r="D419" s="49"/>
      <c r="E419" s="51"/>
      <c r="F419" s="6"/>
      <c r="G419" s="6"/>
      <c r="H419" s="6"/>
      <c r="I419" s="6"/>
      <c r="J419" s="6"/>
      <c r="K419" s="51"/>
      <c r="L419" s="51"/>
      <c r="M419" s="51"/>
      <c r="N419" s="51"/>
      <c r="O419" s="51"/>
      <c r="P419" s="51"/>
      <c r="Q419" s="51"/>
      <c r="R419" s="51"/>
      <c r="S419" s="51"/>
      <c r="T419" s="51"/>
      <c r="U419" s="51"/>
      <c r="V419" s="51"/>
      <c r="W419" s="51"/>
      <c r="X419" s="51"/>
      <c r="Y419" s="51"/>
      <c r="Z419" s="51"/>
      <c r="AA419" s="51"/>
      <c r="AB419" s="51"/>
    </row>
    <row r="420" customFormat="false" ht="15.75" hidden="false" customHeight="false" outlineLevel="0" collapsed="false">
      <c r="A420" s="51"/>
      <c r="B420" s="51"/>
      <c r="C420" s="6"/>
      <c r="D420" s="49"/>
      <c r="E420" s="51"/>
      <c r="F420" s="6"/>
      <c r="G420" s="6"/>
      <c r="H420" s="6"/>
      <c r="I420" s="6"/>
      <c r="J420" s="6"/>
      <c r="K420" s="51"/>
      <c r="L420" s="51"/>
      <c r="M420" s="51"/>
      <c r="N420" s="51"/>
      <c r="O420" s="51"/>
      <c r="P420" s="51"/>
      <c r="Q420" s="51"/>
      <c r="R420" s="51"/>
      <c r="S420" s="51"/>
      <c r="T420" s="51"/>
      <c r="U420" s="51"/>
      <c r="V420" s="51"/>
      <c r="W420" s="51"/>
      <c r="X420" s="51"/>
      <c r="Y420" s="51"/>
      <c r="Z420" s="51"/>
      <c r="AA420" s="51"/>
      <c r="AB420" s="51"/>
    </row>
    <row r="421" customFormat="false" ht="15.75" hidden="false" customHeight="false" outlineLevel="0" collapsed="false">
      <c r="A421" s="51"/>
      <c r="B421" s="51"/>
      <c r="C421" s="6"/>
      <c r="D421" s="49"/>
      <c r="E421" s="51"/>
      <c r="F421" s="6"/>
      <c r="G421" s="6"/>
      <c r="H421" s="6"/>
      <c r="I421" s="6"/>
      <c r="J421" s="6"/>
      <c r="K421" s="51"/>
      <c r="L421" s="51"/>
      <c r="M421" s="51"/>
      <c r="N421" s="51"/>
      <c r="O421" s="51"/>
      <c r="P421" s="51"/>
      <c r="Q421" s="51"/>
      <c r="R421" s="51"/>
      <c r="S421" s="51"/>
      <c r="T421" s="51"/>
      <c r="U421" s="51"/>
      <c r="V421" s="51"/>
      <c r="W421" s="51"/>
      <c r="X421" s="51"/>
      <c r="Y421" s="51"/>
      <c r="Z421" s="51"/>
      <c r="AA421" s="51"/>
      <c r="AB421" s="51"/>
    </row>
    <row r="422" customFormat="false" ht="15.75" hidden="false" customHeight="false" outlineLevel="0" collapsed="false">
      <c r="A422" s="51"/>
      <c r="B422" s="51"/>
      <c r="C422" s="6"/>
      <c r="D422" s="49"/>
      <c r="E422" s="51"/>
      <c r="F422" s="6"/>
      <c r="G422" s="6"/>
      <c r="H422" s="6"/>
      <c r="I422" s="6"/>
      <c r="J422" s="6"/>
      <c r="K422" s="51"/>
      <c r="L422" s="51"/>
      <c r="M422" s="51"/>
      <c r="N422" s="51"/>
      <c r="O422" s="51"/>
      <c r="P422" s="51"/>
      <c r="Q422" s="51"/>
      <c r="R422" s="51"/>
      <c r="S422" s="51"/>
      <c r="T422" s="51"/>
      <c r="U422" s="51"/>
      <c r="V422" s="51"/>
      <c r="W422" s="51"/>
      <c r="X422" s="51"/>
      <c r="Y422" s="51"/>
      <c r="Z422" s="51"/>
      <c r="AA422" s="51"/>
      <c r="AB422" s="51"/>
    </row>
    <row r="423" customFormat="false" ht="15.75" hidden="false" customHeight="false" outlineLevel="0" collapsed="false">
      <c r="A423" s="51"/>
      <c r="B423" s="51"/>
      <c r="C423" s="6"/>
      <c r="D423" s="49"/>
      <c r="E423" s="51"/>
      <c r="F423" s="6"/>
      <c r="G423" s="6"/>
      <c r="H423" s="6"/>
      <c r="I423" s="6"/>
      <c r="J423" s="6"/>
      <c r="K423" s="51"/>
      <c r="L423" s="51"/>
      <c r="M423" s="51"/>
      <c r="N423" s="51"/>
      <c r="O423" s="51"/>
      <c r="P423" s="51"/>
      <c r="Q423" s="51"/>
      <c r="R423" s="51"/>
      <c r="S423" s="51"/>
      <c r="T423" s="51"/>
      <c r="U423" s="51"/>
      <c r="V423" s="51"/>
      <c r="W423" s="51"/>
      <c r="X423" s="51"/>
      <c r="Y423" s="51"/>
      <c r="Z423" s="51"/>
      <c r="AA423" s="51"/>
      <c r="AB423" s="51"/>
    </row>
    <row r="424" customFormat="false" ht="15.75" hidden="false" customHeight="false" outlineLevel="0" collapsed="false">
      <c r="A424" s="51"/>
      <c r="B424" s="51"/>
      <c r="C424" s="6"/>
      <c r="D424" s="49"/>
      <c r="E424" s="51"/>
      <c r="F424" s="6"/>
      <c r="G424" s="6"/>
      <c r="H424" s="6"/>
      <c r="I424" s="6"/>
      <c r="J424" s="6"/>
      <c r="K424" s="51"/>
      <c r="L424" s="51"/>
      <c r="M424" s="51"/>
      <c r="N424" s="51"/>
      <c r="O424" s="51"/>
      <c r="P424" s="51"/>
      <c r="Q424" s="51"/>
      <c r="R424" s="51"/>
      <c r="S424" s="51"/>
      <c r="T424" s="51"/>
      <c r="U424" s="51"/>
      <c r="V424" s="51"/>
      <c r="W424" s="51"/>
      <c r="X424" s="51"/>
      <c r="Y424" s="51"/>
      <c r="Z424" s="51"/>
      <c r="AA424" s="51"/>
      <c r="AB424" s="51"/>
    </row>
    <row r="425" customFormat="false" ht="15.75" hidden="false" customHeight="false" outlineLevel="0" collapsed="false">
      <c r="A425" s="51"/>
      <c r="B425" s="51"/>
      <c r="C425" s="6"/>
      <c r="D425" s="49"/>
      <c r="E425" s="51"/>
      <c r="F425" s="6"/>
      <c r="G425" s="6"/>
      <c r="H425" s="6"/>
      <c r="I425" s="6"/>
      <c r="J425" s="6"/>
      <c r="K425" s="51"/>
      <c r="L425" s="51"/>
      <c r="M425" s="51"/>
      <c r="N425" s="51"/>
      <c r="O425" s="51"/>
      <c r="P425" s="51"/>
      <c r="Q425" s="51"/>
      <c r="R425" s="51"/>
      <c r="S425" s="51"/>
      <c r="T425" s="51"/>
      <c r="U425" s="51"/>
      <c r="V425" s="51"/>
      <c r="W425" s="51"/>
      <c r="X425" s="51"/>
      <c r="Y425" s="51"/>
      <c r="Z425" s="51"/>
      <c r="AA425" s="51"/>
      <c r="AB425" s="51"/>
    </row>
    <row r="426" customFormat="false" ht="15.75" hidden="false" customHeight="false" outlineLevel="0" collapsed="false">
      <c r="A426" s="51"/>
      <c r="B426" s="51"/>
      <c r="C426" s="6"/>
      <c r="D426" s="49"/>
      <c r="E426" s="51"/>
      <c r="F426" s="6"/>
      <c r="G426" s="6"/>
      <c r="H426" s="6"/>
      <c r="I426" s="6"/>
      <c r="J426" s="6"/>
      <c r="K426" s="51"/>
      <c r="L426" s="51"/>
      <c r="M426" s="51"/>
      <c r="N426" s="51"/>
      <c r="O426" s="51"/>
      <c r="P426" s="51"/>
      <c r="Q426" s="51"/>
      <c r="R426" s="51"/>
      <c r="S426" s="51"/>
      <c r="T426" s="51"/>
      <c r="U426" s="51"/>
      <c r="V426" s="51"/>
      <c r="W426" s="51"/>
      <c r="X426" s="51"/>
      <c r="Y426" s="51"/>
      <c r="Z426" s="51"/>
      <c r="AA426" s="51"/>
      <c r="AB426" s="51"/>
    </row>
    <row r="427" customFormat="false" ht="15.75" hidden="false" customHeight="false" outlineLevel="0" collapsed="false">
      <c r="A427" s="51"/>
      <c r="B427" s="51"/>
      <c r="C427" s="6"/>
      <c r="D427" s="49"/>
      <c r="E427" s="51"/>
      <c r="F427" s="6"/>
      <c r="G427" s="6"/>
      <c r="H427" s="6"/>
      <c r="I427" s="6"/>
      <c r="J427" s="6"/>
      <c r="K427" s="51"/>
      <c r="L427" s="51"/>
      <c r="M427" s="51"/>
      <c r="N427" s="51"/>
      <c r="O427" s="51"/>
      <c r="P427" s="51"/>
      <c r="Q427" s="51"/>
      <c r="R427" s="51"/>
      <c r="S427" s="51"/>
      <c r="T427" s="51"/>
      <c r="U427" s="51"/>
      <c r="V427" s="51"/>
      <c r="W427" s="51"/>
      <c r="X427" s="51"/>
      <c r="Y427" s="51"/>
      <c r="Z427" s="51"/>
      <c r="AA427" s="51"/>
      <c r="AB427" s="51"/>
    </row>
    <row r="428" customFormat="false" ht="15.75" hidden="false" customHeight="false" outlineLevel="0" collapsed="false">
      <c r="A428" s="51"/>
      <c r="B428" s="51"/>
      <c r="C428" s="6"/>
      <c r="D428" s="49"/>
      <c r="E428" s="51"/>
      <c r="F428" s="6"/>
      <c r="G428" s="6"/>
      <c r="H428" s="6"/>
      <c r="I428" s="6"/>
      <c r="J428" s="6"/>
      <c r="K428" s="51"/>
      <c r="L428" s="51"/>
      <c r="M428" s="51"/>
      <c r="N428" s="51"/>
      <c r="O428" s="51"/>
      <c r="P428" s="51"/>
      <c r="Q428" s="51"/>
      <c r="R428" s="51"/>
      <c r="S428" s="51"/>
      <c r="T428" s="51"/>
      <c r="U428" s="51"/>
      <c r="V428" s="51"/>
      <c r="W428" s="51"/>
      <c r="X428" s="51"/>
      <c r="Y428" s="51"/>
      <c r="Z428" s="51"/>
      <c r="AA428" s="51"/>
      <c r="AB428" s="51"/>
    </row>
    <row r="429" customFormat="false" ht="15.75" hidden="false" customHeight="false" outlineLevel="0" collapsed="false">
      <c r="A429" s="51"/>
      <c r="B429" s="51"/>
      <c r="C429" s="6"/>
      <c r="D429" s="49"/>
      <c r="E429" s="51"/>
      <c r="F429" s="6"/>
      <c r="G429" s="6"/>
      <c r="H429" s="6"/>
      <c r="I429" s="6"/>
      <c r="J429" s="6"/>
      <c r="K429" s="51"/>
      <c r="L429" s="51"/>
      <c r="M429" s="51"/>
      <c r="N429" s="51"/>
      <c r="O429" s="51"/>
      <c r="P429" s="51"/>
      <c r="Q429" s="51"/>
      <c r="R429" s="51"/>
      <c r="S429" s="51"/>
      <c r="T429" s="51"/>
      <c r="U429" s="51"/>
      <c r="V429" s="51"/>
      <c r="W429" s="51"/>
      <c r="X429" s="51"/>
      <c r="Y429" s="51"/>
      <c r="Z429" s="51"/>
      <c r="AA429" s="51"/>
      <c r="AB429" s="51"/>
    </row>
    <row r="430" customFormat="false" ht="15.75" hidden="false" customHeight="false" outlineLevel="0" collapsed="false">
      <c r="A430" s="51"/>
      <c r="B430" s="51"/>
      <c r="C430" s="6"/>
      <c r="D430" s="49"/>
      <c r="E430" s="51"/>
      <c r="F430" s="6"/>
      <c r="G430" s="6"/>
      <c r="H430" s="6"/>
      <c r="I430" s="6"/>
      <c r="J430" s="6"/>
      <c r="K430" s="51"/>
      <c r="L430" s="51"/>
      <c r="M430" s="51"/>
      <c r="N430" s="51"/>
      <c r="O430" s="51"/>
      <c r="P430" s="51"/>
      <c r="Q430" s="51"/>
      <c r="R430" s="51"/>
      <c r="S430" s="51"/>
      <c r="T430" s="51"/>
      <c r="U430" s="51"/>
      <c r="V430" s="51"/>
      <c r="W430" s="51"/>
      <c r="X430" s="51"/>
      <c r="Y430" s="51"/>
      <c r="Z430" s="51"/>
      <c r="AA430" s="51"/>
      <c r="AB430" s="51"/>
    </row>
    <row r="431" customFormat="false" ht="15.75" hidden="false" customHeight="false" outlineLevel="0" collapsed="false">
      <c r="A431" s="51"/>
      <c r="B431" s="51"/>
      <c r="C431" s="6"/>
      <c r="D431" s="49"/>
      <c r="E431" s="51"/>
      <c r="F431" s="6"/>
      <c r="G431" s="6"/>
      <c r="H431" s="6"/>
      <c r="I431" s="6"/>
      <c r="J431" s="6"/>
      <c r="K431" s="51"/>
      <c r="L431" s="51"/>
      <c r="M431" s="51"/>
      <c r="N431" s="51"/>
      <c r="O431" s="51"/>
      <c r="P431" s="51"/>
      <c r="Q431" s="51"/>
      <c r="R431" s="51"/>
      <c r="S431" s="51"/>
      <c r="T431" s="51"/>
      <c r="U431" s="51"/>
      <c r="V431" s="51"/>
      <c r="W431" s="51"/>
      <c r="X431" s="51"/>
      <c r="Y431" s="51"/>
      <c r="Z431" s="51"/>
      <c r="AA431" s="51"/>
      <c r="AB431" s="51"/>
    </row>
    <row r="432" customFormat="false" ht="15.75" hidden="false" customHeight="false" outlineLevel="0" collapsed="false">
      <c r="A432" s="51"/>
      <c r="B432" s="51"/>
      <c r="C432" s="6"/>
      <c r="D432" s="49"/>
      <c r="E432" s="51"/>
      <c r="F432" s="6"/>
      <c r="G432" s="6"/>
      <c r="H432" s="6"/>
      <c r="I432" s="6"/>
      <c r="J432" s="6"/>
      <c r="K432" s="51"/>
      <c r="L432" s="51"/>
      <c r="M432" s="51"/>
      <c r="N432" s="51"/>
      <c r="O432" s="51"/>
      <c r="P432" s="51"/>
      <c r="Q432" s="51"/>
      <c r="R432" s="51"/>
      <c r="S432" s="51"/>
      <c r="T432" s="51"/>
      <c r="U432" s="51"/>
      <c r="V432" s="51"/>
      <c r="W432" s="51"/>
      <c r="X432" s="51"/>
      <c r="Y432" s="51"/>
      <c r="Z432" s="51"/>
      <c r="AA432" s="51"/>
      <c r="AB432" s="51"/>
    </row>
    <row r="433" customFormat="false" ht="15.75" hidden="false" customHeight="false" outlineLevel="0" collapsed="false">
      <c r="A433" s="51"/>
      <c r="B433" s="51"/>
      <c r="C433" s="6"/>
      <c r="D433" s="49"/>
      <c r="E433" s="51"/>
      <c r="F433" s="6"/>
      <c r="G433" s="6"/>
      <c r="H433" s="6"/>
      <c r="I433" s="6"/>
      <c r="J433" s="6"/>
      <c r="K433" s="51"/>
      <c r="L433" s="51"/>
      <c r="M433" s="51"/>
      <c r="N433" s="51"/>
      <c r="O433" s="51"/>
      <c r="P433" s="51"/>
      <c r="Q433" s="51"/>
      <c r="R433" s="51"/>
      <c r="S433" s="51"/>
      <c r="T433" s="51"/>
      <c r="U433" s="51"/>
      <c r="V433" s="51"/>
      <c r="W433" s="51"/>
      <c r="X433" s="51"/>
      <c r="Y433" s="51"/>
      <c r="Z433" s="51"/>
      <c r="AA433" s="51"/>
      <c r="AB433" s="51"/>
    </row>
    <row r="434" customFormat="false" ht="15.75" hidden="false" customHeight="false" outlineLevel="0" collapsed="false">
      <c r="A434" s="51"/>
      <c r="B434" s="51"/>
      <c r="C434" s="6"/>
      <c r="D434" s="49"/>
      <c r="E434" s="51"/>
      <c r="F434" s="6"/>
      <c r="G434" s="6"/>
      <c r="H434" s="6"/>
      <c r="I434" s="6"/>
      <c r="J434" s="6"/>
      <c r="K434" s="51"/>
      <c r="L434" s="51"/>
      <c r="M434" s="51"/>
      <c r="N434" s="51"/>
      <c r="O434" s="51"/>
      <c r="P434" s="51"/>
      <c r="Q434" s="51"/>
      <c r="R434" s="51"/>
      <c r="S434" s="51"/>
      <c r="T434" s="51"/>
      <c r="U434" s="51"/>
      <c r="V434" s="51"/>
      <c r="W434" s="51"/>
      <c r="X434" s="51"/>
      <c r="Y434" s="51"/>
      <c r="Z434" s="51"/>
      <c r="AA434" s="51"/>
      <c r="AB434" s="51"/>
    </row>
    <row r="435" customFormat="false" ht="15.75" hidden="false" customHeight="false" outlineLevel="0" collapsed="false">
      <c r="A435" s="51"/>
      <c r="B435" s="51"/>
      <c r="C435" s="6"/>
      <c r="D435" s="49"/>
      <c r="E435" s="51"/>
      <c r="F435" s="6"/>
      <c r="G435" s="6"/>
      <c r="H435" s="6"/>
      <c r="I435" s="6"/>
      <c r="J435" s="6"/>
      <c r="K435" s="51"/>
      <c r="L435" s="51"/>
      <c r="M435" s="51"/>
      <c r="N435" s="51"/>
      <c r="O435" s="51"/>
      <c r="P435" s="51"/>
      <c r="Q435" s="51"/>
      <c r="R435" s="51"/>
      <c r="S435" s="51"/>
      <c r="T435" s="51"/>
      <c r="U435" s="51"/>
      <c r="V435" s="51"/>
      <c r="W435" s="51"/>
      <c r="X435" s="51"/>
      <c r="Y435" s="51"/>
      <c r="Z435" s="51"/>
      <c r="AA435" s="51"/>
      <c r="AB435" s="51"/>
    </row>
    <row r="436" customFormat="false" ht="15.75" hidden="false" customHeight="false" outlineLevel="0" collapsed="false">
      <c r="A436" s="51"/>
      <c r="B436" s="51"/>
      <c r="C436" s="6"/>
      <c r="D436" s="49"/>
      <c r="E436" s="51"/>
      <c r="F436" s="6"/>
      <c r="G436" s="6"/>
      <c r="H436" s="6"/>
      <c r="I436" s="6"/>
      <c r="J436" s="6"/>
      <c r="K436" s="51"/>
      <c r="L436" s="51"/>
      <c r="M436" s="51"/>
      <c r="N436" s="51"/>
      <c r="O436" s="51"/>
      <c r="P436" s="51"/>
      <c r="Q436" s="51"/>
      <c r="R436" s="51"/>
      <c r="S436" s="51"/>
      <c r="T436" s="51"/>
      <c r="U436" s="51"/>
      <c r="V436" s="51"/>
      <c r="W436" s="51"/>
      <c r="X436" s="51"/>
      <c r="Y436" s="51"/>
      <c r="Z436" s="51"/>
      <c r="AA436" s="51"/>
      <c r="AB436" s="51"/>
    </row>
    <row r="437" customFormat="false" ht="15.75" hidden="false" customHeight="false" outlineLevel="0" collapsed="false">
      <c r="A437" s="51"/>
      <c r="B437" s="51"/>
      <c r="C437" s="6"/>
      <c r="D437" s="49"/>
      <c r="E437" s="51"/>
      <c r="F437" s="6"/>
      <c r="G437" s="6"/>
      <c r="H437" s="6"/>
      <c r="I437" s="6"/>
      <c r="J437" s="6"/>
      <c r="K437" s="51"/>
      <c r="L437" s="51"/>
      <c r="M437" s="51"/>
      <c r="N437" s="51"/>
      <c r="O437" s="51"/>
      <c r="P437" s="51"/>
      <c r="Q437" s="51"/>
      <c r="R437" s="51"/>
      <c r="S437" s="51"/>
      <c r="T437" s="51"/>
      <c r="U437" s="51"/>
      <c r="V437" s="51"/>
      <c r="W437" s="51"/>
      <c r="X437" s="51"/>
      <c r="Y437" s="51"/>
      <c r="Z437" s="51"/>
      <c r="AA437" s="51"/>
      <c r="AB437" s="51"/>
    </row>
    <row r="438" customFormat="false" ht="15.75" hidden="false" customHeight="false" outlineLevel="0" collapsed="false">
      <c r="A438" s="51"/>
      <c r="B438" s="51"/>
      <c r="C438" s="6"/>
      <c r="D438" s="49"/>
      <c r="E438" s="51"/>
      <c r="F438" s="6"/>
      <c r="G438" s="6"/>
      <c r="H438" s="6"/>
      <c r="I438" s="6"/>
      <c r="J438" s="6"/>
      <c r="K438" s="51"/>
      <c r="L438" s="51"/>
      <c r="M438" s="51"/>
      <c r="N438" s="51"/>
      <c r="O438" s="51"/>
      <c r="P438" s="51"/>
      <c r="Q438" s="51"/>
      <c r="R438" s="51"/>
      <c r="S438" s="51"/>
      <c r="T438" s="51"/>
      <c r="U438" s="51"/>
      <c r="V438" s="51"/>
      <c r="W438" s="51"/>
      <c r="X438" s="51"/>
      <c r="Y438" s="51"/>
      <c r="Z438" s="51"/>
      <c r="AA438" s="51"/>
      <c r="AB438" s="51"/>
    </row>
    <row r="439" customFormat="false" ht="15.75" hidden="false" customHeight="false" outlineLevel="0" collapsed="false">
      <c r="A439" s="51"/>
      <c r="B439" s="51"/>
      <c r="C439" s="6"/>
      <c r="D439" s="49"/>
      <c r="E439" s="51"/>
      <c r="F439" s="6"/>
      <c r="G439" s="6"/>
      <c r="H439" s="6"/>
      <c r="I439" s="6"/>
      <c r="J439" s="6"/>
      <c r="K439" s="51"/>
      <c r="L439" s="51"/>
      <c r="M439" s="51"/>
      <c r="N439" s="51"/>
      <c r="O439" s="51"/>
      <c r="P439" s="51"/>
      <c r="Q439" s="51"/>
      <c r="R439" s="51"/>
      <c r="S439" s="51"/>
      <c r="T439" s="51"/>
      <c r="U439" s="51"/>
      <c r="V439" s="51"/>
      <c r="W439" s="51"/>
      <c r="X439" s="51"/>
      <c r="Y439" s="51"/>
      <c r="Z439" s="51"/>
      <c r="AA439" s="51"/>
      <c r="AB439" s="51"/>
    </row>
    <row r="440" customFormat="false" ht="15.75" hidden="false" customHeight="false" outlineLevel="0" collapsed="false">
      <c r="A440" s="51"/>
      <c r="B440" s="51"/>
      <c r="C440" s="6"/>
      <c r="D440" s="49"/>
      <c r="E440" s="51"/>
      <c r="F440" s="6"/>
      <c r="G440" s="6"/>
      <c r="H440" s="6"/>
      <c r="I440" s="6"/>
      <c r="J440" s="6"/>
      <c r="K440" s="51"/>
      <c r="L440" s="51"/>
      <c r="M440" s="51"/>
      <c r="N440" s="51"/>
      <c r="O440" s="51"/>
      <c r="P440" s="51"/>
      <c r="Q440" s="51"/>
      <c r="R440" s="51"/>
      <c r="S440" s="51"/>
      <c r="T440" s="51"/>
      <c r="U440" s="51"/>
      <c r="V440" s="51"/>
      <c r="W440" s="51"/>
      <c r="X440" s="51"/>
      <c r="Y440" s="51"/>
      <c r="Z440" s="51"/>
      <c r="AA440" s="51"/>
      <c r="AB440" s="51"/>
    </row>
    <row r="441" customFormat="false" ht="15.75" hidden="false" customHeight="false" outlineLevel="0" collapsed="false">
      <c r="A441" s="51"/>
      <c r="B441" s="51"/>
      <c r="C441" s="6"/>
      <c r="D441" s="49"/>
      <c r="E441" s="51"/>
      <c r="F441" s="6"/>
      <c r="G441" s="6"/>
      <c r="H441" s="6"/>
      <c r="I441" s="6"/>
      <c r="J441" s="6"/>
      <c r="K441" s="51"/>
      <c r="L441" s="51"/>
      <c r="M441" s="51"/>
      <c r="N441" s="51"/>
      <c r="O441" s="51"/>
      <c r="P441" s="51"/>
      <c r="Q441" s="51"/>
      <c r="R441" s="51"/>
      <c r="S441" s="51"/>
      <c r="T441" s="51"/>
      <c r="U441" s="51"/>
      <c r="V441" s="51"/>
      <c r="W441" s="51"/>
      <c r="X441" s="51"/>
      <c r="Y441" s="51"/>
      <c r="Z441" s="51"/>
      <c r="AA441" s="51"/>
      <c r="AB441" s="51"/>
    </row>
    <row r="442" customFormat="false" ht="15.75" hidden="false" customHeight="false" outlineLevel="0" collapsed="false">
      <c r="A442" s="51"/>
      <c r="B442" s="51"/>
      <c r="C442" s="6"/>
      <c r="D442" s="49"/>
      <c r="E442" s="51"/>
      <c r="F442" s="6"/>
      <c r="G442" s="6"/>
      <c r="H442" s="6"/>
      <c r="I442" s="6"/>
      <c r="J442" s="6"/>
      <c r="K442" s="51"/>
      <c r="L442" s="51"/>
      <c r="M442" s="51"/>
      <c r="N442" s="51"/>
      <c r="O442" s="51"/>
      <c r="P442" s="51"/>
      <c r="Q442" s="51"/>
      <c r="R442" s="51"/>
      <c r="S442" s="51"/>
      <c r="T442" s="51"/>
      <c r="U442" s="51"/>
      <c r="V442" s="51"/>
      <c r="W442" s="51"/>
      <c r="X442" s="51"/>
      <c r="Y442" s="51"/>
      <c r="Z442" s="51"/>
      <c r="AA442" s="51"/>
      <c r="AB442" s="51"/>
    </row>
    <row r="443" customFormat="false" ht="15.75" hidden="false" customHeight="false" outlineLevel="0" collapsed="false">
      <c r="A443" s="51"/>
      <c r="B443" s="51"/>
      <c r="C443" s="6"/>
      <c r="D443" s="49"/>
      <c r="E443" s="51"/>
      <c r="F443" s="6"/>
      <c r="G443" s="6"/>
      <c r="H443" s="6"/>
      <c r="I443" s="6"/>
      <c r="J443" s="6"/>
      <c r="K443" s="51"/>
      <c r="L443" s="51"/>
      <c r="M443" s="51"/>
      <c r="N443" s="51"/>
      <c r="O443" s="51"/>
      <c r="P443" s="51"/>
      <c r="Q443" s="51"/>
      <c r="R443" s="51"/>
      <c r="S443" s="51"/>
      <c r="T443" s="51"/>
      <c r="U443" s="51"/>
      <c r="V443" s="51"/>
      <c r="W443" s="51"/>
      <c r="X443" s="51"/>
      <c r="Y443" s="51"/>
      <c r="Z443" s="51"/>
      <c r="AA443" s="51"/>
      <c r="AB443" s="51"/>
    </row>
    <row r="444" customFormat="false" ht="15.75" hidden="false" customHeight="false" outlineLevel="0" collapsed="false">
      <c r="A444" s="51"/>
      <c r="B444" s="51"/>
      <c r="C444" s="6"/>
      <c r="D444" s="49"/>
      <c r="E444" s="51"/>
      <c r="F444" s="6"/>
      <c r="G444" s="6"/>
      <c r="H444" s="6"/>
      <c r="I444" s="6"/>
      <c r="J444" s="6"/>
      <c r="K444" s="51"/>
      <c r="L444" s="51"/>
      <c r="M444" s="51"/>
      <c r="N444" s="51"/>
      <c r="O444" s="51"/>
      <c r="P444" s="51"/>
      <c r="Q444" s="51"/>
      <c r="R444" s="51"/>
      <c r="S444" s="51"/>
      <c r="T444" s="51"/>
      <c r="U444" s="51"/>
      <c r="V444" s="51"/>
      <c r="W444" s="51"/>
      <c r="X444" s="51"/>
      <c r="Y444" s="51"/>
      <c r="Z444" s="51"/>
      <c r="AA444" s="51"/>
      <c r="AB444" s="51"/>
    </row>
    <row r="445" customFormat="false" ht="15.75" hidden="false" customHeight="false" outlineLevel="0" collapsed="false">
      <c r="A445" s="51"/>
      <c r="B445" s="51"/>
      <c r="C445" s="6"/>
      <c r="D445" s="49"/>
      <c r="E445" s="51"/>
      <c r="F445" s="6"/>
      <c r="G445" s="6"/>
      <c r="H445" s="6"/>
      <c r="I445" s="6"/>
      <c r="J445" s="6"/>
      <c r="K445" s="51"/>
      <c r="L445" s="51"/>
      <c r="M445" s="51"/>
      <c r="N445" s="51"/>
      <c r="O445" s="51"/>
      <c r="P445" s="51"/>
      <c r="Q445" s="51"/>
      <c r="R445" s="51"/>
      <c r="S445" s="51"/>
      <c r="T445" s="51"/>
      <c r="U445" s="51"/>
      <c r="V445" s="51"/>
      <c r="W445" s="51"/>
      <c r="X445" s="51"/>
      <c r="Y445" s="51"/>
      <c r="Z445" s="51"/>
      <c r="AA445" s="51"/>
      <c r="AB445" s="51"/>
    </row>
    <row r="446" customFormat="false" ht="15.75" hidden="false" customHeight="false" outlineLevel="0" collapsed="false">
      <c r="A446" s="51"/>
      <c r="B446" s="51"/>
      <c r="C446" s="6"/>
      <c r="D446" s="49"/>
      <c r="E446" s="51"/>
      <c r="F446" s="6"/>
      <c r="G446" s="6"/>
      <c r="H446" s="6"/>
      <c r="I446" s="6"/>
      <c r="J446" s="6"/>
      <c r="K446" s="51"/>
      <c r="L446" s="51"/>
      <c r="M446" s="51"/>
      <c r="N446" s="51"/>
      <c r="O446" s="51"/>
      <c r="P446" s="51"/>
      <c r="Q446" s="51"/>
      <c r="R446" s="51"/>
      <c r="S446" s="51"/>
      <c r="T446" s="51"/>
      <c r="U446" s="51"/>
      <c r="V446" s="51"/>
      <c r="W446" s="51"/>
      <c r="X446" s="51"/>
      <c r="Y446" s="51"/>
      <c r="Z446" s="51"/>
      <c r="AA446" s="51"/>
      <c r="AB446" s="51"/>
    </row>
    <row r="447" customFormat="false" ht="15.75" hidden="false" customHeight="false" outlineLevel="0" collapsed="false">
      <c r="A447" s="51"/>
      <c r="B447" s="51"/>
      <c r="C447" s="6"/>
      <c r="D447" s="49"/>
      <c r="E447" s="51"/>
      <c r="F447" s="6"/>
      <c r="G447" s="6"/>
      <c r="H447" s="6"/>
      <c r="I447" s="6"/>
      <c r="J447" s="6"/>
      <c r="K447" s="51"/>
      <c r="L447" s="51"/>
      <c r="M447" s="51"/>
      <c r="N447" s="51"/>
      <c r="O447" s="51"/>
      <c r="P447" s="51"/>
      <c r="Q447" s="51"/>
      <c r="R447" s="51"/>
      <c r="S447" s="51"/>
      <c r="T447" s="51"/>
      <c r="U447" s="51"/>
      <c r="V447" s="51"/>
      <c r="W447" s="51"/>
      <c r="X447" s="51"/>
      <c r="Y447" s="51"/>
      <c r="Z447" s="51"/>
      <c r="AA447" s="51"/>
      <c r="AB447" s="51"/>
    </row>
    <row r="448" customFormat="false" ht="15.75" hidden="false" customHeight="false" outlineLevel="0" collapsed="false">
      <c r="A448" s="51"/>
      <c r="B448" s="51"/>
      <c r="C448" s="6"/>
      <c r="D448" s="49"/>
      <c r="E448" s="51"/>
      <c r="F448" s="6"/>
      <c r="G448" s="6"/>
      <c r="H448" s="6"/>
      <c r="I448" s="6"/>
      <c r="J448" s="6"/>
      <c r="K448" s="51"/>
      <c r="L448" s="51"/>
      <c r="M448" s="51"/>
      <c r="N448" s="51"/>
      <c r="O448" s="51"/>
      <c r="P448" s="51"/>
      <c r="Q448" s="51"/>
      <c r="R448" s="51"/>
      <c r="S448" s="51"/>
      <c r="T448" s="51"/>
      <c r="U448" s="51"/>
      <c r="V448" s="51"/>
      <c r="W448" s="51"/>
      <c r="X448" s="51"/>
      <c r="Y448" s="51"/>
      <c r="Z448" s="51"/>
      <c r="AA448" s="51"/>
      <c r="AB448" s="51"/>
    </row>
    <row r="449" customFormat="false" ht="15.75" hidden="false" customHeight="false" outlineLevel="0" collapsed="false">
      <c r="A449" s="51"/>
      <c r="B449" s="51"/>
      <c r="C449" s="6"/>
      <c r="D449" s="49"/>
      <c r="E449" s="51"/>
      <c r="F449" s="6"/>
      <c r="G449" s="6"/>
      <c r="H449" s="6"/>
      <c r="I449" s="6"/>
      <c r="J449" s="6"/>
      <c r="K449" s="51"/>
      <c r="L449" s="51"/>
      <c r="M449" s="51"/>
      <c r="N449" s="51"/>
      <c r="O449" s="51"/>
      <c r="P449" s="51"/>
      <c r="Q449" s="51"/>
      <c r="R449" s="51"/>
      <c r="S449" s="51"/>
      <c r="T449" s="51"/>
      <c r="U449" s="51"/>
      <c r="V449" s="51"/>
      <c r="W449" s="51"/>
      <c r="X449" s="51"/>
      <c r="Y449" s="51"/>
      <c r="Z449" s="51"/>
      <c r="AA449" s="51"/>
      <c r="AB449" s="51"/>
    </row>
    <row r="450" customFormat="false" ht="15.75" hidden="false" customHeight="false" outlineLevel="0" collapsed="false">
      <c r="A450" s="51"/>
      <c r="B450" s="51"/>
      <c r="C450" s="6"/>
      <c r="D450" s="49"/>
      <c r="E450" s="51"/>
      <c r="F450" s="6"/>
      <c r="G450" s="6"/>
      <c r="H450" s="6"/>
      <c r="I450" s="6"/>
      <c r="J450" s="6"/>
      <c r="K450" s="51"/>
      <c r="L450" s="51"/>
      <c r="M450" s="51"/>
      <c r="N450" s="51"/>
      <c r="O450" s="51"/>
      <c r="P450" s="51"/>
      <c r="Q450" s="51"/>
      <c r="R450" s="51"/>
      <c r="S450" s="51"/>
      <c r="T450" s="51"/>
      <c r="U450" s="51"/>
      <c r="V450" s="51"/>
      <c r="W450" s="51"/>
      <c r="X450" s="51"/>
      <c r="Y450" s="51"/>
      <c r="Z450" s="51"/>
      <c r="AA450" s="51"/>
      <c r="AB450" s="51"/>
    </row>
    <row r="451" customFormat="false" ht="15.75" hidden="false" customHeight="false" outlineLevel="0" collapsed="false">
      <c r="A451" s="51"/>
      <c r="B451" s="51"/>
      <c r="C451" s="6"/>
      <c r="D451" s="49"/>
      <c r="E451" s="51"/>
      <c r="F451" s="6"/>
      <c r="G451" s="6"/>
      <c r="H451" s="6"/>
      <c r="I451" s="6"/>
      <c r="J451" s="6"/>
      <c r="K451" s="51"/>
      <c r="L451" s="51"/>
      <c r="M451" s="51"/>
      <c r="N451" s="51"/>
      <c r="O451" s="51"/>
      <c r="P451" s="51"/>
      <c r="Q451" s="51"/>
      <c r="R451" s="51"/>
      <c r="S451" s="51"/>
      <c r="T451" s="51"/>
      <c r="U451" s="51"/>
      <c r="V451" s="51"/>
      <c r="W451" s="51"/>
      <c r="X451" s="51"/>
      <c r="Y451" s="51"/>
      <c r="Z451" s="51"/>
      <c r="AA451" s="51"/>
      <c r="AB451" s="51"/>
    </row>
    <row r="452" customFormat="false" ht="15.75" hidden="false" customHeight="false" outlineLevel="0" collapsed="false">
      <c r="A452" s="51"/>
      <c r="B452" s="51"/>
      <c r="C452" s="6"/>
      <c r="D452" s="49"/>
      <c r="E452" s="51"/>
      <c r="F452" s="6"/>
      <c r="G452" s="6"/>
      <c r="H452" s="6"/>
      <c r="I452" s="6"/>
      <c r="J452" s="6"/>
      <c r="K452" s="51"/>
      <c r="L452" s="51"/>
      <c r="M452" s="51"/>
      <c r="N452" s="51"/>
      <c r="O452" s="51"/>
      <c r="P452" s="51"/>
      <c r="Q452" s="51"/>
      <c r="R452" s="51"/>
      <c r="S452" s="51"/>
      <c r="T452" s="51"/>
      <c r="U452" s="51"/>
      <c r="V452" s="51"/>
      <c r="W452" s="51"/>
      <c r="X452" s="51"/>
      <c r="Y452" s="51"/>
      <c r="Z452" s="51"/>
      <c r="AA452" s="51"/>
      <c r="AB452" s="51"/>
    </row>
    <row r="453" customFormat="false" ht="15.75" hidden="false" customHeight="false" outlineLevel="0" collapsed="false">
      <c r="A453" s="51"/>
      <c r="B453" s="51"/>
      <c r="C453" s="6"/>
      <c r="D453" s="49"/>
      <c r="E453" s="51"/>
      <c r="F453" s="6"/>
      <c r="G453" s="6"/>
      <c r="H453" s="6"/>
      <c r="I453" s="6"/>
      <c r="J453" s="6"/>
      <c r="K453" s="51"/>
      <c r="L453" s="51"/>
      <c r="M453" s="51"/>
      <c r="N453" s="51"/>
      <c r="O453" s="51"/>
      <c r="P453" s="51"/>
      <c r="Q453" s="51"/>
      <c r="R453" s="51"/>
      <c r="S453" s="51"/>
      <c r="T453" s="51"/>
      <c r="U453" s="51"/>
      <c r="V453" s="51"/>
      <c r="W453" s="51"/>
      <c r="X453" s="51"/>
      <c r="Y453" s="51"/>
      <c r="Z453" s="51"/>
      <c r="AA453" s="51"/>
      <c r="AB453" s="51"/>
    </row>
    <row r="454" customFormat="false" ht="15.75" hidden="false" customHeight="false" outlineLevel="0" collapsed="false">
      <c r="A454" s="51"/>
      <c r="B454" s="51"/>
      <c r="C454" s="6"/>
      <c r="D454" s="49"/>
      <c r="E454" s="51"/>
      <c r="F454" s="6"/>
      <c r="G454" s="6"/>
      <c r="H454" s="6"/>
      <c r="I454" s="6"/>
      <c r="J454" s="6"/>
      <c r="K454" s="51"/>
      <c r="L454" s="51"/>
      <c r="M454" s="51"/>
      <c r="N454" s="51"/>
      <c r="O454" s="51"/>
      <c r="P454" s="51"/>
      <c r="Q454" s="51"/>
      <c r="R454" s="51"/>
      <c r="S454" s="51"/>
      <c r="T454" s="51"/>
      <c r="U454" s="51"/>
      <c r="V454" s="51"/>
      <c r="W454" s="51"/>
      <c r="X454" s="51"/>
      <c r="Y454" s="51"/>
      <c r="Z454" s="51"/>
      <c r="AA454" s="51"/>
      <c r="AB454" s="51"/>
    </row>
    <row r="455" customFormat="false" ht="15.75" hidden="false" customHeight="false" outlineLevel="0" collapsed="false">
      <c r="A455" s="51"/>
      <c r="B455" s="51"/>
      <c r="C455" s="6"/>
      <c r="D455" s="49"/>
      <c r="E455" s="51"/>
      <c r="F455" s="6"/>
      <c r="G455" s="6"/>
      <c r="H455" s="6"/>
      <c r="I455" s="6"/>
      <c r="J455" s="6"/>
      <c r="K455" s="51"/>
      <c r="L455" s="51"/>
      <c r="M455" s="51"/>
      <c r="N455" s="51"/>
      <c r="O455" s="51"/>
      <c r="P455" s="51"/>
      <c r="Q455" s="51"/>
      <c r="R455" s="51"/>
      <c r="S455" s="51"/>
      <c r="T455" s="51"/>
      <c r="U455" s="51"/>
      <c r="V455" s="51"/>
      <c r="W455" s="51"/>
      <c r="X455" s="51"/>
      <c r="Y455" s="51"/>
      <c r="Z455" s="51"/>
      <c r="AA455" s="51"/>
      <c r="AB455" s="51"/>
    </row>
    <row r="456" customFormat="false" ht="15.75" hidden="false" customHeight="false" outlineLevel="0" collapsed="false">
      <c r="A456" s="51"/>
      <c r="B456" s="51"/>
      <c r="C456" s="6"/>
      <c r="D456" s="49"/>
      <c r="E456" s="51"/>
      <c r="F456" s="6"/>
      <c r="G456" s="6"/>
      <c r="H456" s="6"/>
      <c r="I456" s="6"/>
      <c r="J456" s="6"/>
      <c r="K456" s="51"/>
      <c r="L456" s="51"/>
      <c r="M456" s="51"/>
      <c r="N456" s="51"/>
      <c r="O456" s="51"/>
      <c r="P456" s="51"/>
      <c r="Q456" s="51"/>
      <c r="R456" s="51"/>
      <c r="S456" s="51"/>
      <c r="T456" s="51"/>
      <c r="U456" s="51"/>
      <c r="V456" s="51"/>
      <c r="W456" s="51"/>
      <c r="X456" s="51"/>
      <c r="Y456" s="51"/>
      <c r="Z456" s="51"/>
      <c r="AA456" s="51"/>
      <c r="AB456" s="51"/>
    </row>
    <row r="457" customFormat="false" ht="15.75" hidden="false" customHeight="false" outlineLevel="0" collapsed="false">
      <c r="A457" s="51"/>
      <c r="B457" s="51"/>
      <c r="C457" s="6"/>
      <c r="D457" s="49"/>
      <c r="E457" s="51"/>
      <c r="F457" s="6"/>
      <c r="G457" s="6"/>
      <c r="H457" s="6"/>
      <c r="I457" s="6"/>
      <c r="J457" s="6"/>
      <c r="K457" s="51"/>
      <c r="L457" s="51"/>
      <c r="M457" s="51"/>
      <c r="N457" s="51"/>
      <c r="O457" s="51"/>
      <c r="P457" s="51"/>
      <c r="Q457" s="51"/>
      <c r="R457" s="51"/>
      <c r="S457" s="51"/>
      <c r="T457" s="51"/>
      <c r="U457" s="51"/>
      <c r="V457" s="51"/>
      <c r="W457" s="51"/>
      <c r="X457" s="51"/>
      <c r="Y457" s="51"/>
      <c r="Z457" s="51"/>
      <c r="AA457" s="51"/>
      <c r="AB457" s="51"/>
    </row>
    <row r="458" customFormat="false" ht="15.75" hidden="false" customHeight="false" outlineLevel="0" collapsed="false">
      <c r="A458" s="51"/>
      <c r="B458" s="51"/>
      <c r="C458" s="6"/>
      <c r="D458" s="49"/>
      <c r="E458" s="51"/>
      <c r="F458" s="6"/>
      <c r="G458" s="6"/>
      <c r="H458" s="6"/>
      <c r="I458" s="6"/>
      <c r="J458" s="6"/>
      <c r="K458" s="51"/>
      <c r="L458" s="51"/>
      <c r="M458" s="51"/>
      <c r="N458" s="51"/>
      <c r="O458" s="51"/>
      <c r="P458" s="51"/>
      <c r="Q458" s="51"/>
      <c r="R458" s="51"/>
      <c r="S458" s="51"/>
      <c r="T458" s="51"/>
      <c r="U458" s="51"/>
      <c r="V458" s="51"/>
      <c r="W458" s="51"/>
      <c r="X458" s="51"/>
      <c r="Y458" s="51"/>
      <c r="Z458" s="51"/>
      <c r="AA458" s="51"/>
      <c r="AB458" s="51"/>
    </row>
    <row r="459" customFormat="false" ht="15.75" hidden="false" customHeight="false" outlineLevel="0" collapsed="false">
      <c r="A459" s="51"/>
      <c r="B459" s="51"/>
      <c r="C459" s="6"/>
      <c r="D459" s="49"/>
      <c r="E459" s="51"/>
      <c r="F459" s="6"/>
      <c r="G459" s="6"/>
      <c r="H459" s="6"/>
      <c r="I459" s="6"/>
      <c r="J459" s="6"/>
      <c r="K459" s="51"/>
      <c r="L459" s="51"/>
      <c r="M459" s="51"/>
      <c r="N459" s="51"/>
      <c r="O459" s="51"/>
      <c r="P459" s="51"/>
      <c r="Q459" s="51"/>
      <c r="R459" s="51"/>
      <c r="S459" s="51"/>
      <c r="T459" s="51"/>
      <c r="U459" s="51"/>
      <c r="V459" s="51"/>
      <c r="W459" s="51"/>
      <c r="X459" s="51"/>
      <c r="Y459" s="51"/>
      <c r="Z459" s="51"/>
      <c r="AA459" s="51"/>
      <c r="AB459" s="51"/>
    </row>
    <row r="460" customFormat="false" ht="15.75" hidden="false" customHeight="false" outlineLevel="0" collapsed="false">
      <c r="A460" s="51"/>
      <c r="B460" s="51"/>
      <c r="C460" s="6"/>
      <c r="D460" s="49"/>
      <c r="E460" s="51"/>
      <c r="F460" s="6"/>
      <c r="G460" s="6"/>
      <c r="H460" s="6"/>
      <c r="I460" s="6"/>
      <c r="J460" s="6"/>
      <c r="K460" s="51"/>
      <c r="L460" s="51"/>
      <c r="M460" s="51"/>
      <c r="N460" s="51"/>
      <c r="O460" s="51"/>
      <c r="P460" s="51"/>
      <c r="Q460" s="51"/>
      <c r="R460" s="51"/>
      <c r="S460" s="51"/>
      <c r="T460" s="51"/>
      <c r="U460" s="51"/>
      <c r="V460" s="51"/>
      <c r="W460" s="51"/>
      <c r="X460" s="51"/>
      <c r="Y460" s="51"/>
      <c r="Z460" s="51"/>
      <c r="AA460" s="51"/>
      <c r="AB460" s="51"/>
    </row>
    <row r="461" customFormat="false" ht="15.75" hidden="false" customHeight="false" outlineLevel="0" collapsed="false">
      <c r="A461" s="51"/>
      <c r="B461" s="51"/>
      <c r="C461" s="6"/>
      <c r="D461" s="49"/>
      <c r="E461" s="51"/>
      <c r="F461" s="6"/>
      <c r="G461" s="6"/>
      <c r="H461" s="6"/>
      <c r="I461" s="6"/>
      <c r="J461" s="6"/>
      <c r="K461" s="51"/>
      <c r="L461" s="51"/>
      <c r="M461" s="51"/>
      <c r="N461" s="51"/>
      <c r="O461" s="51"/>
      <c r="P461" s="51"/>
      <c r="Q461" s="51"/>
      <c r="R461" s="51"/>
      <c r="S461" s="51"/>
      <c r="T461" s="51"/>
      <c r="U461" s="51"/>
      <c r="V461" s="51"/>
      <c r="W461" s="51"/>
      <c r="X461" s="51"/>
      <c r="Y461" s="51"/>
      <c r="Z461" s="51"/>
      <c r="AA461" s="51"/>
      <c r="AB461" s="51"/>
    </row>
    <row r="462" customFormat="false" ht="15.75" hidden="false" customHeight="false" outlineLevel="0" collapsed="false">
      <c r="A462" s="51"/>
      <c r="B462" s="51"/>
      <c r="C462" s="6"/>
      <c r="D462" s="49"/>
      <c r="E462" s="51"/>
      <c r="F462" s="6"/>
      <c r="G462" s="6"/>
      <c r="H462" s="6"/>
      <c r="I462" s="6"/>
      <c r="J462" s="6"/>
      <c r="K462" s="51"/>
      <c r="L462" s="51"/>
      <c r="M462" s="51"/>
      <c r="N462" s="51"/>
      <c r="O462" s="51"/>
      <c r="P462" s="51"/>
      <c r="Q462" s="51"/>
      <c r="R462" s="51"/>
      <c r="S462" s="51"/>
      <c r="T462" s="51"/>
      <c r="U462" s="51"/>
      <c r="V462" s="51"/>
      <c r="W462" s="51"/>
      <c r="X462" s="51"/>
      <c r="Y462" s="51"/>
      <c r="Z462" s="51"/>
      <c r="AA462" s="51"/>
      <c r="AB462" s="51"/>
    </row>
    <row r="463" customFormat="false" ht="15.75" hidden="false" customHeight="false" outlineLevel="0" collapsed="false">
      <c r="A463" s="51"/>
      <c r="B463" s="51"/>
      <c r="C463" s="6"/>
      <c r="D463" s="49"/>
      <c r="E463" s="51"/>
      <c r="F463" s="6"/>
      <c r="G463" s="6"/>
      <c r="H463" s="6"/>
      <c r="I463" s="6"/>
      <c r="J463" s="6"/>
      <c r="K463" s="51"/>
      <c r="L463" s="51"/>
      <c r="M463" s="51"/>
      <c r="N463" s="51"/>
      <c r="O463" s="51"/>
      <c r="P463" s="51"/>
      <c r="Q463" s="51"/>
      <c r="R463" s="51"/>
      <c r="S463" s="51"/>
      <c r="T463" s="51"/>
      <c r="U463" s="51"/>
      <c r="V463" s="51"/>
      <c r="W463" s="51"/>
      <c r="X463" s="51"/>
      <c r="Y463" s="51"/>
      <c r="Z463" s="51"/>
      <c r="AA463" s="51"/>
      <c r="AB463" s="51"/>
    </row>
    <row r="464" customFormat="false" ht="15.75" hidden="false" customHeight="false" outlineLevel="0" collapsed="false">
      <c r="A464" s="51"/>
      <c r="B464" s="51"/>
      <c r="C464" s="6"/>
      <c r="D464" s="49"/>
      <c r="E464" s="51"/>
      <c r="F464" s="6"/>
      <c r="G464" s="6"/>
      <c r="H464" s="6"/>
      <c r="I464" s="6"/>
      <c r="J464" s="6"/>
      <c r="K464" s="51"/>
      <c r="L464" s="51"/>
      <c r="M464" s="51"/>
      <c r="N464" s="51"/>
      <c r="O464" s="51"/>
      <c r="P464" s="51"/>
      <c r="Q464" s="51"/>
      <c r="R464" s="51"/>
      <c r="S464" s="51"/>
      <c r="T464" s="51"/>
      <c r="U464" s="51"/>
      <c r="V464" s="51"/>
      <c r="W464" s="51"/>
      <c r="X464" s="51"/>
      <c r="Y464" s="51"/>
      <c r="Z464" s="51"/>
      <c r="AA464" s="51"/>
      <c r="AB464" s="51"/>
    </row>
    <row r="465" customFormat="false" ht="15.75" hidden="false" customHeight="false" outlineLevel="0" collapsed="false">
      <c r="A465" s="51"/>
      <c r="B465" s="51"/>
      <c r="C465" s="6"/>
      <c r="D465" s="49"/>
      <c r="E465" s="51"/>
      <c r="F465" s="6"/>
      <c r="G465" s="6"/>
      <c r="H465" s="6"/>
      <c r="I465" s="6"/>
      <c r="J465" s="6"/>
      <c r="K465" s="51"/>
      <c r="L465" s="51"/>
      <c r="M465" s="51"/>
      <c r="N465" s="51"/>
      <c r="O465" s="51"/>
      <c r="P465" s="51"/>
      <c r="Q465" s="51"/>
      <c r="R465" s="51"/>
      <c r="S465" s="51"/>
      <c r="T465" s="51"/>
      <c r="U465" s="51"/>
      <c r="V465" s="51"/>
      <c r="W465" s="51"/>
      <c r="X465" s="51"/>
      <c r="Y465" s="51"/>
      <c r="Z465" s="51"/>
      <c r="AA465" s="51"/>
      <c r="AB465" s="51"/>
    </row>
    <row r="466" customFormat="false" ht="15.75" hidden="false" customHeight="false" outlineLevel="0" collapsed="false">
      <c r="A466" s="51"/>
      <c r="B466" s="51"/>
      <c r="C466" s="6"/>
      <c r="D466" s="49"/>
      <c r="E466" s="51"/>
      <c r="F466" s="6"/>
      <c r="G466" s="6"/>
      <c r="H466" s="6"/>
      <c r="I466" s="6"/>
      <c r="J466" s="6"/>
      <c r="K466" s="51"/>
      <c r="L466" s="51"/>
      <c r="M466" s="51"/>
      <c r="N466" s="51"/>
      <c r="O466" s="51"/>
      <c r="P466" s="51"/>
      <c r="Q466" s="51"/>
      <c r="R466" s="51"/>
      <c r="S466" s="51"/>
      <c r="T466" s="51"/>
      <c r="U466" s="51"/>
      <c r="V466" s="51"/>
      <c r="W466" s="51"/>
      <c r="X466" s="51"/>
      <c r="Y466" s="51"/>
      <c r="Z466" s="51"/>
      <c r="AA466" s="51"/>
      <c r="AB466" s="51"/>
    </row>
    <row r="467" customFormat="false" ht="15.75" hidden="false" customHeight="false" outlineLevel="0" collapsed="false">
      <c r="A467" s="51"/>
      <c r="B467" s="51"/>
      <c r="C467" s="6"/>
      <c r="D467" s="49"/>
      <c r="E467" s="51"/>
      <c r="F467" s="6"/>
      <c r="G467" s="6"/>
      <c r="H467" s="6"/>
      <c r="I467" s="6"/>
      <c r="J467" s="6"/>
      <c r="K467" s="51"/>
      <c r="L467" s="51"/>
      <c r="M467" s="51"/>
      <c r="N467" s="51"/>
      <c r="O467" s="51"/>
      <c r="P467" s="51"/>
      <c r="Q467" s="51"/>
      <c r="R467" s="51"/>
      <c r="S467" s="51"/>
      <c r="T467" s="51"/>
      <c r="U467" s="51"/>
      <c r="V467" s="51"/>
      <c r="W467" s="51"/>
      <c r="X467" s="51"/>
      <c r="Y467" s="51"/>
      <c r="Z467" s="51"/>
      <c r="AA467" s="51"/>
      <c r="AB467" s="51"/>
    </row>
    <row r="468" customFormat="false" ht="15.75" hidden="false" customHeight="false" outlineLevel="0" collapsed="false">
      <c r="A468" s="51"/>
      <c r="B468" s="51"/>
      <c r="C468" s="6"/>
      <c r="D468" s="49"/>
      <c r="E468" s="51"/>
      <c r="F468" s="6"/>
      <c r="G468" s="6"/>
      <c r="H468" s="6"/>
      <c r="I468" s="6"/>
      <c r="J468" s="6"/>
      <c r="K468" s="51"/>
      <c r="L468" s="51"/>
      <c r="M468" s="51"/>
      <c r="N468" s="51"/>
      <c r="O468" s="51"/>
      <c r="P468" s="51"/>
      <c r="Q468" s="51"/>
      <c r="R468" s="51"/>
      <c r="S468" s="51"/>
      <c r="T468" s="51"/>
      <c r="U468" s="51"/>
      <c r="V468" s="51"/>
      <c r="W468" s="51"/>
      <c r="X468" s="51"/>
      <c r="Y468" s="51"/>
      <c r="Z468" s="51"/>
      <c r="AA468" s="51"/>
      <c r="AB468" s="51"/>
    </row>
    <row r="469" customFormat="false" ht="15.75" hidden="false" customHeight="false" outlineLevel="0" collapsed="false">
      <c r="A469" s="51"/>
      <c r="B469" s="51"/>
      <c r="C469" s="6"/>
      <c r="D469" s="49"/>
      <c r="E469" s="51"/>
      <c r="F469" s="6"/>
      <c r="G469" s="6"/>
      <c r="H469" s="6"/>
      <c r="I469" s="6"/>
      <c r="J469" s="6"/>
      <c r="K469" s="51"/>
      <c r="L469" s="51"/>
      <c r="M469" s="51"/>
      <c r="N469" s="51"/>
      <c r="O469" s="51"/>
      <c r="P469" s="51"/>
      <c r="Q469" s="51"/>
      <c r="R469" s="51"/>
      <c r="S469" s="51"/>
      <c r="T469" s="51"/>
      <c r="U469" s="51"/>
      <c r="V469" s="51"/>
      <c r="W469" s="51"/>
      <c r="X469" s="51"/>
      <c r="Y469" s="51"/>
      <c r="Z469" s="51"/>
      <c r="AA469" s="51"/>
      <c r="AB469" s="51"/>
    </row>
    <row r="470" customFormat="false" ht="15.75" hidden="false" customHeight="false" outlineLevel="0" collapsed="false">
      <c r="A470" s="51"/>
      <c r="B470" s="51"/>
      <c r="C470" s="6"/>
      <c r="D470" s="49"/>
      <c r="E470" s="51"/>
      <c r="F470" s="6"/>
      <c r="G470" s="6"/>
      <c r="H470" s="6"/>
      <c r="I470" s="6"/>
      <c r="J470" s="6"/>
      <c r="K470" s="51"/>
      <c r="L470" s="51"/>
      <c r="M470" s="51"/>
      <c r="N470" s="51"/>
      <c r="O470" s="51"/>
      <c r="P470" s="51"/>
      <c r="Q470" s="51"/>
      <c r="R470" s="51"/>
      <c r="S470" s="51"/>
      <c r="T470" s="51"/>
      <c r="U470" s="51"/>
      <c r="V470" s="51"/>
      <c r="W470" s="51"/>
      <c r="X470" s="51"/>
      <c r="Y470" s="51"/>
      <c r="Z470" s="51"/>
      <c r="AA470" s="51"/>
      <c r="AB470" s="51"/>
    </row>
    <row r="471" customFormat="false" ht="15.75" hidden="false" customHeight="false" outlineLevel="0" collapsed="false">
      <c r="A471" s="51"/>
      <c r="B471" s="51"/>
      <c r="C471" s="6"/>
      <c r="D471" s="49"/>
      <c r="E471" s="51"/>
      <c r="F471" s="6"/>
      <c r="G471" s="6"/>
      <c r="H471" s="6"/>
      <c r="I471" s="6"/>
      <c r="J471" s="6"/>
      <c r="K471" s="51"/>
      <c r="L471" s="51"/>
      <c r="M471" s="51"/>
      <c r="N471" s="51"/>
      <c r="O471" s="51"/>
      <c r="P471" s="51"/>
      <c r="Q471" s="51"/>
      <c r="R471" s="51"/>
      <c r="S471" s="51"/>
      <c r="T471" s="51"/>
      <c r="U471" s="51"/>
      <c r="V471" s="51"/>
      <c r="W471" s="51"/>
      <c r="X471" s="51"/>
      <c r="Y471" s="51"/>
      <c r="Z471" s="51"/>
      <c r="AA471" s="51"/>
      <c r="AB471" s="51"/>
    </row>
    <row r="472" customFormat="false" ht="15.75" hidden="false" customHeight="false" outlineLevel="0" collapsed="false">
      <c r="A472" s="51"/>
      <c r="B472" s="51"/>
      <c r="C472" s="6"/>
      <c r="D472" s="49"/>
      <c r="E472" s="51"/>
      <c r="F472" s="6"/>
      <c r="G472" s="6"/>
      <c r="H472" s="6"/>
      <c r="I472" s="6"/>
      <c r="J472" s="6"/>
      <c r="K472" s="51"/>
      <c r="L472" s="51"/>
      <c r="M472" s="51"/>
      <c r="N472" s="51"/>
      <c r="O472" s="51"/>
      <c r="P472" s="51"/>
      <c r="Q472" s="51"/>
      <c r="R472" s="51"/>
      <c r="S472" s="51"/>
      <c r="T472" s="51"/>
      <c r="U472" s="51"/>
      <c r="V472" s="51"/>
      <c r="W472" s="51"/>
      <c r="X472" s="51"/>
      <c r="Y472" s="51"/>
      <c r="Z472" s="51"/>
      <c r="AA472" s="51"/>
      <c r="AB472" s="51"/>
    </row>
    <row r="473" customFormat="false" ht="15.75" hidden="false" customHeight="false" outlineLevel="0" collapsed="false">
      <c r="A473" s="51"/>
      <c r="B473" s="51"/>
      <c r="C473" s="6"/>
      <c r="D473" s="49"/>
      <c r="E473" s="51"/>
      <c r="F473" s="6"/>
      <c r="G473" s="6"/>
      <c r="H473" s="6"/>
      <c r="I473" s="6"/>
      <c r="J473" s="6"/>
      <c r="K473" s="51"/>
      <c r="L473" s="51"/>
      <c r="M473" s="51"/>
      <c r="N473" s="51"/>
      <c r="O473" s="51"/>
      <c r="P473" s="51"/>
      <c r="Q473" s="51"/>
      <c r="R473" s="51"/>
      <c r="S473" s="51"/>
      <c r="T473" s="51"/>
      <c r="U473" s="51"/>
      <c r="V473" s="51"/>
      <c r="W473" s="51"/>
      <c r="X473" s="51"/>
      <c r="Y473" s="51"/>
      <c r="Z473" s="51"/>
      <c r="AA473" s="51"/>
      <c r="AB473" s="51"/>
    </row>
    <row r="474" customFormat="false" ht="15.75" hidden="false" customHeight="false" outlineLevel="0" collapsed="false">
      <c r="A474" s="51"/>
      <c r="B474" s="51"/>
      <c r="C474" s="6"/>
      <c r="D474" s="49"/>
      <c r="E474" s="51"/>
      <c r="F474" s="6"/>
      <c r="G474" s="6"/>
      <c r="H474" s="6"/>
      <c r="I474" s="6"/>
      <c r="J474" s="6"/>
      <c r="K474" s="51"/>
      <c r="L474" s="51"/>
      <c r="M474" s="51"/>
      <c r="N474" s="51"/>
      <c r="O474" s="51"/>
      <c r="P474" s="51"/>
      <c r="Q474" s="51"/>
      <c r="R474" s="51"/>
      <c r="S474" s="51"/>
      <c r="T474" s="51"/>
      <c r="U474" s="51"/>
      <c r="V474" s="51"/>
      <c r="W474" s="51"/>
      <c r="X474" s="51"/>
      <c r="Y474" s="51"/>
      <c r="Z474" s="51"/>
      <c r="AA474" s="51"/>
      <c r="AB474" s="51"/>
    </row>
    <row r="475" customFormat="false" ht="15.75" hidden="false" customHeight="false" outlineLevel="0" collapsed="false">
      <c r="A475" s="51"/>
      <c r="B475" s="51"/>
      <c r="C475" s="6"/>
      <c r="D475" s="49"/>
      <c r="E475" s="51"/>
      <c r="F475" s="6"/>
      <c r="G475" s="6"/>
      <c r="H475" s="6"/>
      <c r="I475" s="6"/>
      <c r="J475" s="6"/>
      <c r="K475" s="51"/>
      <c r="L475" s="51"/>
      <c r="M475" s="51"/>
      <c r="N475" s="51"/>
      <c r="O475" s="51"/>
      <c r="P475" s="51"/>
      <c r="Q475" s="51"/>
      <c r="R475" s="51"/>
      <c r="S475" s="51"/>
      <c r="T475" s="51"/>
      <c r="U475" s="51"/>
      <c r="V475" s="51"/>
      <c r="W475" s="51"/>
      <c r="X475" s="51"/>
      <c r="Y475" s="51"/>
      <c r="Z475" s="51"/>
      <c r="AA475" s="51"/>
      <c r="AB475" s="51"/>
    </row>
    <row r="476" customFormat="false" ht="15.75" hidden="false" customHeight="false" outlineLevel="0" collapsed="false">
      <c r="A476" s="51"/>
      <c r="B476" s="51"/>
      <c r="C476" s="6"/>
      <c r="D476" s="49"/>
      <c r="E476" s="51"/>
      <c r="F476" s="6"/>
      <c r="G476" s="6"/>
      <c r="H476" s="6"/>
      <c r="I476" s="6"/>
      <c r="J476" s="6"/>
      <c r="K476" s="51"/>
      <c r="L476" s="51"/>
      <c r="M476" s="51"/>
      <c r="N476" s="51"/>
      <c r="O476" s="51"/>
      <c r="P476" s="51"/>
      <c r="Q476" s="51"/>
      <c r="R476" s="51"/>
      <c r="S476" s="51"/>
      <c r="T476" s="51"/>
      <c r="U476" s="51"/>
      <c r="V476" s="51"/>
      <c r="W476" s="51"/>
      <c r="X476" s="51"/>
      <c r="Y476" s="51"/>
      <c r="Z476" s="51"/>
      <c r="AA476" s="51"/>
      <c r="AB476" s="51"/>
    </row>
    <row r="477" customFormat="false" ht="15.75" hidden="false" customHeight="false" outlineLevel="0" collapsed="false">
      <c r="A477" s="51"/>
      <c r="B477" s="51"/>
      <c r="C477" s="6"/>
      <c r="D477" s="49"/>
      <c r="E477" s="51"/>
      <c r="F477" s="6"/>
      <c r="G477" s="6"/>
      <c r="H477" s="6"/>
      <c r="I477" s="6"/>
      <c r="J477" s="6"/>
      <c r="K477" s="51"/>
      <c r="L477" s="51"/>
      <c r="M477" s="51"/>
      <c r="N477" s="51"/>
      <c r="O477" s="51"/>
      <c r="P477" s="51"/>
      <c r="Q477" s="51"/>
      <c r="R477" s="51"/>
      <c r="S477" s="51"/>
      <c r="T477" s="51"/>
      <c r="U477" s="51"/>
      <c r="V477" s="51"/>
      <c r="W477" s="51"/>
      <c r="X477" s="51"/>
      <c r="Y477" s="51"/>
      <c r="Z477" s="51"/>
      <c r="AA477" s="51"/>
      <c r="AB477" s="51"/>
    </row>
    <row r="478" customFormat="false" ht="15.75" hidden="false" customHeight="false" outlineLevel="0" collapsed="false">
      <c r="A478" s="51"/>
      <c r="B478" s="51"/>
      <c r="C478" s="6"/>
      <c r="D478" s="49"/>
      <c r="E478" s="51"/>
      <c r="F478" s="6"/>
      <c r="G478" s="6"/>
      <c r="H478" s="6"/>
      <c r="I478" s="6"/>
      <c r="J478" s="6"/>
      <c r="K478" s="51"/>
      <c r="L478" s="51"/>
      <c r="M478" s="51"/>
      <c r="N478" s="51"/>
      <c r="O478" s="51"/>
      <c r="P478" s="51"/>
      <c r="Q478" s="51"/>
      <c r="R478" s="51"/>
      <c r="S478" s="51"/>
      <c r="T478" s="51"/>
      <c r="U478" s="51"/>
      <c r="V478" s="51"/>
      <c r="W478" s="51"/>
      <c r="X478" s="51"/>
      <c r="Y478" s="51"/>
      <c r="Z478" s="51"/>
      <c r="AA478" s="51"/>
      <c r="AB478" s="51"/>
    </row>
    <row r="479" customFormat="false" ht="15.75" hidden="false" customHeight="false" outlineLevel="0" collapsed="false">
      <c r="A479" s="51"/>
      <c r="B479" s="51"/>
      <c r="C479" s="6"/>
      <c r="D479" s="49"/>
      <c r="E479" s="51"/>
      <c r="F479" s="6"/>
      <c r="G479" s="6"/>
      <c r="H479" s="6"/>
      <c r="I479" s="6"/>
      <c r="J479" s="6"/>
      <c r="K479" s="51"/>
      <c r="L479" s="51"/>
      <c r="M479" s="51"/>
      <c r="N479" s="51"/>
      <c r="O479" s="51"/>
      <c r="P479" s="51"/>
      <c r="Q479" s="51"/>
      <c r="R479" s="51"/>
      <c r="S479" s="51"/>
      <c r="T479" s="51"/>
      <c r="U479" s="51"/>
      <c r="V479" s="51"/>
      <c r="W479" s="51"/>
      <c r="X479" s="51"/>
      <c r="Y479" s="51"/>
      <c r="Z479" s="51"/>
      <c r="AA479" s="51"/>
      <c r="AB479" s="51"/>
    </row>
    <row r="480" customFormat="false" ht="15.75" hidden="false" customHeight="false" outlineLevel="0" collapsed="false">
      <c r="A480" s="51"/>
      <c r="B480" s="51"/>
      <c r="C480" s="6"/>
      <c r="D480" s="49"/>
      <c r="E480" s="51"/>
      <c r="F480" s="6"/>
      <c r="G480" s="6"/>
      <c r="H480" s="6"/>
      <c r="I480" s="6"/>
      <c r="J480" s="6"/>
      <c r="K480" s="51"/>
      <c r="L480" s="51"/>
      <c r="M480" s="51"/>
      <c r="N480" s="51"/>
      <c r="O480" s="51"/>
      <c r="P480" s="51"/>
      <c r="Q480" s="51"/>
      <c r="R480" s="51"/>
      <c r="S480" s="51"/>
      <c r="T480" s="51"/>
      <c r="U480" s="51"/>
      <c r="V480" s="51"/>
      <c r="W480" s="51"/>
      <c r="X480" s="51"/>
      <c r="Y480" s="51"/>
      <c r="Z480" s="51"/>
      <c r="AA480" s="51"/>
      <c r="AB480" s="51"/>
    </row>
    <row r="481" customFormat="false" ht="15.75" hidden="false" customHeight="false" outlineLevel="0" collapsed="false">
      <c r="A481" s="51"/>
      <c r="B481" s="51"/>
      <c r="C481" s="6"/>
      <c r="D481" s="49"/>
      <c r="E481" s="51"/>
      <c r="F481" s="6"/>
      <c r="G481" s="6"/>
      <c r="H481" s="6"/>
      <c r="I481" s="6"/>
      <c r="J481" s="6"/>
      <c r="K481" s="51"/>
      <c r="L481" s="51"/>
      <c r="M481" s="51"/>
      <c r="N481" s="51"/>
      <c r="O481" s="51"/>
      <c r="P481" s="51"/>
      <c r="Q481" s="51"/>
      <c r="R481" s="51"/>
      <c r="S481" s="51"/>
      <c r="T481" s="51"/>
      <c r="U481" s="51"/>
      <c r="V481" s="51"/>
      <c r="W481" s="51"/>
      <c r="X481" s="51"/>
      <c r="Y481" s="51"/>
      <c r="Z481" s="51"/>
      <c r="AA481" s="51"/>
      <c r="AB481" s="51"/>
    </row>
    <row r="482" customFormat="false" ht="15.75" hidden="false" customHeight="false" outlineLevel="0" collapsed="false">
      <c r="A482" s="51"/>
      <c r="B482" s="51"/>
      <c r="C482" s="6"/>
      <c r="D482" s="49"/>
      <c r="E482" s="51"/>
      <c r="F482" s="6"/>
      <c r="G482" s="6"/>
      <c r="H482" s="6"/>
      <c r="I482" s="6"/>
      <c r="J482" s="6"/>
      <c r="K482" s="51"/>
      <c r="L482" s="51"/>
      <c r="M482" s="51"/>
      <c r="N482" s="51"/>
      <c r="O482" s="51"/>
      <c r="P482" s="51"/>
      <c r="Q482" s="51"/>
      <c r="R482" s="51"/>
      <c r="S482" s="51"/>
      <c r="T482" s="51"/>
      <c r="U482" s="51"/>
      <c r="V482" s="51"/>
      <c r="W482" s="51"/>
      <c r="X482" s="51"/>
      <c r="Y482" s="51"/>
      <c r="Z482" s="51"/>
      <c r="AA482" s="51"/>
      <c r="AB482" s="51"/>
    </row>
    <row r="483" customFormat="false" ht="15.75" hidden="false" customHeight="false" outlineLevel="0" collapsed="false">
      <c r="A483" s="51"/>
      <c r="B483" s="51"/>
      <c r="C483" s="6"/>
      <c r="D483" s="49"/>
      <c r="E483" s="51"/>
      <c r="F483" s="6"/>
      <c r="G483" s="6"/>
      <c r="H483" s="6"/>
      <c r="I483" s="6"/>
      <c r="J483" s="6"/>
      <c r="K483" s="51"/>
      <c r="L483" s="51"/>
      <c r="M483" s="51"/>
      <c r="N483" s="51"/>
      <c r="O483" s="51"/>
      <c r="P483" s="51"/>
      <c r="Q483" s="51"/>
      <c r="R483" s="51"/>
      <c r="S483" s="51"/>
      <c r="T483" s="51"/>
      <c r="U483" s="51"/>
      <c r="V483" s="51"/>
      <c r="W483" s="51"/>
      <c r="X483" s="51"/>
      <c r="Y483" s="51"/>
      <c r="Z483" s="51"/>
      <c r="AA483" s="51"/>
      <c r="AB483" s="51"/>
    </row>
    <row r="484" customFormat="false" ht="15.75" hidden="false" customHeight="false" outlineLevel="0" collapsed="false">
      <c r="A484" s="51"/>
      <c r="B484" s="51"/>
      <c r="C484" s="6"/>
      <c r="D484" s="49"/>
      <c r="E484" s="51"/>
      <c r="F484" s="6"/>
      <c r="G484" s="6"/>
      <c r="H484" s="6"/>
      <c r="I484" s="6"/>
      <c r="J484" s="6"/>
      <c r="K484" s="51"/>
      <c r="L484" s="51"/>
      <c r="M484" s="51"/>
      <c r="N484" s="51"/>
      <c r="O484" s="51"/>
      <c r="P484" s="51"/>
      <c r="Q484" s="51"/>
      <c r="R484" s="51"/>
      <c r="S484" s="51"/>
      <c r="T484" s="51"/>
      <c r="U484" s="51"/>
      <c r="V484" s="51"/>
      <c r="W484" s="51"/>
      <c r="X484" s="51"/>
      <c r="Y484" s="51"/>
      <c r="Z484" s="51"/>
      <c r="AA484" s="51"/>
      <c r="AB484" s="51"/>
    </row>
    <row r="485" customFormat="false" ht="15.75" hidden="false" customHeight="false" outlineLevel="0" collapsed="false">
      <c r="A485" s="51"/>
      <c r="B485" s="51"/>
      <c r="C485" s="6"/>
      <c r="D485" s="49"/>
      <c r="E485" s="51"/>
      <c r="F485" s="6"/>
      <c r="G485" s="6"/>
      <c r="H485" s="6"/>
      <c r="I485" s="6"/>
      <c r="J485" s="6"/>
      <c r="K485" s="51"/>
      <c r="L485" s="51"/>
      <c r="M485" s="51"/>
      <c r="N485" s="51"/>
      <c r="O485" s="51"/>
      <c r="P485" s="51"/>
      <c r="Q485" s="51"/>
      <c r="R485" s="51"/>
      <c r="S485" s="51"/>
      <c r="T485" s="51"/>
      <c r="U485" s="51"/>
      <c r="V485" s="51"/>
      <c r="W485" s="51"/>
      <c r="X485" s="51"/>
      <c r="Y485" s="51"/>
      <c r="Z485" s="51"/>
      <c r="AA485" s="51"/>
      <c r="AB485" s="51"/>
    </row>
    <row r="486" customFormat="false" ht="15.75" hidden="false" customHeight="false" outlineLevel="0" collapsed="false">
      <c r="A486" s="51"/>
      <c r="B486" s="51"/>
      <c r="C486" s="6"/>
      <c r="D486" s="49"/>
      <c r="E486" s="51"/>
      <c r="F486" s="6"/>
      <c r="G486" s="6"/>
      <c r="H486" s="6"/>
      <c r="I486" s="6"/>
      <c r="J486" s="6"/>
      <c r="K486" s="51"/>
      <c r="L486" s="51"/>
      <c r="M486" s="51"/>
      <c r="N486" s="51"/>
      <c r="O486" s="51"/>
      <c r="P486" s="51"/>
      <c r="Q486" s="51"/>
      <c r="R486" s="51"/>
      <c r="S486" s="51"/>
      <c r="T486" s="51"/>
      <c r="U486" s="51"/>
      <c r="V486" s="51"/>
      <c r="W486" s="51"/>
      <c r="X486" s="51"/>
      <c r="Y486" s="51"/>
      <c r="Z486" s="51"/>
      <c r="AA486" s="51"/>
      <c r="AB486" s="51"/>
    </row>
    <row r="487" customFormat="false" ht="15.75" hidden="false" customHeight="false" outlineLevel="0" collapsed="false">
      <c r="A487" s="51"/>
      <c r="B487" s="51"/>
      <c r="C487" s="6"/>
      <c r="D487" s="49"/>
      <c r="E487" s="51"/>
      <c r="F487" s="6"/>
      <c r="G487" s="6"/>
      <c r="H487" s="6"/>
      <c r="I487" s="6"/>
      <c r="J487" s="6"/>
      <c r="K487" s="51"/>
      <c r="L487" s="51"/>
      <c r="M487" s="51"/>
      <c r="N487" s="51"/>
      <c r="O487" s="51"/>
      <c r="P487" s="51"/>
      <c r="Q487" s="51"/>
      <c r="R487" s="51"/>
      <c r="S487" s="51"/>
      <c r="T487" s="51"/>
      <c r="U487" s="51"/>
      <c r="V487" s="51"/>
      <c r="W487" s="51"/>
      <c r="X487" s="51"/>
      <c r="Y487" s="51"/>
      <c r="Z487" s="51"/>
      <c r="AA487" s="51"/>
      <c r="AB487" s="51"/>
    </row>
    <row r="488" customFormat="false" ht="15.75" hidden="false" customHeight="false" outlineLevel="0" collapsed="false">
      <c r="A488" s="51"/>
      <c r="B488" s="51"/>
      <c r="C488" s="6"/>
      <c r="D488" s="49"/>
      <c r="E488" s="51"/>
      <c r="F488" s="6"/>
      <c r="G488" s="6"/>
      <c r="H488" s="6"/>
      <c r="I488" s="6"/>
      <c r="J488" s="6"/>
      <c r="K488" s="51"/>
      <c r="L488" s="51"/>
      <c r="M488" s="51"/>
      <c r="N488" s="51"/>
      <c r="O488" s="51"/>
      <c r="P488" s="51"/>
      <c r="Q488" s="51"/>
      <c r="R488" s="51"/>
      <c r="S488" s="51"/>
      <c r="T488" s="51"/>
      <c r="U488" s="51"/>
      <c r="V488" s="51"/>
      <c r="W488" s="51"/>
      <c r="X488" s="51"/>
      <c r="Y488" s="51"/>
      <c r="Z488" s="51"/>
      <c r="AA488" s="51"/>
      <c r="AB488" s="51"/>
    </row>
    <row r="489" customFormat="false" ht="15.75" hidden="false" customHeight="false" outlineLevel="0" collapsed="false">
      <c r="A489" s="51"/>
      <c r="B489" s="51"/>
      <c r="C489" s="6"/>
      <c r="D489" s="49"/>
      <c r="E489" s="51"/>
      <c r="F489" s="6"/>
      <c r="G489" s="6"/>
      <c r="H489" s="6"/>
      <c r="I489" s="6"/>
      <c r="J489" s="6"/>
      <c r="K489" s="51"/>
      <c r="L489" s="51"/>
      <c r="M489" s="51"/>
      <c r="N489" s="51"/>
      <c r="O489" s="51"/>
      <c r="P489" s="51"/>
      <c r="Q489" s="51"/>
      <c r="R489" s="51"/>
      <c r="S489" s="51"/>
      <c r="T489" s="51"/>
      <c r="U489" s="51"/>
      <c r="V489" s="51"/>
      <c r="W489" s="51"/>
      <c r="X489" s="51"/>
      <c r="Y489" s="51"/>
      <c r="Z489" s="51"/>
      <c r="AA489" s="51"/>
      <c r="AB489" s="51"/>
    </row>
    <row r="490" customFormat="false" ht="15.75" hidden="false" customHeight="false" outlineLevel="0" collapsed="false">
      <c r="A490" s="51"/>
      <c r="B490" s="51"/>
      <c r="C490" s="6"/>
      <c r="D490" s="49"/>
      <c r="E490" s="51"/>
      <c r="F490" s="6"/>
      <c r="G490" s="6"/>
      <c r="H490" s="6"/>
      <c r="I490" s="6"/>
      <c r="J490" s="6"/>
      <c r="K490" s="51"/>
      <c r="L490" s="51"/>
      <c r="M490" s="51"/>
      <c r="N490" s="51"/>
      <c r="O490" s="51"/>
      <c r="P490" s="51"/>
      <c r="Q490" s="51"/>
      <c r="R490" s="51"/>
      <c r="S490" s="51"/>
      <c r="T490" s="51"/>
      <c r="U490" s="51"/>
      <c r="V490" s="51"/>
      <c r="W490" s="51"/>
      <c r="X490" s="51"/>
      <c r="Y490" s="51"/>
      <c r="Z490" s="51"/>
      <c r="AA490" s="51"/>
      <c r="AB490" s="51"/>
    </row>
    <row r="491" customFormat="false" ht="15.75" hidden="false" customHeight="false" outlineLevel="0" collapsed="false">
      <c r="A491" s="51"/>
      <c r="B491" s="51"/>
      <c r="C491" s="6"/>
      <c r="D491" s="49"/>
      <c r="E491" s="51"/>
      <c r="F491" s="6"/>
      <c r="G491" s="6"/>
      <c r="H491" s="6"/>
      <c r="I491" s="6"/>
      <c r="J491" s="6"/>
      <c r="K491" s="51"/>
      <c r="L491" s="51"/>
      <c r="M491" s="51"/>
      <c r="N491" s="51"/>
      <c r="O491" s="51"/>
      <c r="P491" s="51"/>
      <c r="Q491" s="51"/>
      <c r="R491" s="51"/>
      <c r="S491" s="51"/>
      <c r="T491" s="51"/>
      <c r="U491" s="51"/>
      <c r="V491" s="51"/>
      <c r="W491" s="51"/>
      <c r="X491" s="51"/>
      <c r="Y491" s="51"/>
      <c r="Z491" s="51"/>
      <c r="AA491" s="51"/>
      <c r="AB491" s="51"/>
    </row>
    <row r="492" customFormat="false" ht="15.75" hidden="false" customHeight="false" outlineLevel="0" collapsed="false">
      <c r="A492" s="51"/>
      <c r="B492" s="51"/>
      <c r="C492" s="6"/>
      <c r="D492" s="49"/>
      <c r="E492" s="51"/>
      <c r="F492" s="6"/>
      <c r="G492" s="6"/>
      <c r="H492" s="6"/>
      <c r="I492" s="6"/>
      <c r="J492" s="6"/>
      <c r="K492" s="51"/>
      <c r="L492" s="51"/>
      <c r="M492" s="51"/>
      <c r="N492" s="51"/>
      <c r="O492" s="51"/>
      <c r="P492" s="51"/>
      <c r="Q492" s="51"/>
      <c r="R492" s="51"/>
      <c r="S492" s="51"/>
      <c r="T492" s="51"/>
      <c r="U492" s="51"/>
      <c r="V492" s="51"/>
      <c r="W492" s="51"/>
      <c r="X492" s="51"/>
      <c r="Y492" s="51"/>
      <c r="Z492" s="51"/>
      <c r="AA492" s="51"/>
      <c r="AB492" s="51"/>
    </row>
    <row r="493" customFormat="false" ht="15.75" hidden="false" customHeight="false" outlineLevel="0" collapsed="false">
      <c r="A493" s="51"/>
      <c r="B493" s="51"/>
      <c r="C493" s="6"/>
      <c r="D493" s="49"/>
      <c r="E493" s="51"/>
      <c r="F493" s="6"/>
      <c r="G493" s="6"/>
      <c r="H493" s="6"/>
      <c r="I493" s="6"/>
      <c r="J493" s="6"/>
      <c r="K493" s="51"/>
      <c r="L493" s="51"/>
      <c r="M493" s="51"/>
      <c r="N493" s="51"/>
      <c r="O493" s="51"/>
      <c r="P493" s="51"/>
      <c r="Q493" s="51"/>
      <c r="R493" s="51"/>
      <c r="S493" s="51"/>
      <c r="T493" s="51"/>
      <c r="U493" s="51"/>
      <c r="V493" s="51"/>
      <c r="W493" s="51"/>
      <c r="X493" s="51"/>
      <c r="Y493" s="51"/>
      <c r="Z493" s="51"/>
      <c r="AA493" s="51"/>
      <c r="AB493" s="51"/>
    </row>
    <row r="494" customFormat="false" ht="15.75" hidden="false" customHeight="false" outlineLevel="0" collapsed="false">
      <c r="A494" s="51"/>
      <c r="B494" s="51"/>
      <c r="C494" s="6"/>
      <c r="D494" s="49"/>
      <c r="E494" s="51"/>
      <c r="F494" s="6"/>
      <c r="G494" s="6"/>
      <c r="H494" s="6"/>
      <c r="I494" s="6"/>
      <c r="J494" s="6"/>
      <c r="K494" s="51"/>
      <c r="L494" s="51"/>
      <c r="M494" s="51"/>
      <c r="N494" s="51"/>
      <c r="O494" s="51"/>
      <c r="P494" s="51"/>
      <c r="Q494" s="51"/>
      <c r="R494" s="51"/>
      <c r="S494" s="51"/>
      <c r="T494" s="51"/>
      <c r="U494" s="51"/>
      <c r="V494" s="51"/>
      <c r="W494" s="51"/>
      <c r="X494" s="51"/>
      <c r="Y494" s="51"/>
      <c r="Z494" s="51"/>
      <c r="AA494" s="51"/>
      <c r="AB494" s="51"/>
    </row>
    <row r="495" customFormat="false" ht="15.75" hidden="false" customHeight="false" outlineLevel="0" collapsed="false">
      <c r="A495" s="51"/>
      <c r="B495" s="51"/>
      <c r="C495" s="6"/>
      <c r="D495" s="49"/>
      <c r="E495" s="51"/>
      <c r="F495" s="6"/>
      <c r="G495" s="6"/>
      <c r="H495" s="6"/>
      <c r="I495" s="6"/>
      <c r="J495" s="6"/>
      <c r="K495" s="51"/>
      <c r="L495" s="51"/>
      <c r="M495" s="51"/>
      <c r="N495" s="51"/>
      <c r="O495" s="51"/>
      <c r="P495" s="51"/>
      <c r="Q495" s="51"/>
      <c r="R495" s="51"/>
      <c r="S495" s="51"/>
      <c r="T495" s="51"/>
      <c r="U495" s="51"/>
      <c r="V495" s="51"/>
      <c r="W495" s="51"/>
      <c r="X495" s="51"/>
      <c r="Y495" s="51"/>
      <c r="Z495" s="51"/>
      <c r="AA495" s="51"/>
      <c r="AB495" s="51"/>
    </row>
    <row r="496" customFormat="false" ht="15.75" hidden="false" customHeight="false" outlineLevel="0" collapsed="false">
      <c r="A496" s="51"/>
      <c r="B496" s="51"/>
      <c r="C496" s="6"/>
      <c r="D496" s="49"/>
      <c r="E496" s="51"/>
      <c r="F496" s="6"/>
      <c r="G496" s="6"/>
      <c r="H496" s="6"/>
      <c r="I496" s="6"/>
      <c r="J496" s="6"/>
      <c r="K496" s="51"/>
      <c r="L496" s="51"/>
      <c r="M496" s="51"/>
      <c r="N496" s="51"/>
      <c r="O496" s="51"/>
      <c r="P496" s="51"/>
      <c r="Q496" s="51"/>
      <c r="R496" s="51"/>
      <c r="S496" s="51"/>
      <c r="T496" s="51"/>
      <c r="U496" s="51"/>
      <c r="V496" s="51"/>
      <c r="W496" s="51"/>
      <c r="X496" s="51"/>
      <c r="Y496" s="51"/>
      <c r="Z496" s="51"/>
      <c r="AA496" s="51"/>
      <c r="AB496" s="51"/>
    </row>
    <row r="497" customFormat="false" ht="15.75" hidden="false" customHeight="false" outlineLevel="0" collapsed="false">
      <c r="A497" s="51"/>
      <c r="B497" s="51"/>
      <c r="C497" s="6"/>
      <c r="D497" s="49"/>
      <c r="E497" s="51"/>
      <c r="F497" s="6"/>
      <c r="G497" s="6"/>
      <c r="H497" s="6"/>
      <c r="I497" s="6"/>
      <c r="J497" s="6"/>
      <c r="K497" s="51"/>
      <c r="L497" s="51"/>
      <c r="M497" s="51"/>
      <c r="N497" s="51"/>
      <c r="O497" s="51"/>
      <c r="P497" s="51"/>
      <c r="Q497" s="51"/>
      <c r="R497" s="51"/>
      <c r="S497" s="51"/>
      <c r="T497" s="51"/>
      <c r="U497" s="51"/>
      <c r="V497" s="51"/>
      <c r="W497" s="51"/>
      <c r="X497" s="51"/>
      <c r="Y497" s="51"/>
      <c r="Z497" s="51"/>
      <c r="AA497" s="51"/>
      <c r="AB497" s="51"/>
    </row>
    <row r="498" customFormat="false" ht="15.75" hidden="false" customHeight="false" outlineLevel="0" collapsed="false">
      <c r="A498" s="51"/>
      <c r="B498" s="51"/>
      <c r="C498" s="6"/>
      <c r="D498" s="49"/>
      <c r="E498" s="51"/>
      <c r="F498" s="6"/>
      <c r="G498" s="6"/>
      <c r="H498" s="6"/>
      <c r="I498" s="6"/>
      <c r="J498" s="6"/>
      <c r="K498" s="51"/>
      <c r="L498" s="51"/>
      <c r="M498" s="51"/>
      <c r="N498" s="51"/>
      <c r="O498" s="51"/>
      <c r="P498" s="51"/>
      <c r="Q498" s="51"/>
      <c r="R498" s="51"/>
      <c r="S498" s="51"/>
      <c r="T498" s="51"/>
      <c r="U498" s="51"/>
      <c r="V498" s="51"/>
      <c r="W498" s="51"/>
      <c r="X498" s="51"/>
      <c r="Y498" s="51"/>
      <c r="Z498" s="51"/>
      <c r="AA498" s="51"/>
      <c r="AB498" s="51"/>
    </row>
    <row r="499" customFormat="false" ht="15.75" hidden="false" customHeight="false" outlineLevel="0" collapsed="false">
      <c r="A499" s="51"/>
      <c r="B499" s="51"/>
      <c r="C499" s="6"/>
      <c r="D499" s="49"/>
      <c r="E499" s="51"/>
      <c r="F499" s="6"/>
      <c r="G499" s="6"/>
      <c r="H499" s="6"/>
      <c r="I499" s="6"/>
      <c r="J499" s="6"/>
      <c r="K499" s="51"/>
      <c r="L499" s="51"/>
      <c r="M499" s="51"/>
      <c r="N499" s="51"/>
      <c r="O499" s="51"/>
      <c r="P499" s="51"/>
      <c r="Q499" s="51"/>
      <c r="R499" s="51"/>
      <c r="S499" s="51"/>
      <c r="T499" s="51"/>
      <c r="U499" s="51"/>
      <c r="V499" s="51"/>
      <c r="W499" s="51"/>
      <c r="X499" s="51"/>
      <c r="Y499" s="51"/>
      <c r="Z499" s="51"/>
      <c r="AA499" s="51"/>
      <c r="AB499" s="51"/>
    </row>
    <row r="500" customFormat="false" ht="15.75" hidden="false" customHeight="false" outlineLevel="0" collapsed="false">
      <c r="A500" s="51"/>
      <c r="B500" s="51"/>
      <c r="C500" s="6"/>
      <c r="D500" s="49"/>
      <c r="E500" s="51"/>
      <c r="F500" s="6"/>
      <c r="G500" s="6"/>
      <c r="H500" s="6"/>
      <c r="I500" s="6"/>
      <c r="J500" s="6"/>
      <c r="K500" s="51"/>
      <c r="L500" s="51"/>
      <c r="M500" s="51"/>
      <c r="N500" s="51"/>
      <c r="O500" s="51"/>
      <c r="P500" s="51"/>
      <c r="Q500" s="51"/>
      <c r="R500" s="51"/>
      <c r="S500" s="51"/>
      <c r="T500" s="51"/>
      <c r="U500" s="51"/>
      <c r="V500" s="51"/>
      <c r="W500" s="51"/>
      <c r="X500" s="51"/>
      <c r="Y500" s="51"/>
      <c r="Z500" s="51"/>
      <c r="AA500" s="51"/>
      <c r="AB500" s="51"/>
    </row>
    <row r="501" customFormat="false" ht="15.75" hidden="false" customHeight="false" outlineLevel="0" collapsed="false">
      <c r="A501" s="51"/>
      <c r="B501" s="51"/>
      <c r="C501" s="6"/>
      <c r="D501" s="49"/>
      <c r="E501" s="51"/>
      <c r="F501" s="6"/>
      <c r="G501" s="6"/>
      <c r="H501" s="6"/>
      <c r="I501" s="6"/>
      <c r="J501" s="6"/>
      <c r="K501" s="51"/>
      <c r="L501" s="51"/>
      <c r="M501" s="51"/>
      <c r="N501" s="51"/>
      <c r="O501" s="51"/>
      <c r="P501" s="51"/>
      <c r="Q501" s="51"/>
      <c r="R501" s="51"/>
      <c r="S501" s="51"/>
      <c r="T501" s="51"/>
      <c r="U501" s="51"/>
      <c r="V501" s="51"/>
      <c r="W501" s="51"/>
      <c r="X501" s="51"/>
      <c r="Y501" s="51"/>
      <c r="Z501" s="51"/>
      <c r="AA501" s="51"/>
      <c r="AB501" s="51"/>
    </row>
    <row r="502" customFormat="false" ht="15.75" hidden="false" customHeight="false" outlineLevel="0" collapsed="false">
      <c r="A502" s="51"/>
      <c r="B502" s="51"/>
      <c r="C502" s="6"/>
      <c r="D502" s="49"/>
      <c r="E502" s="51"/>
      <c r="F502" s="6"/>
      <c r="G502" s="6"/>
      <c r="H502" s="6"/>
      <c r="I502" s="6"/>
      <c r="J502" s="6"/>
      <c r="K502" s="51"/>
      <c r="L502" s="51"/>
      <c r="M502" s="51"/>
      <c r="N502" s="51"/>
      <c r="O502" s="51"/>
      <c r="P502" s="51"/>
      <c r="Q502" s="51"/>
      <c r="R502" s="51"/>
      <c r="S502" s="51"/>
      <c r="T502" s="51"/>
      <c r="U502" s="51"/>
      <c r="V502" s="51"/>
      <c r="W502" s="51"/>
      <c r="X502" s="51"/>
      <c r="Y502" s="51"/>
      <c r="Z502" s="51"/>
      <c r="AA502" s="51"/>
      <c r="AB502" s="51"/>
    </row>
    <row r="503" customFormat="false" ht="15.75" hidden="false" customHeight="false" outlineLevel="0" collapsed="false">
      <c r="A503" s="51"/>
      <c r="B503" s="51"/>
      <c r="C503" s="6"/>
      <c r="D503" s="49"/>
      <c r="E503" s="51"/>
      <c r="F503" s="6"/>
      <c r="G503" s="6"/>
      <c r="H503" s="6"/>
      <c r="I503" s="6"/>
      <c r="J503" s="6"/>
      <c r="K503" s="51"/>
      <c r="L503" s="51"/>
      <c r="M503" s="51"/>
      <c r="N503" s="51"/>
      <c r="O503" s="51"/>
      <c r="P503" s="51"/>
      <c r="Q503" s="51"/>
      <c r="R503" s="51"/>
      <c r="S503" s="51"/>
      <c r="T503" s="51"/>
      <c r="U503" s="51"/>
      <c r="V503" s="51"/>
      <c r="W503" s="51"/>
      <c r="X503" s="51"/>
      <c r="Y503" s="51"/>
      <c r="Z503" s="51"/>
      <c r="AA503" s="51"/>
      <c r="AB503" s="51"/>
    </row>
    <row r="504" customFormat="false" ht="15.75" hidden="false" customHeight="false" outlineLevel="0" collapsed="false">
      <c r="A504" s="51"/>
      <c r="B504" s="51"/>
      <c r="C504" s="6"/>
      <c r="D504" s="49"/>
      <c r="E504" s="51"/>
      <c r="F504" s="6"/>
      <c r="G504" s="6"/>
      <c r="H504" s="6"/>
      <c r="I504" s="6"/>
      <c r="J504" s="6"/>
      <c r="K504" s="51"/>
      <c r="L504" s="51"/>
      <c r="M504" s="51"/>
      <c r="N504" s="51"/>
      <c r="O504" s="51"/>
      <c r="P504" s="51"/>
      <c r="Q504" s="51"/>
      <c r="R504" s="51"/>
      <c r="S504" s="51"/>
      <c r="T504" s="51"/>
      <c r="U504" s="51"/>
      <c r="V504" s="51"/>
      <c r="W504" s="51"/>
      <c r="X504" s="51"/>
      <c r="Y504" s="51"/>
      <c r="Z504" s="51"/>
      <c r="AA504" s="51"/>
      <c r="AB504" s="51"/>
    </row>
    <row r="505" customFormat="false" ht="15.75" hidden="false" customHeight="false" outlineLevel="0" collapsed="false">
      <c r="A505" s="51"/>
      <c r="B505" s="51"/>
      <c r="C505" s="6"/>
      <c r="D505" s="49"/>
      <c r="E505" s="51"/>
      <c r="F505" s="6"/>
      <c r="G505" s="6"/>
      <c r="H505" s="6"/>
      <c r="I505" s="6"/>
      <c r="J505" s="6"/>
      <c r="K505" s="51"/>
      <c r="L505" s="51"/>
      <c r="M505" s="51"/>
      <c r="N505" s="51"/>
      <c r="O505" s="51"/>
      <c r="P505" s="51"/>
      <c r="Q505" s="51"/>
      <c r="R505" s="51"/>
      <c r="S505" s="51"/>
      <c r="T505" s="51"/>
      <c r="U505" s="51"/>
      <c r="V505" s="51"/>
      <c r="W505" s="51"/>
      <c r="X505" s="51"/>
      <c r="Y505" s="51"/>
      <c r="Z505" s="51"/>
      <c r="AA505" s="51"/>
      <c r="AB505" s="51"/>
    </row>
    <row r="506" customFormat="false" ht="15.75" hidden="false" customHeight="false" outlineLevel="0" collapsed="false">
      <c r="A506" s="51"/>
      <c r="B506" s="51"/>
      <c r="C506" s="6"/>
      <c r="D506" s="49"/>
      <c r="E506" s="51"/>
      <c r="F506" s="6"/>
      <c r="G506" s="6"/>
      <c r="H506" s="6"/>
      <c r="I506" s="6"/>
      <c r="J506" s="6"/>
      <c r="K506" s="51"/>
      <c r="L506" s="51"/>
      <c r="M506" s="51"/>
      <c r="N506" s="51"/>
      <c r="O506" s="51"/>
      <c r="P506" s="51"/>
      <c r="Q506" s="51"/>
      <c r="R506" s="51"/>
      <c r="S506" s="51"/>
      <c r="T506" s="51"/>
      <c r="U506" s="51"/>
      <c r="V506" s="51"/>
      <c r="W506" s="51"/>
      <c r="X506" s="51"/>
      <c r="Y506" s="51"/>
      <c r="Z506" s="51"/>
      <c r="AA506" s="51"/>
      <c r="AB506" s="51"/>
    </row>
    <row r="507" customFormat="false" ht="15.75" hidden="false" customHeight="false" outlineLevel="0" collapsed="false">
      <c r="A507" s="51"/>
      <c r="B507" s="51"/>
      <c r="C507" s="6"/>
      <c r="D507" s="49"/>
      <c r="E507" s="51"/>
      <c r="F507" s="6"/>
      <c r="G507" s="6"/>
      <c r="H507" s="6"/>
      <c r="I507" s="6"/>
      <c r="J507" s="6"/>
      <c r="K507" s="51"/>
      <c r="L507" s="51"/>
      <c r="M507" s="51"/>
      <c r="N507" s="51"/>
      <c r="O507" s="51"/>
      <c r="P507" s="51"/>
      <c r="Q507" s="51"/>
      <c r="R507" s="51"/>
      <c r="S507" s="51"/>
      <c r="T507" s="51"/>
      <c r="U507" s="51"/>
      <c r="V507" s="51"/>
      <c r="W507" s="51"/>
      <c r="X507" s="51"/>
      <c r="Y507" s="51"/>
      <c r="Z507" s="51"/>
      <c r="AA507" s="51"/>
      <c r="AB507" s="51"/>
    </row>
    <row r="508" customFormat="false" ht="15.75" hidden="false" customHeight="false" outlineLevel="0" collapsed="false">
      <c r="A508" s="51"/>
      <c r="B508" s="51"/>
      <c r="C508" s="6"/>
      <c r="D508" s="49"/>
      <c r="E508" s="51"/>
      <c r="F508" s="6"/>
      <c r="G508" s="6"/>
      <c r="H508" s="6"/>
      <c r="I508" s="6"/>
      <c r="J508" s="6"/>
      <c r="K508" s="51"/>
      <c r="L508" s="51"/>
      <c r="M508" s="51"/>
      <c r="N508" s="51"/>
      <c r="O508" s="51"/>
      <c r="P508" s="51"/>
      <c r="Q508" s="51"/>
      <c r="R508" s="51"/>
      <c r="S508" s="51"/>
      <c r="T508" s="51"/>
      <c r="U508" s="51"/>
      <c r="V508" s="51"/>
      <c r="W508" s="51"/>
      <c r="X508" s="51"/>
      <c r="Y508" s="51"/>
      <c r="Z508" s="51"/>
      <c r="AA508" s="51"/>
      <c r="AB508" s="51"/>
    </row>
    <row r="509" customFormat="false" ht="15.75" hidden="false" customHeight="false" outlineLevel="0" collapsed="false">
      <c r="A509" s="51"/>
      <c r="B509" s="51"/>
      <c r="C509" s="6"/>
      <c r="D509" s="49"/>
      <c r="E509" s="51"/>
      <c r="F509" s="6"/>
      <c r="G509" s="6"/>
      <c r="H509" s="6"/>
      <c r="I509" s="6"/>
      <c r="J509" s="6"/>
      <c r="K509" s="51"/>
      <c r="L509" s="51"/>
      <c r="M509" s="51"/>
      <c r="N509" s="51"/>
      <c r="O509" s="51"/>
      <c r="P509" s="51"/>
      <c r="Q509" s="51"/>
      <c r="R509" s="51"/>
      <c r="S509" s="51"/>
      <c r="T509" s="51"/>
      <c r="U509" s="51"/>
      <c r="V509" s="51"/>
      <c r="W509" s="51"/>
      <c r="X509" s="51"/>
      <c r="Y509" s="51"/>
      <c r="Z509" s="51"/>
      <c r="AA509" s="51"/>
      <c r="AB509" s="51"/>
    </row>
    <row r="510" customFormat="false" ht="15.75" hidden="false" customHeight="false" outlineLevel="0" collapsed="false">
      <c r="A510" s="51"/>
      <c r="B510" s="51"/>
      <c r="C510" s="6"/>
      <c r="D510" s="49"/>
      <c r="E510" s="51"/>
      <c r="F510" s="6"/>
      <c r="G510" s="6"/>
      <c r="H510" s="6"/>
      <c r="I510" s="6"/>
      <c r="J510" s="6"/>
      <c r="K510" s="51"/>
      <c r="L510" s="51"/>
      <c r="M510" s="51"/>
      <c r="N510" s="51"/>
      <c r="O510" s="51"/>
      <c r="P510" s="51"/>
      <c r="Q510" s="51"/>
      <c r="R510" s="51"/>
      <c r="S510" s="51"/>
      <c r="T510" s="51"/>
      <c r="U510" s="51"/>
      <c r="V510" s="51"/>
      <c r="W510" s="51"/>
      <c r="X510" s="51"/>
      <c r="Y510" s="51"/>
      <c r="Z510" s="51"/>
      <c r="AA510" s="51"/>
      <c r="AB510" s="51"/>
    </row>
    <row r="511" customFormat="false" ht="15.75" hidden="false" customHeight="false" outlineLevel="0" collapsed="false">
      <c r="A511" s="51"/>
      <c r="B511" s="51"/>
      <c r="C511" s="6"/>
      <c r="D511" s="49"/>
      <c r="E511" s="51"/>
      <c r="F511" s="6"/>
      <c r="G511" s="6"/>
      <c r="H511" s="6"/>
      <c r="I511" s="6"/>
      <c r="J511" s="6"/>
      <c r="K511" s="51"/>
      <c r="L511" s="51"/>
      <c r="M511" s="51"/>
      <c r="N511" s="51"/>
      <c r="O511" s="51"/>
      <c r="P511" s="51"/>
      <c r="Q511" s="51"/>
      <c r="R511" s="51"/>
      <c r="S511" s="51"/>
      <c r="T511" s="51"/>
      <c r="U511" s="51"/>
      <c r="V511" s="51"/>
      <c r="W511" s="51"/>
      <c r="X511" s="51"/>
      <c r="Y511" s="51"/>
      <c r="Z511" s="51"/>
      <c r="AA511" s="51"/>
      <c r="AB511" s="51"/>
    </row>
    <row r="512" customFormat="false" ht="15.75" hidden="false" customHeight="false" outlineLevel="0" collapsed="false">
      <c r="A512" s="51"/>
      <c r="B512" s="51"/>
      <c r="C512" s="6"/>
      <c r="D512" s="49"/>
      <c r="E512" s="51"/>
      <c r="F512" s="6"/>
      <c r="G512" s="6"/>
      <c r="H512" s="6"/>
      <c r="I512" s="6"/>
      <c r="J512" s="6"/>
      <c r="K512" s="51"/>
      <c r="L512" s="51"/>
      <c r="M512" s="51"/>
      <c r="N512" s="51"/>
      <c r="O512" s="51"/>
      <c r="P512" s="51"/>
      <c r="Q512" s="51"/>
      <c r="R512" s="51"/>
      <c r="S512" s="51"/>
      <c r="T512" s="51"/>
      <c r="U512" s="51"/>
      <c r="V512" s="51"/>
      <c r="W512" s="51"/>
      <c r="X512" s="51"/>
      <c r="Y512" s="51"/>
      <c r="Z512" s="51"/>
      <c r="AA512" s="51"/>
      <c r="AB512" s="51"/>
    </row>
    <row r="513" customFormat="false" ht="15.75" hidden="false" customHeight="false" outlineLevel="0" collapsed="false">
      <c r="A513" s="51"/>
      <c r="B513" s="51"/>
      <c r="C513" s="6"/>
      <c r="D513" s="49"/>
      <c r="E513" s="51"/>
      <c r="F513" s="6"/>
      <c r="G513" s="6"/>
      <c r="H513" s="6"/>
      <c r="I513" s="6"/>
      <c r="J513" s="6"/>
      <c r="K513" s="51"/>
      <c r="L513" s="51"/>
      <c r="M513" s="51"/>
      <c r="N513" s="51"/>
      <c r="O513" s="51"/>
      <c r="P513" s="51"/>
      <c r="Q513" s="51"/>
      <c r="R513" s="51"/>
      <c r="S513" s="51"/>
      <c r="T513" s="51"/>
      <c r="U513" s="51"/>
      <c r="V513" s="51"/>
      <c r="W513" s="51"/>
      <c r="X513" s="51"/>
      <c r="Y513" s="51"/>
      <c r="Z513" s="51"/>
      <c r="AA513" s="51"/>
      <c r="AB513" s="51"/>
    </row>
    <row r="514" customFormat="false" ht="15.75" hidden="false" customHeight="false" outlineLevel="0" collapsed="false">
      <c r="A514" s="51"/>
      <c r="B514" s="51"/>
      <c r="C514" s="6"/>
      <c r="D514" s="49"/>
      <c r="E514" s="51"/>
      <c r="F514" s="6"/>
      <c r="G514" s="6"/>
      <c r="H514" s="6"/>
      <c r="I514" s="6"/>
      <c r="J514" s="6"/>
      <c r="K514" s="51"/>
      <c r="L514" s="51"/>
      <c r="M514" s="51"/>
      <c r="N514" s="51"/>
      <c r="O514" s="51"/>
      <c r="P514" s="51"/>
      <c r="Q514" s="51"/>
      <c r="R514" s="51"/>
      <c r="S514" s="51"/>
      <c r="T514" s="51"/>
      <c r="U514" s="51"/>
      <c r="V514" s="51"/>
      <c r="W514" s="51"/>
      <c r="X514" s="51"/>
      <c r="Y514" s="51"/>
      <c r="Z514" s="51"/>
      <c r="AA514" s="51"/>
      <c r="AB514" s="51"/>
    </row>
    <row r="515" customFormat="false" ht="15.75" hidden="false" customHeight="false" outlineLevel="0" collapsed="false">
      <c r="A515" s="51"/>
      <c r="B515" s="51"/>
      <c r="C515" s="6"/>
      <c r="D515" s="49"/>
      <c r="E515" s="51"/>
      <c r="F515" s="6"/>
      <c r="G515" s="6"/>
      <c r="H515" s="6"/>
      <c r="I515" s="6"/>
      <c r="J515" s="6"/>
      <c r="K515" s="51"/>
      <c r="L515" s="51"/>
      <c r="M515" s="51"/>
      <c r="N515" s="51"/>
      <c r="O515" s="51"/>
      <c r="P515" s="51"/>
      <c r="Q515" s="51"/>
      <c r="R515" s="51"/>
      <c r="S515" s="51"/>
      <c r="T515" s="51"/>
      <c r="U515" s="51"/>
      <c r="V515" s="51"/>
      <c r="W515" s="51"/>
      <c r="X515" s="51"/>
      <c r="Y515" s="51"/>
      <c r="Z515" s="51"/>
      <c r="AA515" s="51"/>
      <c r="AB515" s="51"/>
    </row>
    <row r="516" customFormat="false" ht="15.75" hidden="false" customHeight="false" outlineLevel="0" collapsed="false">
      <c r="A516" s="51"/>
      <c r="B516" s="51"/>
      <c r="C516" s="6"/>
      <c r="D516" s="49"/>
      <c r="E516" s="51"/>
      <c r="F516" s="6"/>
      <c r="G516" s="6"/>
      <c r="H516" s="6"/>
      <c r="I516" s="6"/>
      <c r="J516" s="6"/>
      <c r="K516" s="51"/>
      <c r="L516" s="51"/>
      <c r="M516" s="51"/>
      <c r="N516" s="51"/>
      <c r="O516" s="51"/>
      <c r="P516" s="51"/>
      <c r="Q516" s="51"/>
      <c r="R516" s="51"/>
      <c r="S516" s="51"/>
      <c r="T516" s="51"/>
      <c r="U516" s="51"/>
      <c r="V516" s="51"/>
      <c r="W516" s="51"/>
      <c r="X516" s="51"/>
      <c r="Y516" s="51"/>
      <c r="Z516" s="51"/>
      <c r="AA516" s="51"/>
      <c r="AB516" s="51"/>
    </row>
    <row r="517" customFormat="false" ht="15.75" hidden="false" customHeight="false" outlineLevel="0" collapsed="false">
      <c r="A517" s="51"/>
      <c r="B517" s="51"/>
      <c r="C517" s="6"/>
      <c r="D517" s="49"/>
      <c r="E517" s="51"/>
      <c r="F517" s="6"/>
      <c r="G517" s="6"/>
      <c r="H517" s="6"/>
      <c r="I517" s="6"/>
      <c r="J517" s="6"/>
      <c r="K517" s="51"/>
      <c r="L517" s="51"/>
      <c r="M517" s="51"/>
      <c r="N517" s="51"/>
      <c r="O517" s="51"/>
      <c r="P517" s="51"/>
      <c r="Q517" s="51"/>
      <c r="R517" s="51"/>
      <c r="S517" s="51"/>
      <c r="T517" s="51"/>
      <c r="U517" s="51"/>
      <c r="V517" s="51"/>
      <c r="W517" s="51"/>
      <c r="X517" s="51"/>
      <c r="Y517" s="51"/>
      <c r="Z517" s="51"/>
      <c r="AA517" s="51"/>
      <c r="AB517" s="51"/>
    </row>
    <row r="518" customFormat="false" ht="15.75" hidden="false" customHeight="false" outlineLevel="0" collapsed="false">
      <c r="A518" s="51"/>
      <c r="B518" s="51"/>
      <c r="C518" s="6"/>
      <c r="D518" s="49"/>
      <c r="E518" s="51"/>
      <c r="F518" s="6"/>
      <c r="G518" s="6"/>
      <c r="H518" s="6"/>
      <c r="I518" s="6"/>
      <c r="J518" s="6"/>
      <c r="K518" s="51"/>
      <c r="L518" s="51"/>
      <c r="M518" s="51"/>
      <c r="N518" s="51"/>
      <c r="O518" s="51"/>
      <c r="P518" s="51"/>
      <c r="Q518" s="51"/>
      <c r="R518" s="51"/>
      <c r="S518" s="51"/>
      <c r="T518" s="51"/>
      <c r="U518" s="51"/>
      <c r="V518" s="51"/>
      <c r="W518" s="51"/>
      <c r="X518" s="51"/>
      <c r="Y518" s="51"/>
      <c r="Z518" s="51"/>
      <c r="AA518" s="51"/>
      <c r="AB518" s="51"/>
    </row>
    <row r="519" customFormat="false" ht="15.75" hidden="false" customHeight="false" outlineLevel="0" collapsed="false">
      <c r="A519" s="51"/>
      <c r="B519" s="51"/>
      <c r="C519" s="6"/>
      <c r="D519" s="49"/>
      <c r="E519" s="51"/>
      <c r="F519" s="6"/>
      <c r="G519" s="6"/>
      <c r="H519" s="6"/>
      <c r="I519" s="6"/>
      <c r="J519" s="6"/>
      <c r="K519" s="51"/>
      <c r="L519" s="51"/>
      <c r="M519" s="51"/>
      <c r="N519" s="51"/>
      <c r="O519" s="51"/>
      <c r="P519" s="51"/>
      <c r="Q519" s="51"/>
      <c r="R519" s="51"/>
      <c r="S519" s="51"/>
      <c r="T519" s="51"/>
      <c r="U519" s="51"/>
      <c r="V519" s="51"/>
      <c r="W519" s="51"/>
      <c r="X519" s="51"/>
      <c r="Y519" s="51"/>
      <c r="Z519" s="51"/>
      <c r="AA519" s="51"/>
      <c r="AB519" s="51"/>
    </row>
    <row r="520" customFormat="false" ht="15.75" hidden="false" customHeight="false" outlineLevel="0" collapsed="false">
      <c r="A520" s="51"/>
      <c r="B520" s="51"/>
      <c r="C520" s="6"/>
      <c r="D520" s="49"/>
      <c r="E520" s="51"/>
      <c r="F520" s="6"/>
      <c r="G520" s="6"/>
      <c r="H520" s="6"/>
      <c r="I520" s="6"/>
      <c r="J520" s="6"/>
      <c r="K520" s="51"/>
      <c r="L520" s="51"/>
      <c r="M520" s="51"/>
      <c r="N520" s="51"/>
      <c r="O520" s="51"/>
      <c r="P520" s="51"/>
      <c r="Q520" s="51"/>
      <c r="R520" s="51"/>
      <c r="S520" s="51"/>
      <c r="T520" s="51"/>
      <c r="U520" s="51"/>
      <c r="V520" s="51"/>
      <c r="W520" s="51"/>
      <c r="X520" s="51"/>
      <c r="Y520" s="51"/>
      <c r="Z520" s="51"/>
      <c r="AA520" s="51"/>
      <c r="AB520" s="51"/>
    </row>
    <row r="521" customFormat="false" ht="15.75" hidden="false" customHeight="false" outlineLevel="0" collapsed="false">
      <c r="A521" s="51"/>
      <c r="B521" s="51"/>
      <c r="C521" s="6"/>
      <c r="D521" s="49"/>
      <c r="E521" s="51"/>
      <c r="F521" s="6"/>
      <c r="G521" s="6"/>
      <c r="H521" s="6"/>
      <c r="I521" s="6"/>
      <c r="J521" s="6"/>
      <c r="K521" s="51"/>
      <c r="L521" s="51"/>
      <c r="M521" s="51"/>
      <c r="N521" s="51"/>
      <c r="O521" s="51"/>
      <c r="P521" s="51"/>
      <c r="Q521" s="51"/>
      <c r="R521" s="51"/>
      <c r="S521" s="51"/>
      <c r="T521" s="51"/>
      <c r="U521" s="51"/>
      <c r="V521" s="51"/>
      <c r="W521" s="51"/>
      <c r="X521" s="51"/>
      <c r="Y521" s="51"/>
      <c r="Z521" s="51"/>
      <c r="AA521" s="51"/>
      <c r="AB521" s="51"/>
    </row>
    <row r="522" customFormat="false" ht="15.75" hidden="false" customHeight="false" outlineLevel="0" collapsed="false">
      <c r="A522" s="51"/>
      <c r="B522" s="51"/>
      <c r="C522" s="6"/>
      <c r="D522" s="49"/>
      <c r="E522" s="51"/>
      <c r="F522" s="6"/>
      <c r="G522" s="6"/>
      <c r="H522" s="6"/>
      <c r="I522" s="6"/>
      <c r="J522" s="6"/>
      <c r="K522" s="51"/>
      <c r="L522" s="51"/>
      <c r="M522" s="51"/>
      <c r="N522" s="51"/>
      <c r="O522" s="51"/>
      <c r="P522" s="51"/>
      <c r="Q522" s="51"/>
      <c r="R522" s="51"/>
      <c r="S522" s="51"/>
      <c r="T522" s="51"/>
      <c r="U522" s="51"/>
      <c r="V522" s="51"/>
      <c r="W522" s="51"/>
      <c r="X522" s="51"/>
      <c r="Y522" s="51"/>
      <c r="Z522" s="51"/>
      <c r="AA522" s="51"/>
      <c r="AB522" s="51"/>
    </row>
    <row r="523" customFormat="false" ht="15.75" hidden="false" customHeight="false" outlineLevel="0" collapsed="false">
      <c r="A523" s="51"/>
      <c r="B523" s="51"/>
      <c r="C523" s="6"/>
      <c r="D523" s="49"/>
      <c r="E523" s="51"/>
      <c r="F523" s="6"/>
      <c r="G523" s="6"/>
      <c r="H523" s="6"/>
      <c r="I523" s="6"/>
      <c r="J523" s="6"/>
      <c r="K523" s="51"/>
      <c r="L523" s="51"/>
      <c r="M523" s="51"/>
      <c r="N523" s="51"/>
      <c r="O523" s="51"/>
      <c r="P523" s="51"/>
      <c r="Q523" s="51"/>
      <c r="R523" s="51"/>
      <c r="S523" s="51"/>
      <c r="T523" s="51"/>
      <c r="U523" s="51"/>
      <c r="V523" s="51"/>
      <c r="W523" s="51"/>
      <c r="X523" s="51"/>
      <c r="Y523" s="51"/>
      <c r="Z523" s="51"/>
      <c r="AA523" s="51"/>
      <c r="AB523" s="51"/>
    </row>
    <row r="524" customFormat="false" ht="15.75" hidden="false" customHeight="false" outlineLevel="0" collapsed="false">
      <c r="A524" s="51"/>
      <c r="B524" s="51"/>
      <c r="C524" s="6"/>
      <c r="D524" s="49"/>
      <c r="E524" s="51"/>
      <c r="F524" s="6"/>
      <c r="G524" s="6"/>
      <c r="H524" s="6"/>
      <c r="I524" s="6"/>
      <c r="J524" s="6"/>
      <c r="K524" s="51"/>
      <c r="L524" s="51"/>
      <c r="M524" s="51"/>
      <c r="N524" s="51"/>
      <c r="O524" s="51"/>
      <c r="P524" s="51"/>
      <c r="Q524" s="51"/>
      <c r="R524" s="51"/>
      <c r="S524" s="51"/>
      <c r="T524" s="51"/>
      <c r="U524" s="51"/>
      <c r="V524" s="51"/>
      <c r="W524" s="51"/>
      <c r="X524" s="51"/>
      <c r="Y524" s="51"/>
      <c r="Z524" s="51"/>
      <c r="AA524" s="51"/>
      <c r="AB524" s="51"/>
    </row>
    <row r="525" customFormat="false" ht="15.75" hidden="false" customHeight="false" outlineLevel="0" collapsed="false">
      <c r="A525" s="51"/>
      <c r="B525" s="51"/>
      <c r="C525" s="6"/>
      <c r="D525" s="49"/>
      <c r="E525" s="51"/>
      <c r="F525" s="6"/>
      <c r="G525" s="6"/>
      <c r="H525" s="6"/>
      <c r="I525" s="6"/>
      <c r="J525" s="6"/>
      <c r="K525" s="51"/>
      <c r="L525" s="51"/>
      <c r="M525" s="51"/>
      <c r="N525" s="51"/>
      <c r="O525" s="51"/>
      <c r="P525" s="51"/>
      <c r="Q525" s="51"/>
      <c r="R525" s="51"/>
      <c r="S525" s="51"/>
      <c r="T525" s="51"/>
      <c r="U525" s="51"/>
      <c r="V525" s="51"/>
      <c r="W525" s="51"/>
      <c r="X525" s="51"/>
      <c r="Y525" s="51"/>
      <c r="Z525" s="51"/>
      <c r="AA525" s="51"/>
      <c r="AB525" s="51"/>
    </row>
    <row r="526" customFormat="false" ht="15.75" hidden="false" customHeight="false" outlineLevel="0" collapsed="false">
      <c r="A526" s="51"/>
      <c r="B526" s="51"/>
      <c r="C526" s="6"/>
      <c r="D526" s="49"/>
      <c r="E526" s="51"/>
      <c r="F526" s="6"/>
      <c r="G526" s="6"/>
      <c r="H526" s="6"/>
      <c r="I526" s="6"/>
      <c r="J526" s="6"/>
      <c r="K526" s="51"/>
      <c r="L526" s="51"/>
      <c r="M526" s="51"/>
      <c r="N526" s="51"/>
      <c r="O526" s="51"/>
      <c r="P526" s="51"/>
      <c r="Q526" s="51"/>
      <c r="R526" s="51"/>
      <c r="S526" s="51"/>
      <c r="T526" s="51"/>
      <c r="U526" s="51"/>
      <c r="V526" s="51"/>
      <c r="W526" s="51"/>
      <c r="X526" s="51"/>
      <c r="Y526" s="51"/>
      <c r="Z526" s="51"/>
      <c r="AA526" s="51"/>
      <c r="AB526" s="51"/>
    </row>
    <row r="527" customFormat="false" ht="15.75" hidden="false" customHeight="false" outlineLevel="0" collapsed="false">
      <c r="A527" s="51"/>
      <c r="B527" s="51"/>
      <c r="C527" s="6"/>
      <c r="D527" s="49"/>
      <c r="E527" s="51"/>
      <c r="F527" s="6"/>
      <c r="G527" s="6"/>
      <c r="H527" s="6"/>
      <c r="I527" s="6"/>
      <c r="J527" s="6"/>
      <c r="K527" s="51"/>
      <c r="L527" s="51"/>
      <c r="M527" s="51"/>
      <c r="N527" s="51"/>
      <c r="O527" s="51"/>
      <c r="P527" s="51"/>
      <c r="Q527" s="51"/>
      <c r="R527" s="51"/>
      <c r="S527" s="51"/>
      <c r="T527" s="51"/>
      <c r="U527" s="51"/>
      <c r="V527" s="51"/>
      <c r="W527" s="51"/>
      <c r="X527" s="51"/>
      <c r="Y527" s="51"/>
      <c r="Z527" s="51"/>
      <c r="AA527" s="51"/>
      <c r="AB527" s="51"/>
    </row>
    <row r="528" customFormat="false" ht="15.75" hidden="false" customHeight="false" outlineLevel="0" collapsed="false">
      <c r="A528" s="51"/>
      <c r="B528" s="51"/>
      <c r="C528" s="6"/>
      <c r="D528" s="49"/>
      <c r="E528" s="51"/>
      <c r="F528" s="6"/>
      <c r="G528" s="6"/>
      <c r="H528" s="6"/>
      <c r="I528" s="6"/>
      <c r="J528" s="6"/>
      <c r="K528" s="51"/>
      <c r="L528" s="51"/>
      <c r="M528" s="51"/>
      <c r="N528" s="51"/>
      <c r="O528" s="51"/>
      <c r="P528" s="51"/>
      <c r="Q528" s="51"/>
      <c r="R528" s="51"/>
      <c r="S528" s="51"/>
      <c r="T528" s="51"/>
      <c r="U528" s="51"/>
      <c r="V528" s="51"/>
      <c r="W528" s="51"/>
      <c r="X528" s="51"/>
      <c r="Y528" s="51"/>
      <c r="Z528" s="51"/>
      <c r="AA528" s="51"/>
      <c r="AB528" s="51"/>
    </row>
    <row r="529" customFormat="false" ht="15.75" hidden="false" customHeight="false" outlineLevel="0" collapsed="false">
      <c r="A529" s="51"/>
      <c r="B529" s="51"/>
      <c r="C529" s="6"/>
      <c r="D529" s="49"/>
      <c r="E529" s="51"/>
      <c r="F529" s="6"/>
      <c r="G529" s="6"/>
      <c r="H529" s="6"/>
      <c r="I529" s="6"/>
      <c r="J529" s="6"/>
      <c r="K529" s="51"/>
      <c r="L529" s="51"/>
      <c r="M529" s="51"/>
      <c r="N529" s="51"/>
      <c r="O529" s="51"/>
      <c r="P529" s="51"/>
      <c r="Q529" s="51"/>
      <c r="R529" s="51"/>
      <c r="S529" s="51"/>
      <c r="T529" s="51"/>
      <c r="U529" s="51"/>
      <c r="V529" s="51"/>
      <c r="W529" s="51"/>
      <c r="X529" s="51"/>
      <c r="Y529" s="51"/>
      <c r="Z529" s="51"/>
      <c r="AA529" s="51"/>
      <c r="AB529" s="51"/>
    </row>
    <row r="530" customFormat="false" ht="15.75" hidden="false" customHeight="false" outlineLevel="0" collapsed="false">
      <c r="A530" s="51"/>
      <c r="B530" s="51"/>
      <c r="C530" s="6"/>
      <c r="D530" s="49"/>
      <c r="E530" s="51"/>
      <c r="F530" s="6"/>
      <c r="G530" s="6"/>
      <c r="H530" s="6"/>
      <c r="I530" s="6"/>
      <c r="J530" s="6"/>
      <c r="K530" s="51"/>
      <c r="L530" s="51"/>
      <c r="M530" s="51"/>
      <c r="N530" s="51"/>
      <c r="O530" s="51"/>
      <c r="P530" s="51"/>
      <c r="Q530" s="51"/>
      <c r="R530" s="51"/>
      <c r="S530" s="51"/>
      <c r="T530" s="51"/>
      <c r="U530" s="51"/>
      <c r="V530" s="51"/>
      <c r="W530" s="51"/>
      <c r="X530" s="51"/>
      <c r="Y530" s="51"/>
      <c r="Z530" s="51"/>
      <c r="AA530" s="51"/>
      <c r="AB530" s="51"/>
    </row>
    <row r="531" customFormat="false" ht="15.75" hidden="false" customHeight="false" outlineLevel="0" collapsed="false">
      <c r="A531" s="51"/>
      <c r="B531" s="51"/>
      <c r="C531" s="6"/>
      <c r="D531" s="49"/>
      <c r="E531" s="51"/>
      <c r="F531" s="6"/>
      <c r="G531" s="6"/>
      <c r="H531" s="6"/>
      <c r="I531" s="6"/>
      <c r="J531" s="6"/>
      <c r="K531" s="51"/>
      <c r="L531" s="51"/>
      <c r="M531" s="51"/>
      <c r="N531" s="51"/>
      <c r="O531" s="51"/>
      <c r="P531" s="51"/>
      <c r="Q531" s="51"/>
      <c r="R531" s="51"/>
      <c r="S531" s="51"/>
      <c r="T531" s="51"/>
      <c r="U531" s="51"/>
      <c r="V531" s="51"/>
      <c r="W531" s="51"/>
      <c r="X531" s="51"/>
      <c r="Y531" s="51"/>
      <c r="Z531" s="51"/>
      <c r="AA531" s="51"/>
      <c r="AB531" s="51"/>
    </row>
    <row r="532" customFormat="false" ht="15.75" hidden="false" customHeight="false" outlineLevel="0" collapsed="false">
      <c r="A532" s="51"/>
      <c r="B532" s="51"/>
      <c r="C532" s="6"/>
      <c r="D532" s="49"/>
      <c r="E532" s="51"/>
      <c r="F532" s="6"/>
      <c r="G532" s="6"/>
      <c r="H532" s="6"/>
      <c r="I532" s="6"/>
      <c r="J532" s="6"/>
      <c r="K532" s="51"/>
      <c r="L532" s="51"/>
      <c r="M532" s="51"/>
      <c r="N532" s="51"/>
      <c r="O532" s="51"/>
      <c r="P532" s="51"/>
      <c r="Q532" s="51"/>
      <c r="R532" s="51"/>
      <c r="S532" s="51"/>
      <c r="T532" s="51"/>
      <c r="U532" s="51"/>
      <c r="V532" s="51"/>
      <c r="W532" s="51"/>
      <c r="X532" s="51"/>
      <c r="Y532" s="51"/>
      <c r="Z532" s="51"/>
      <c r="AA532" s="51"/>
      <c r="AB532" s="51"/>
    </row>
    <row r="533" customFormat="false" ht="15.75" hidden="false" customHeight="false" outlineLevel="0" collapsed="false">
      <c r="A533" s="51"/>
      <c r="B533" s="51"/>
      <c r="C533" s="6"/>
      <c r="D533" s="49"/>
      <c r="E533" s="51"/>
      <c r="F533" s="6"/>
      <c r="G533" s="6"/>
      <c r="H533" s="6"/>
      <c r="I533" s="6"/>
      <c r="J533" s="6"/>
      <c r="K533" s="51"/>
      <c r="L533" s="51"/>
      <c r="M533" s="51"/>
      <c r="N533" s="51"/>
      <c r="O533" s="51"/>
      <c r="P533" s="51"/>
      <c r="Q533" s="51"/>
      <c r="R533" s="51"/>
      <c r="S533" s="51"/>
      <c r="T533" s="51"/>
      <c r="U533" s="51"/>
      <c r="V533" s="51"/>
      <c r="W533" s="51"/>
      <c r="X533" s="51"/>
      <c r="Y533" s="51"/>
      <c r="Z533" s="51"/>
      <c r="AA533" s="51"/>
      <c r="AB533" s="51"/>
    </row>
    <row r="534" customFormat="false" ht="15.75" hidden="false" customHeight="false" outlineLevel="0" collapsed="false">
      <c r="A534" s="51"/>
      <c r="B534" s="51"/>
      <c r="C534" s="6"/>
      <c r="D534" s="49"/>
      <c r="E534" s="51"/>
      <c r="F534" s="6"/>
      <c r="G534" s="6"/>
      <c r="H534" s="6"/>
      <c r="I534" s="6"/>
      <c r="J534" s="6"/>
      <c r="K534" s="51"/>
      <c r="L534" s="51"/>
      <c r="M534" s="51"/>
      <c r="N534" s="51"/>
      <c r="O534" s="51"/>
      <c r="P534" s="51"/>
      <c r="Q534" s="51"/>
      <c r="R534" s="51"/>
      <c r="S534" s="51"/>
      <c r="T534" s="51"/>
      <c r="U534" s="51"/>
      <c r="V534" s="51"/>
      <c r="W534" s="51"/>
      <c r="X534" s="51"/>
      <c r="Y534" s="51"/>
      <c r="Z534" s="51"/>
      <c r="AA534" s="51"/>
      <c r="AB534" s="51"/>
    </row>
    <row r="535" customFormat="false" ht="15.75" hidden="false" customHeight="false" outlineLevel="0" collapsed="false">
      <c r="A535" s="51"/>
      <c r="B535" s="51"/>
      <c r="C535" s="6"/>
      <c r="D535" s="49"/>
      <c r="E535" s="51"/>
      <c r="F535" s="6"/>
      <c r="G535" s="6"/>
      <c r="H535" s="6"/>
      <c r="I535" s="6"/>
      <c r="J535" s="6"/>
      <c r="K535" s="51"/>
      <c r="L535" s="51"/>
      <c r="M535" s="51"/>
      <c r="N535" s="51"/>
      <c r="O535" s="51"/>
      <c r="P535" s="51"/>
      <c r="Q535" s="51"/>
      <c r="R535" s="51"/>
      <c r="S535" s="51"/>
      <c r="T535" s="51"/>
      <c r="U535" s="51"/>
      <c r="V535" s="51"/>
      <c r="W535" s="51"/>
      <c r="X535" s="51"/>
      <c r="Y535" s="51"/>
      <c r="Z535" s="51"/>
      <c r="AA535" s="51"/>
      <c r="AB535" s="51"/>
    </row>
    <row r="536" customFormat="false" ht="15.75" hidden="false" customHeight="false" outlineLevel="0" collapsed="false">
      <c r="A536" s="51"/>
      <c r="B536" s="51"/>
      <c r="C536" s="6"/>
      <c r="D536" s="49"/>
      <c r="E536" s="51"/>
      <c r="F536" s="6"/>
      <c r="G536" s="6"/>
      <c r="H536" s="6"/>
      <c r="I536" s="6"/>
      <c r="J536" s="6"/>
      <c r="K536" s="51"/>
      <c r="L536" s="51"/>
      <c r="M536" s="51"/>
      <c r="N536" s="51"/>
      <c r="O536" s="51"/>
      <c r="P536" s="51"/>
      <c r="Q536" s="51"/>
      <c r="R536" s="51"/>
      <c r="S536" s="51"/>
      <c r="T536" s="51"/>
      <c r="U536" s="51"/>
      <c r="V536" s="51"/>
      <c r="W536" s="51"/>
      <c r="X536" s="51"/>
      <c r="Y536" s="51"/>
      <c r="Z536" s="51"/>
      <c r="AA536" s="51"/>
      <c r="AB536" s="51"/>
    </row>
    <row r="537" customFormat="false" ht="15.75" hidden="false" customHeight="false" outlineLevel="0" collapsed="false">
      <c r="A537" s="51"/>
      <c r="B537" s="51"/>
      <c r="C537" s="6"/>
      <c r="D537" s="49"/>
      <c r="E537" s="51"/>
      <c r="F537" s="6"/>
      <c r="G537" s="6"/>
      <c r="H537" s="6"/>
      <c r="I537" s="6"/>
      <c r="J537" s="6"/>
      <c r="K537" s="51"/>
      <c r="L537" s="51"/>
      <c r="M537" s="51"/>
      <c r="N537" s="51"/>
      <c r="O537" s="51"/>
      <c r="P537" s="51"/>
      <c r="Q537" s="51"/>
      <c r="R537" s="51"/>
      <c r="S537" s="51"/>
      <c r="T537" s="51"/>
      <c r="U537" s="51"/>
      <c r="V537" s="51"/>
      <c r="W537" s="51"/>
      <c r="X537" s="51"/>
      <c r="Y537" s="51"/>
      <c r="Z537" s="51"/>
      <c r="AA537" s="51"/>
      <c r="AB537" s="51"/>
    </row>
    <row r="538" customFormat="false" ht="15.75" hidden="false" customHeight="false" outlineLevel="0" collapsed="false">
      <c r="A538" s="51"/>
      <c r="B538" s="51"/>
      <c r="C538" s="6"/>
      <c r="D538" s="49"/>
      <c r="E538" s="51"/>
      <c r="F538" s="6"/>
      <c r="G538" s="6"/>
      <c r="H538" s="6"/>
      <c r="I538" s="6"/>
      <c r="J538" s="6"/>
      <c r="K538" s="51"/>
      <c r="L538" s="51"/>
      <c r="M538" s="51"/>
      <c r="N538" s="51"/>
      <c r="O538" s="51"/>
      <c r="P538" s="51"/>
      <c r="Q538" s="51"/>
      <c r="R538" s="51"/>
      <c r="S538" s="51"/>
      <c r="T538" s="51"/>
      <c r="U538" s="51"/>
      <c r="V538" s="51"/>
      <c r="W538" s="51"/>
      <c r="X538" s="51"/>
      <c r="Y538" s="51"/>
      <c r="Z538" s="51"/>
      <c r="AA538" s="51"/>
      <c r="AB538" s="51"/>
    </row>
    <row r="539" customFormat="false" ht="15.75" hidden="false" customHeight="false" outlineLevel="0" collapsed="false">
      <c r="A539" s="51"/>
      <c r="B539" s="51"/>
      <c r="C539" s="6"/>
      <c r="D539" s="49"/>
      <c r="E539" s="51"/>
      <c r="F539" s="6"/>
      <c r="G539" s="6"/>
      <c r="H539" s="6"/>
      <c r="I539" s="6"/>
      <c r="J539" s="6"/>
      <c r="K539" s="51"/>
      <c r="L539" s="51"/>
      <c r="M539" s="51"/>
      <c r="N539" s="51"/>
      <c r="O539" s="51"/>
      <c r="P539" s="51"/>
      <c r="Q539" s="51"/>
      <c r="R539" s="51"/>
      <c r="S539" s="51"/>
      <c r="T539" s="51"/>
      <c r="U539" s="51"/>
      <c r="V539" s="51"/>
      <c r="W539" s="51"/>
      <c r="X539" s="51"/>
      <c r="Y539" s="51"/>
      <c r="Z539" s="51"/>
      <c r="AA539" s="51"/>
      <c r="AB539" s="51"/>
    </row>
    <row r="540" customFormat="false" ht="15.75" hidden="false" customHeight="false" outlineLevel="0" collapsed="false">
      <c r="A540" s="51"/>
      <c r="B540" s="51"/>
      <c r="C540" s="6"/>
      <c r="D540" s="49"/>
      <c r="E540" s="51"/>
      <c r="F540" s="6"/>
      <c r="G540" s="6"/>
      <c r="H540" s="6"/>
      <c r="I540" s="6"/>
      <c r="J540" s="6"/>
      <c r="K540" s="51"/>
      <c r="L540" s="51"/>
      <c r="M540" s="51"/>
      <c r="N540" s="51"/>
      <c r="O540" s="51"/>
      <c r="P540" s="51"/>
      <c r="Q540" s="51"/>
      <c r="R540" s="51"/>
      <c r="S540" s="51"/>
      <c r="T540" s="51"/>
      <c r="U540" s="51"/>
      <c r="V540" s="51"/>
      <c r="W540" s="51"/>
      <c r="X540" s="51"/>
      <c r="Y540" s="51"/>
      <c r="Z540" s="51"/>
      <c r="AA540" s="51"/>
      <c r="AB540" s="51"/>
    </row>
    <row r="541" customFormat="false" ht="15.75" hidden="false" customHeight="false" outlineLevel="0" collapsed="false">
      <c r="A541" s="51"/>
      <c r="B541" s="51"/>
      <c r="C541" s="6"/>
      <c r="D541" s="49"/>
      <c r="E541" s="51"/>
      <c r="F541" s="6"/>
      <c r="G541" s="6"/>
      <c r="H541" s="6"/>
      <c r="I541" s="6"/>
      <c r="J541" s="6"/>
      <c r="K541" s="51"/>
      <c r="L541" s="51"/>
      <c r="M541" s="51"/>
      <c r="N541" s="51"/>
      <c r="O541" s="51"/>
      <c r="P541" s="51"/>
      <c r="Q541" s="51"/>
      <c r="R541" s="51"/>
      <c r="S541" s="51"/>
      <c r="T541" s="51"/>
      <c r="U541" s="51"/>
      <c r="V541" s="51"/>
      <c r="W541" s="51"/>
      <c r="X541" s="51"/>
      <c r="Y541" s="51"/>
      <c r="Z541" s="51"/>
      <c r="AA541" s="51"/>
      <c r="AB541" s="51"/>
    </row>
    <row r="542" customFormat="false" ht="15.75" hidden="false" customHeight="false" outlineLevel="0" collapsed="false">
      <c r="A542" s="51"/>
      <c r="B542" s="51"/>
      <c r="C542" s="6"/>
      <c r="D542" s="49"/>
      <c r="E542" s="51"/>
      <c r="F542" s="6"/>
      <c r="G542" s="6"/>
      <c r="H542" s="6"/>
      <c r="I542" s="6"/>
      <c r="J542" s="6"/>
      <c r="K542" s="51"/>
      <c r="L542" s="51"/>
      <c r="M542" s="51"/>
      <c r="N542" s="51"/>
      <c r="O542" s="51"/>
      <c r="P542" s="51"/>
      <c r="Q542" s="51"/>
      <c r="R542" s="51"/>
      <c r="S542" s="51"/>
      <c r="T542" s="51"/>
      <c r="U542" s="51"/>
      <c r="V542" s="51"/>
      <c r="W542" s="51"/>
      <c r="X542" s="51"/>
      <c r="Y542" s="51"/>
      <c r="Z542" s="51"/>
      <c r="AA542" s="51"/>
      <c r="AB542" s="51"/>
    </row>
    <row r="543" customFormat="false" ht="15.75" hidden="false" customHeight="false" outlineLevel="0" collapsed="false">
      <c r="A543" s="51"/>
      <c r="B543" s="51"/>
      <c r="C543" s="6"/>
      <c r="D543" s="49"/>
      <c r="E543" s="51"/>
      <c r="F543" s="6"/>
      <c r="G543" s="6"/>
      <c r="H543" s="6"/>
      <c r="I543" s="6"/>
      <c r="J543" s="6"/>
      <c r="K543" s="51"/>
      <c r="L543" s="51"/>
      <c r="M543" s="51"/>
      <c r="N543" s="51"/>
      <c r="O543" s="51"/>
      <c r="P543" s="51"/>
      <c r="Q543" s="51"/>
      <c r="R543" s="51"/>
      <c r="S543" s="51"/>
      <c r="T543" s="51"/>
      <c r="U543" s="51"/>
      <c r="V543" s="51"/>
      <c r="W543" s="51"/>
      <c r="X543" s="51"/>
      <c r="Y543" s="51"/>
      <c r="Z543" s="51"/>
      <c r="AA543" s="51"/>
      <c r="AB543" s="51"/>
    </row>
    <row r="544" customFormat="false" ht="15.75" hidden="false" customHeight="false" outlineLevel="0" collapsed="false">
      <c r="A544" s="51"/>
      <c r="B544" s="51"/>
      <c r="C544" s="6"/>
      <c r="D544" s="49"/>
      <c r="E544" s="51"/>
      <c r="F544" s="6"/>
      <c r="G544" s="6"/>
      <c r="H544" s="6"/>
      <c r="I544" s="6"/>
      <c r="J544" s="6"/>
      <c r="K544" s="51"/>
      <c r="L544" s="51"/>
      <c r="M544" s="51"/>
      <c r="N544" s="51"/>
      <c r="O544" s="51"/>
      <c r="P544" s="51"/>
      <c r="Q544" s="51"/>
      <c r="R544" s="51"/>
      <c r="S544" s="51"/>
      <c r="T544" s="51"/>
      <c r="U544" s="51"/>
      <c r="V544" s="51"/>
      <c r="W544" s="51"/>
      <c r="X544" s="51"/>
      <c r="Y544" s="51"/>
      <c r="Z544" s="51"/>
      <c r="AA544" s="51"/>
      <c r="AB544" s="51"/>
    </row>
    <row r="545" customFormat="false" ht="15.75" hidden="false" customHeight="false" outlineLevel="0" collapsed="false">
      <c r="A545" s="51"/>
      <c r="B545" s="51"/>
      <c r="C545" s="6"/>
      <c r="D545" s="49"/>
      <c r="E545" s="51"/>
      <c r="F545" s="6"/>
      <c r="G545" s="6"/>
      <c r="H545" s="6"/>
      <c r="I545" s="6"/>
      <c r="J545" s="6"/>
      <c r="K545" s="51"/>
      <c r="L545" s="51"/>
      <c r="M545" s="51"/>
      <c r="N545" s="51"/>
      <c r="O545" s="51"/>
      <c r="P545" s="51"/>
      <c r="Q545" s="51"/>
      <c r="R545" s="51"/>
      <c r="S545" s="51"/>
      <c r="T545" s="51"/>
      <c r="U545" s="51"/>
      <c r="V545" s="51"/>
      <c r="W545" s="51"/>
      <c r="X545" s="51"/>
      <c r="Y545" s="51"/>
      <c r="Z545" s="51"/>
      <c r="AA545" s="51"/>
      <c r="AB545" s="51"/>
    </row>
    <row r="546" customFormat="false" ht="15.75" hidden="false" customHeight="false" outlineLevel="0" collapsed="false">
      <c r="A546" s="51"/>
      <c r="B546" s="51"/>
      <c r="C546" s="6"/>
      <c r="D546" s="49"/>
      <c r="E546" s="51"/>
      <c r="F546" s="6"/>
      <c r="G546" s="6"/>
      <c r="H546" s="6"/>
      <c r="I546" s="6"/>
      <c r="J546" s="6"/>
      <c r="K546" s="51"/>
      <c r="L546" s="51"/>
      <c r="M546" s="51"/>
      <c r="N546" s="51"/>
      <c r="O546" s="51"/>
      <c r="P546" s="51"/>
      <c r="Q546" s="51"/>
      <c r="R546" s="51"/>
      <c r="S546" s="51"/>
      <c r="T546" s="51"/>
      <c r="U546" s="51"/>
      <c r="V546" s="51"/>
      <c r="W546" s="51"/>
      <c r="X546" s="51"/>
      <c r="Y546" s="51"/>
      <c r="Z546" s="51"/>
      <c r="AA546" s="51"/>
      <c r="AB546" s="51"/>
    </row>
    <row r="547" customFormat="false" ht="15.75" hidden="false" customHeight="false" outlineLevel="0" collapsed="false">
      <c r="A547" s="51"/>
      <c r="B547" s="51"/>
      <c r="C547" s="6"/>
      <c r="D547" s="49"/>
      <c r="E547" s="51"/>
      <c r="F547" s="6"/>
      <c r="G547" s="6"/>
      <c r="H547" s="6"/>
      <c r="I547" s="6"/>
      <c r="J547" s="6"/>
      <c r="K547" s="51"/>
      <c r="L547" s="51"/>
      <c r="M547" s="51"/>
      <c r="N547" s="51"/>
      <c r="O547" s="51"/>
      <c r="P547" s="51"/>
      <c r="Q547" s="51"/>
      <c r="R547" s="51"/>
      <c r="S547" s="51"/>
      <c r="T547" s="51"/>
      <c r="U547" s="51"/>
      <c r="V547" s="51"/>
      <c r="W547" s="51"/>
      <c r="X547" s="51"/>
      <c r="Y547" s="51"/>
      <c r="Z547" s="51"/>
      <c r="AA547" s="51"/>
      <c r="AB547" s="51"/>
    </row>
    <row r="548" customFormat="false" ht="15.75" hidden="false" customHeight="false" outlineLevel="0" collapsed="false">
      <c r="A548" s="51"/>
      <c r="B548" s="51"/>
      <c r="C548" s="6"/>
      <c r="D548" s="49"/>
      <c r="E548" s="51"/>
      <c r="F548" s="6"/>
      <c r="G548" s="6"/>
      <c r="H548" s="6"/>
      <c r="I548" s="6"/>
      <c r="J548" s="6"/>
      <c r="K548" s="51"/>
      <c r="L548" s="51"/>
      <c r="M548" s="51"/>
      <c r="N548" s="51"/>
      <c r="O548" s="51"/>
      <c r="P548" s="51"/>
      <c r="Q548" s="51"/>
      <c r="R548" s="51"/>
      <c r="S548" s="51"/>
      <c r="T548" s="51"/>
      <c r="U548" s="51"/>
      <c r="V548" s="51"/>
      <c r="W548" s="51"/>
      <c r="X548" s="51"/>
      <c r="Y548" s="51"/>
      <c r="Z548" s="51"/>
      <c r="AA548" s="51"/>
      <c r="AB548" s="51"/>
    </row>
    <row r="549" customFormat="false" ht="15.75" hidden="false" customHeight="false" outlineLevel="0" collapsed="false">
      <c r="A549" s="51"/>
      <c r="B549" s="51"/>
      <c r="C549" s="6"/>
      <c r="D549" s="49"/>
      <c r="E549" s="51"/>
      <c r="F549" s="6"/>
      <c r="G549" s="6"/>
      <c r="H549" s="6"/>
      <c r="I549" s="6"/>
      <c r="J549" s="6"/>
      <c r="K549" s="51"/>
      <c r="L549" s="51"/>
      <c r="M549" s="51"/>
      <c r="N549" s="51"/>
      <c r="O549" s="51"/>
      <c r="P549" s="51"/>
      <c r="Q549" s="51"/>
      <c r="R549" s="51"/>
      <c r="S549" s="51"/>
      <c r="T549" s="51"/>
      <c r="U549" s="51"/>
      <c r="V549" s="51"/>
      <c r="W549" s="51"/>
      <c r="X549" s="51"/>
      <c r="Y549" s="51"/>
      <c r="Z549" s="51"/>
      <c r="AA549" s="51"/>
      <c r="AB549" s="51"/>
    </row>
    <row r="550" customFormat="false" ht="15.75" hidden="false" customHeight="false" outlineLevel="0" collapsed="false">
      <c r="A550" s="51"/>
      <c r="B550" s="51"/>
      <c r="C550" s="6"/>
      <c r="D550" s="49"/>
      <c r="E550" s="51"/>
      <c r="F550" s="6"/>
      <c r="G550" s="6"/>
      <c r="H550" s="6"/>
      <c r="I550" s="6"/>
      <c r="J550" s="6"/>
      <c r="K550" s="51"/>
      <c r="L550" s="51"/>
      <c r="M550" s="51"/>
      <c r="N550" s="51"/>
      <c r="O550" s="51"/>
      <c r="P550" s="51"/>
      <c r="Q550" s="51"/>
      <c r="R550" s="51"/>
      <c r="S550" s="51"/>
      <c r="T550" s="51"/>
      <c r="U550" s="51"/>
      <c r="V550" s="51"/>
      <c r="W550" s="51"/>
      <c r="X550" s="51"/>
      <c r="Y550" s="51"/>
      <c r="Z550" s="51"/>
      <c r="AA550" s="51"/>
      <c r="AB550" s="51"/>
    </row>
    <row r="551" customFormat="false" ht="15.75" hidden="false" customHeight="false" outlineLevel="0" collapsed="false">
      <c r="A551" s="51"/>
      <c r="B551" s="51"/>
      <c r="C551" s="6"/>
      <c r="D551" s="49"/>
      <c r="E551" s="51"/>
      <c r="F551" s="6"/>
      <c r="G551" s="6"/>
      <c r="H551" s="6"/>
      <c r="I551" s="6"/>
      <c r="J551" s="6"/>
      <c r="K551" s="51"/>
      <c r="L551" s="51"/>
      <c r="M551" s="51"/>
      <c r="N551" s="51"/>
      <c r="O551" s="51"/>
      <c r="P551" s="51"/>
      <c r="Q551" s="51"/>
      <c r="R551" s="51"/>
      <c r="S551" s="51"/>
      <c r="T551" s="51"/>
      <c r="U551" s="51"/>
      <c r="V551" s="51"/>
      <c r="W551" s="51"/>
      <c r="X551" s="51"/>
      <c r="Y551" s="51"/>
      <c r="Z551" s="51"/>
      <c r="AA551" s="51"/>
      <c r="AB551" s="51"/>
    </row>
    <row r="552" customFormat="false" ht="15.75" hidden="false" customHeight="false" outlineLevel="0" collapsed="false">
      <c r="A552" s="51"/>
      <c r="B552" s="51"/>
      <c r="C552" s="6"/>
      <c r="D552" s="49"/>
      <c r="E552" s="51"/>
      <c r="F552" s="6"/>
      <c r="G552" s="6"/>
      <c r="H552" s="6"/>
      <c r="I552" s="6"/>
      <c r="J552" s="6"/>
      <c r="K552" s="51"/>
      <c r="L552" s="51"/>
      <c r="M552" s="51"/>
      <c r="N552" s="51"/>
      <c r="O552" s="51"/>
      <c r="P552" s="51"/>
      <c r="Q552" s="51"/>
      <c r="R552" s="51"/>
      <c r="S552" s="51"/>
      <c r="T552" s="51"/>
      <c r="U552" s="51"/>
      <c r="V552" s="51"/>
      <c r="W552" s="51"/>
      <c r="X552" s="51"/>
      <c r="Y552" s="51"/>
      <c r="Z552" s="51"/>
      <c r="AA552" s="51"/>
      <c r="AB552" s="51"/>
    </row>
    <row r="553" customFormat="false" ht="15.75" hidden="false" customHeight="false" outlineLevel="0" collapsed="false">
      <c r="A553" s="51"/>
      <c r="B553" s="51"/>
      <c r="C553" s="6"/>
      <c r="D553" s="49"/>
      <c r="E553" s="51"/>
      <c r="F553" s="6"/>
      <c r="G553" s="6"/>
      <c r="H553" s="6"/>
      <c r="I553" s="6"/>
      <c r="J553" s="6"/>
      <c r="K553" s="51"/>
      <c r="L553" s="51"/>
      <c r="M553" s="51"/>
      <c r="N553" s="51"/>
      <c r="O553" s="51"/>
      <c r="P553" s="51"/>
      <c r="Q553" s="51"/>
      <c r="R553" s="51"/>
      <c r="S553" s="51"/>
      <c r="T553" s="51"/>
      <c r="U553" s="51"/>
      <c r="V553" s="51"/>
      <c r="W553" s="51"/>
      <c r="X553" s="51"/>
      <c r="Y553" s="51"/>
      <c r="Z553" s="51"/>
      <c r="AA553" s="51"/>
      <c r="AB553" s="51"/>
    </row>
    <row r="554" customFormat="false" ht="15.75" hidden="false" customHeight="false" outlineLevel="0" collapsed="false">
      <c r="A554" s="51"/>
      <c r="B554" s="51"/>
      <c r="C554" s="6"/>
      <c r="D554" s="49"/>
      <c r="E554" s="51"/>
      <c r="F554" s="6"/>
      <c r="G554" s="6"/>
      <c r="H554" s="6"/>
      <c r="I554" s="6"/>
      <c r="J554" s="6"/>
      <c r="K554" s="51"/>
      <c r="L554" s="51"/>
      <c r="M554" s="51"/>
      <c r="N554" s="51"/>
      <c r="O554" s="51"/>
      <c r="P554" s="51"/>
      <c r="Q554" s="51"/>
      <c r="R554" s="51"/>
      <c r="S554" s="51"/>
      <c r="T554" s="51"/>
      <c r="U554" s="51"/>
      <c r="V554" s="51"/>
      <c r="W554" s="51"/>
      <c r="X554" s="51"/>
      <c r="Y554" s="51"/>
      <c r="Z554" s="51"/>
      <c r="AA554" s="51"/>
      <c r="AB554" s="51"/>
    </row>
    <row r="555" customFormat="false" ht="15.75" hidden="false" customHeight="false" outlineLevel="0" collapsed="false">
      <c r="A555" s="51"/>
      <c r="B555" s="51"/>
      <c r="C555" s="6"/>
      <c r="D555" s="49"/>
      <c r="E555" s="51"/>
      <c r="F555" s="6"/>
      <c r="G555" s="6"/>
      <c r="H555" s="6"/>
      <c r="I555" s="6"/>
      <c r="J555" s="6"/>
      <c r="K555" s="51"/>
      <c r="L555" s="51"/>
      <c r="M555" s="51"/>
      <c r="N555" s="51"/>
      <c r="O555" s="51"/>
      <c r="P555" s="51"/>
      <c r="Q555" s="51"/>
      <c r="R555" s="51"/>
      <c r="S555" s="51"/>
      <c r="T555" s="51"/>
      <c r="U555" s="51"/>
      <c r="V555" s="51"/>
      <c r="W555" s="51"/>
      <c r="X555" s="51"/>
      <c r="Y555" s="51"/>
      <c r="Z555" s="51"/>
      <c r="AA555" s="51"/>
      <c r="AB555" s="51"/>
    </row>
    <row r="556" customFormat="false" ht="15.75" hidden="false" customHeight="false" outlineLevel="0" collapsed="false">
      <c r="A556" s="51"/>
      <c r="B556" s="51"/>
      <c r="C556" s="6"/>
      <c r="D556" s="49"/>
      <c r="E556" s="51"/>
      <c r="F556" s="6"/>
      <c r="G556" s="6"/>
      <c r="H556" s="6"/>
      <c r="I556" s="6"/>
      <c r="J556" s="6"/>
      <c r="K556" s="51"/>
      <c r="L556" s="51"/>
      <c r="M556" s="51"/>
      <c r="N556" s="51"/>
      <c r="O556" s="51"/>
      <c r="P556" s="51"/>
      <c r="Q556" s="51"/>
      <c r="R556" s="51"/>
      <c r="S556" s="51"/>
      <c r="T556" s="51"/>
      <c r="U556" s="51"/>
      <c r="V556" s="51"/>
      <c r="W556" s="51"/>
      <c r="X556" s="51"/>
      <c r="Y556" s="51"/>
      <c r="Z556" s="51"/>
      <c r="AA556" s="51"/>
      <c r="AB556" s="51"/>
    </row>
    <row r="557" customFormat="false" ht="15.75" hidden="false" customHeight="false" outlineLevel="0" collapsed="false">
      <c r="A557" s="51"/>
      <c r="B557" s="51"/>
      <c r="C557" s="6"/>
      <c r="D557" s="49"/>
      <c r="E557" s="51"/>
      <c r="F557" s="6"/>
      <c r="G557" s="6"/>
      <c r="H557" s="6"/>
      <c r="I557" s="6"/>
      <c r="J557" s="6"/>
      <c r="K557" s="51"/>
      <c r="L557" s="51"/>
      <c r="M557" s="51"/>
      <c r="N557" s="51"/>
      <c r="O557" s="51"/>
      <c r="P557" s="51"/>
      <c r="Q557" s="51"/>
      <c r="R557" s="51"/>
      <c r="S557" s="51"/>
      <c r="T557" s="51"/>
      <c r="U557" s="51"/>
      <c r="V557" s="51"/>
      <c r="W557" s="51"/>
      <c r="X557" s="51"/>
      <c r="Y557" s="51"/>
      <c r="Z557" s="51"/>
      <c r="AA557" s="51"/>
      <c r="AB557" s="51"/>
    </row>
    <row r="558" customFormat="false" ht="15.75" hidden="false" customHeight="false" outlineLevel="0" collapsed="false">
      <c r="A558" s="51"/>
      <c r="B558" s="51"/>
      <c r="C558" s="6"/>
      <c r="D558" s="49"/>
      <c r="E558" s="51"/>
      <c r="F558" s="6"/>
      <c r="G558" s="6"/>
      <c r="H558" s="6"/>
      <c r="I558" s="6"/>
      <c r="J558" s="6"/>
      <c r="K558" s="51"/>
      <c r="L558" s="51"/>
      <c r="M558" s="51"/>
      <c r="N558" s="51"/>
      <c r="O558" s="51"/>
      <c r="P558" s="51"/>
      <c r="Q558" s="51"/>
      <c r="R558" s="51"/>
      <c r="S558" s="51"/>
      <c r="T558" s="51"/>
      <c r="U558" s="51"/>
      <c r="V558" s="51"/>
      <c r="W558" s="51"/>
      <c r="X558" s="51"/>
      <c r="Y558" s="51"/>
      <c r="Z558" s="51"/>
      <c r="AA558" s="51"/>
      <c r="AB558" s="51"/>
    </row>
    <row r="559" customFormat="false" ht="15.75" hidden="false" customHeight="false" outlineLevel="0" collapsed="false">
      <c r="A559" s="51"/>
      <c r="B559" s="51"/>
      <c r="C559" s="6"/>
      <c r="D559" s="49"/>
      <c r="E559" s="51"/>
      <c r="F559" s="6"/>
      <c r="G559" s="6"/>
      <c r="H559" s="6"/>
      <c r="I559" s="6"/>
      <c r="J559" s="6"/>
      <c r="K559" s="51"/>
      <c r="L559" s="51"/>
      <c r="M559" s="51"/>
      <c r="N559" s="51"/>
      <c r="O559" s="51"/>
      <c r="P559" s="51"/>
      <c r="Q559" s="51"/>
      <c r="R559" s="51"/>
      <c r="S559" s="51"/>
      <c r="T559" s="51"/>
      <c r="U559" s="51"/>
      <c r="V559" s="51"/>
      <c r="W559" s="51"/>
      <c r="X559" s="51"/>
      <c r="Y559" s="51"/>
      <c r="Z559" s="51"/>
      <c r="AA559" s="51"/>
      <c r="AB559" s="51"/>
    </row>
    <row r="560" customFormat="false" ht="15.75" hidden="false" customHeight="false" outlineLevel="0" collapsed="false">
      <c r="A560" s="51"/>
      <c r="B560" s="51"/>
      <c r="C560" s="6"/>
      <c r="D560" s="49"/>
      <c r="E560" s="51"/>
      <c r="F560" s="6"/>
      <c r="G560" s="6"/>
      <c r="H560" s="6"/>
      <c r="I560" s="6"/>
      <c r="J560" s="6"/>
      <c r="K560" s="51"/>
      <c r="L560" s="51"/>
      <c r="M560" s="51"/>
      <c r="N560" s="51"/>
      <c r="O560" s="51"/>
      <c r="P560" s="51"/>
      <c r="Q560" s="51"/>
      <c r="R560" s="51"/>
      <c r="S560" s="51"/>
      <c r="T560" s="51"/>
      <c r="U560" s="51"/>
      <c r="V560" s="51"/>
      <c r="W560" s="51"/>
      <c r="X560" s="51"/>
      <c r="Y560" s="51"/>
      <c r="Z560" s="51"/>
      <c r="AA560" s="51"/>
      <c r="AB560" s="51"/>
    </row>
    <row r="561" customFormat="false" ht="15.75" hidden="false" customHeight="false" outlineLevel="0" collapsed="false">
      <c r="A561" s="51"/>
      <c r="B561" s="51"/>
      <c r="C561" s="6"/>
      <c r="D561" s="49"/>
      <c r="E561" s="51"/>
      <c r="F561" s="6"/>
      <c r="G561" s="6"/>
      <c r="H561" s="6"/>
      <c r="I561" s="6"/>
      <c r="J561" s="6"/>
      <c r="K561" s="51"/>
      <c r="L561" s="51"/>
      <c r="M561" s="51"/>
      <c r="N561" s="51"/>
      <c r="O561" s="51"/>
      <c r="P561" s="51"/>
      <c r="Q561" s="51"/>
      <c r="R561" s="51"/>
      <c r="S561" s="51"/>
      <c r="T561" s="51"/>
      <c r="U561" s="51"/>
      <c r="V561" s="51"/>
      <c r="W561" s="51"/>
      <c r="X561" s="51"/>
      <c r="Y561" s="51"/>
      <c r="Z561" s="51"/>
      <c r="AA561" s="51"/>
      <c r="AB561" s="51"/>
    </row>
    <row r="562" customFormat="false" ht="15.75" hidden="false" customHeight="false" outlineLevel="0" collapsed="false">
      <c r="A562" s="51"/>
      <c r="B562" s="51"/>
      <c r="C562" s="6"/>
      <c r="D562" s="49"/>
      <c r="E562" s="51"/>
      <c r="F562" s="6"/>
      <c r="G562" s="6"/>
      <c r="H562" s="6"/>
      <c r="I562" s="6"/>
      <c r="J562" s="6"/>
      <c r="K562" s="51"/>
      <c r="L562" s="51"/>
      <c r="M562" s="51"/>
      <c r="N562" s="51"/>
      <c r="O562" s="51"/>
      <c r="P562" s="51"/>
      <c r="Q562" s="51"/>
      <c r="R562" s="51"/>
      <c r="S562" s="51"/>
      <c r="T562" s="51"/>
      <c r="U562" s="51"/>
      <c r="V562" s="51"/>
      <c r="W562" s="51"/>
      <c r="X562" s="51"/>
      <c r="Y562" s="51"/>
      <c r="Z562" s="51"/>
      <c r="AA562" s="51"/>
      <c r="AB562" s="51"/>
    </row>
    <row r="563" customFormat="false" ht="15.75" hidden="false" customHeight="false" outlineLevel="0" collapsed="false">
      <c r="A563" s="51"/>
      <c r="B563" s="51"/>
      <c r="C563" s="6"/>
      <c r="D563" s="49"/>
      <c r="E563" s="51"/>
      <c r="F563" s="6"/>
      <c r="G563" s="6"/>
      <c r="H563" s="6"/>
      <c r="I563" s="6"/>
      <c r="J563" s="6"/>
      <c r="K563" s="51"/>
      <c r="L563" s="51"/>
      <c r="M563" s="51"/>
      <c r="N563" s="51"/>
      <c r="O563" s="51"/>
      <c r="P563" s="51"/>
      <c r="Q563" s="51"/>
      <c r="R563" s="51"/>
      <c r="S563" s="51"/>
      <c r="T563" s="51"/>
      <c r="U563" s="51"/>
      <c r="V563" s="51"/>
      <c r="W563" s="51"/>
      <c r="X563" s="51"/>
      <c r="Y563" s="51"/>
      <c r="Z563" s="51"/>
      <c r="AA563" s="51"/>
      <c r="AB563" s="51"/>
    </row>
    <row r="564" customFormat="false" ht="15.75" hidden="false" customHeight="false" outlineLevel="0" collapsed="false">
      <c r="A564" s="51"/>
      <c r="B564" s="51"/>
      <c r="C564" s="6"/>
      <c r="D564" s="49"/>
      <c r="E564" s="51"/>
      <c r="F564" s="6"/>
      <c r="G564" s="6"/>
      <c r="H564" s="6"/>
      <c r="I564" s="6"/>
      <c r="J564" s="6"/>
      <c r="K564" s="51"/>
      <c r="L564" s="51"/>
      <c r="M564" s="51"/>
      <c r="N564" s="51"/>
      <c r="O564" s="51"/>
      <c r="P564" s="51"/>
      <c r="Q564" s="51"/>
      <c r="R564" s="51"/>
      <c r="S564" s="51"/>
      <c r="T564" s="51"/>
      <c r="U564" s="51"/>
      <c r="V564" s="51"/>
      <c r="W564" s="51"/>
      <c r="X564" s="51"/>
      <c r="Y564" s="51"/>
      <c r="Z564" s="51"/>
      <c r="AA564" s="51"/>
      <c r="AB564" s="51"/>
    </row>
    <row r="565" customFormat="false" ht="15.75" hidden="false" customHeight="false" outlineLevel="0" collapsed="false">
      <c r="A565" s="51"/>
      <c r="B565" s="51"/>
      <c r="C565" s="6"/>
      <c r="D565" s="49"/>
      <c r="E565" s="51"/>
      <c r="F565" s="6"/>
      <c r="G565" s="6"/>
      <c r="H565" s="6"/>
      <c r="I565" s="6"/>
      <c r="J565" s="6"/>
      <c r="K565" s="51"/>
      <c r="L565" s="51"/>
      <c r="M565" s="51"/>
      <c r="N565" s="51"/>
      <c r="O565" s="51"/>
      <c r="P565" s="51"/>
      <c r="Q565" s="51"/>
      <c r="R565" s="51"/>
      <c r="S565" s="51"/>
      <c r="T565" s="51"/>
      <c r="U565" s="51"/>
      <c r="V565" s="51"/>
      <c r="W565" s="51"/>
      <c r="X565" s="51"/>
      <c r="Y565" s="51"/>
      <c r="Z565" s="51"/>
      <c r="AA565" s="51"/>
      <c r="AB565" s="51"/>
    </row>
    <row r="566" customFormat="false" ht="15.75" hidden="false" customHeight="false" outlineLevel="0" collapsed="false">
      <c r="A566" s="51"/>
      <c r="B566" s="51"/>
      <c r="C566" s="6"/>
      <c r="D566" s="49"/>
      <c r="E566" s="51"/>
      <c r="F566" s="6"/>
      <c r="G566" s="6"/>
      <c r="H566" s="6"/>
      <c r="I566" s="6"/>
      <c r="J566" s="6"/>
      <c r="K566" s="51"/>
      <c r="L566" s="51"/>
      <c r="M566" s="51"/>
      <c r="N566" s="51"/>
      <c r="O566" s="51"/>
      <c r="P566" s="51"/>
      <c r="Q566" s="51"/>
      <c r="R566" s="51"/>
      <c r="S566" s="51"/>
      <c r="T566" s="51"/>
      <c r="U566" s="51"/>
      <c r="V566" s="51"/>
      <c r="W566" s="51"/>
      <c r="X566" s="51"/>
      <c r="Y566" s="51"/>
      <c r="Z566" s="51"/>
      <c r="AA566" s="51"/>
      <c r="AB566" s="51"/>
    </row>
    <row r="567" customFormat="false" ht="15.75" hidden="false" customHeight="false" outlineLevel="0" collapsed="false">
      <c r="A567" s="51"/>
      <c r="B567" s="51"/>
      <c r="C567" s="6"/>
      <c r="D567" s="49"/>
      <c r="E567" s="51"/>
      <c r="F567" s="6"/>
      <c r="G567" s="6"/>
      <c r="H567" s="6"/>
      <c r="I567" s="6"/>
      <c r="J567" s="6"/>
      <c r="K567" s="51"/>
      <c r="L567" s="51"/>
      <c r="M567" s="51"/>
      <c r="N567" s="51"/>
      <c r="O567" s="51"/>
      <c r="P567" s="51"/>
      <c r="Q567" s="51"/>
      <c r="R567" s="51"/>
      <c r="S567" s="51"/>
      <c r="T567" s="51"/>
      <c r="U567" s="51"/>
      <c r="V567" s="51"/>
      <c r="W567" s="51"/>
      <c r="X567" s="51"/>
      <c r="Y567" s="51"/>
      <c r="Z567" s="51"/>
      <c r="AA567" s="51"/>
      <c r="AB567" s="51"/>
    </row>
    <row r="568" customFormat="false" ht="15.75" hidden="false" customHeight="false" outlineLevel="0" collapsed="false">
      <c r="A568" s="51"/>
      <c r="B568" s="51"/>
      <c r="C568" s="6"/>
      <c r="D568" s="49"/>
      <c r="E568" s="51"/>
      <c r="F568" s="6"/>
      <c r="G568" s="6"/>
      <c r="H568" s="6"/>
      <c r="I568" s="6"/>
      <c r="J568" s="6"/>
      <c r="K568" s="51"/>
      <c r="L568" s="51"/>
      <c r="M568" s="51"/>
      <c r="N568" s="51"/>
      <c r="O568" s="51"/>
      <c r="P568" s="51"/>
      <c r="Q568" s="51"/>
      <c r="R568" s="51"/>
      <c r="S568" s="51"/>
      <c r="T568" s="51"/>
      <c r="U568" s="51"/>
      <c r="V568" s="51"/>
      <c r="W568" s="51"/>
      <c r="X568" s="51"/>
      <c r="Y568" s="51"/>
      <c r="Z568" s="51"/>
      <c r="AA568" s="51"/>
      <c r="AB568" s="51"/>
    </row>
    <row r="569" customFormat="false" ht="15.75" hidden="false" customHeight="false" outlineLevel="0" collapsed="false">
      <c r="A569" s="51"/>
      <c r="B569" s="51"/>
      <c r="C569" s="6"/>
      <c r="D569" s="49"/>
      <c r="E569" s="51"/>
      <c r="F569" s="6"/>
      <c r="G569" s="6"/>
      <c r="H569" s="6"/>
      <c r="I569" s="6"/>
      <c r="J569" s="6"/>
      <c r="K569" s="51"/>
      <c r="L569" s="51"/>
      <c r="M569" s="51"/>
      <c r="N569" s="51"/>
      <c r="O569" s="51"/>
      <c r="P569" s="51"/>
      <c r="Q569" s="51"/>
      <c r="R569" s="51"/>
      <c r="S569" s="51"/>
      <c r="T569" s="51"/>
      <c r="U569" s="51"/>
      <c r="V569" s="51"/>
      <c r="W569" s="51"/>
      <c r="X569" s="51"/>
      <c r="Y569" s="51"/>
      <c r="Z569" s="51"/>
      <c r="AA569" s="51"/>
      <c r="AB569" s="51"/>
    </row>
    <row r="570" customFormat="false" ht="15.75" hidden="false" customHeight="false" outlineLevel="0" collapsed="false">
      <c r="A570" s="51"/>
      <c r="B570" s="51"/>
      <c r="C570" s="6"/>
      <c r="D570" s="49"/>
      <c r="E570" s="51"/>
      <c r="F570" s="6"/>
      <c r="G570" s="6"/>
      <c r="H570" s="6"/>
      <c r="I570" s="6"/>
      <c r="J570" s="6"/>
      <c r="K570" s="51"/>
      <c r="L570" s="51"/>
      <c r="M570" s="51"/>
      <c r="N570" s="51"/>
      <c r="O570" s="51"/>
      <c r="P570" s="51"/>
      <c r="Q570" s="51"/>
      <c r="R570" s="51"/>
      <c r="S570" s="51"/>
      <c r="T570" s="51"/>
      <c r="U570" s="51"/>
      <c r="V570" s="51"/>
      <c r="W570" s="51"/>
      <c r="X570" s="51"/>
      <c r="Y570" s="51"/>
      <c r="Z570" s="51"/>
      <c r="AA570" s="51"/>
      <c r="AB570" s="51"/>
    </row>
    <row r="571" customFormat="false" ht="15.75" hidden="false" customHeight="false" outlineLevel="0" collapsed="false">
      <c r="A571" s="51"/>
      <c r="B571" s="51"/>
      <c r="C571" s="6"/>
      <c r="D571" s="49"/>
      <c r="E571" s="51"/>
      <c r="F571" s="6"/>
      <c r="G571" s="6"/>
      <c r="H571" s="6"/>
      <c r="I571" s="6"/>
      <c r="J571" s="6"/>
      <c r="K571" s="51"/>
      <c r="L571" s="51"/>
      <c r="M571" s="51"/>
      <c r="N571" s="51"/>
      <c r="O571" s="51"/>
      <c r="P571" s="51"/>
      <c r="Q571" s="51"/>
      <c r="R571" s="51"/>
      <c r="S571" s="51"/>
      <c r="T571" s="51"/>
      <c r="U571" s="51"/>
      <c r="V571" s="51"/>
      <c r="W571" s="51"/>
      <c r="X571" s="51"/>
      <c r="Y571" s="51"/>
      <c r="Z571" s="51"/>
      <c r="AA571" s="51"/>
      <c r="AB571" s="51"/>
    </row>
    <row r="572" customFormat="false" ht="15.75" hidden="false" customHeight="false" outlineLevel="0" collapsed="false">
      <c r="A572" s="51"/>
      <c r="B572" s="51"/>
      <c r="C572" s="6"/>
      <c r="D572" s="49"/>
      <c r="E572" s="51"/>
      <c r="F572" s="6"/>
      <c r="G572" s="6"/>
      <c r="H572" s="6"/>
      <c r="I572" s="6"/>
      <c r="J572" s="6"/>
      <c r="K572" s="51"/>
      <c r="L572" s="51"/>
      <c r="M572" s="51"/>
      <c r="N572" s="51"/>
      <c r="O572" s="51"/>
      <c r="P572" s="51"/>
      <c r="Q572" s="51"/>
      <c r="R572" s="51"/>
      <c r="S572" s="51"/>
      <c r="T572" s="51"/>
      <c r="U572" s="51"/>
      <c r="V572" s="51"/>
      <c r="W572" s="51"/>
      <c r="X572" s="51"/>
      <c r="Y572" s="51"/>
      <c r="Z572" s="51"/>
      <c r="AA572" s="51"/>
      <c r="AB572" s="51"/>
    </row>
    <row r="573" customFormat="false" ht="15.75" hidden="false" customHeight="false" outlineLevel="0" collapsed="false">
      <c r="A573" s="51"/>
      <c r="B573" s="51"/>
      <c r="C573" s="6"/>
      <c r="D573" s="49"/>
      <c r="E573" s="51"/>
      <c r="F573" s="6"/>
      <c r="G573" s="6"/>
      <c r="H573" s="6"/>
      <c r="I573" s="6"/>
      <c r="J573" s="6"/>
      <c r="K573" s="51"/>
      <c r="L573" s="51"/>
      <c r="M573" s="51"/>
      <c r="N573" s="51"/>
      <c r="O573" s="51"/>
      <c r="P573" s="51"/>
      <c r="Q573" s="51"/>
      <c r="R573" s="51"/>
      <c r="S573" s="51"/>
      <c r="T573" s="51"/>
      <c r="U573" s="51"/>
      <c r="V573" s="51"/>
      <c r="W573" s="51"/>
      <c r="X573" s="51"/>
      <c r="Y573" s="51"/>
      <c r="Z573" s="51"/>
      <c r="AA573" s="51"/>
      <c r="AB573" s="51"/>
    </row>
    <row r="574" customFormat="false" ht="15.75" hidden="false" customHeight="false" outlineLevel="0" collapsed="false">
      <c r="A574" s="51"/>
      <c r="B574" s="51"/>
      <c r="C574" s="6"/>
      <c r="D574" s="49"/>
      <c r="E574" s="51"/>
      <c r="F574" s="6"/>
      <c r="G574" s="6"/>
      <c r="H574" s="6"/>
      <c r="I574" s="6"/>
      <c r="J574" s="6"/>
      <c r="K574" s="51"/>
      <c r="L574" s="51"/>
      <c r="M574" s="51"/>
      <c r="N574" s="51"/>
      <c r="O574" s="51"/>
      <c r="P574" s="51"/>
      <c r="Q574" s="51"/>
      <c r="R574" s="51"/>
      <c r="S574" s="51"/>
      <c r="T574" s="51"/>
      <c r="U574" s="51"/>
      <c r="V574" s="51"/>
      <c r="W574" s="51"/>
      <c r="X574" s="51"/>
      <c r="Y574" s="51"/>
      <c r="Z574" s="51"/>
      <c r="AA574" s="51"/>
      <c r="AB574" s="51"/>
    </row>
    <row r="575" customFormat="false" ht="15.75" hidden="false" customHeight="false" outlineLevel="0" collapsed="false">
      <c r="A575" s="51"/>
      <c r="B575" s="51"/>
      <c r="C575" s="6"/>
      <c r="D575" s="49"/>
      <c r="E575" s="51"/>
      <c r="F575" s="6"/>
      <c r="G575" s="6"/>
      <c r="H575" s="6"/>
      <c r="I575" s="6"/>
      <c r="J575" s="6"/>
      <c r="K575" s="51"/>
      <c r="L575" s="51"/>
      <c r="M575" s="51"/>
      <c r="N575" s="51"/>
      <c r="O575" s="51"/>
      <c r="P575" s="51"/>
      <c r="Q575" s="51"/>
      <c r="R575" s="51"/>
      <c r="S575" s="51"/>
      <c r="T575" s="51"/>
      <c r="U575" s="51"/>
      <c r="V575" s="51"/>
      <c r="W575" s="51"/>
      <c r="X575" s="51"/>
      <c r="Y575" s="51"/>
      <c r="Z575" s="51"/>
      <c r="AA575" s="51"/>
      <c r="AB575" s="51"/>
    </row>
    <row r="576" customFormat="false" ht="15.75" hidden="false" customHeight="false" outlineLevel="0" collapsed="false">
      <c r="A576" s="51"/>
      <c r="B576" s="51"/>
      <c r="C576" s="6"/>
      <c r="D576" s="49"/>
      <c r="E576" s="51"/>
      <c r="F576" s="6"/>
      <c r="G576" s="6"/>
      <c r="H576" s="6"/>
      <c r="I576" s="6"/>
      <c r="J576" s="6"/>
      <c r="K576" s="51"/>
      <c r="L576" s="51"/>
      <c r="M576" s="51"/>
      <c r="N576" s="51"/>
      <c r="O576" s="51"/>
      <c r="P576" s="51"/>
      <c r="Q576" s="51"/>
      <c r="R576" s="51"/>
      <c r="S576" s="51"/>
      <c r="T576" s="51"/>
      <c r="U576" s="51"/>
      <c r="V576" s="51"/>
      <c r="W576" s="51"/>
      <c r="X576" s="51"/>
      <c r="Y576" s="51"/>
      <c r="Z576" s="51"/>
      <c r="AA576" s="51"/>
      <c r="AB576" s="51"/>
    </row>
    <row r="577" customFormat="false" ht="15.75" hidden="false" customHeight="false" outlineLevel="0" collapsed="false">
      <c r="A577" s="51"/>
      <c r="B577" s="51"/>
      <c r="C577" s="6"/>
      <c r="D577" s="49"/>
      <c r="E577" s="51"/>
      <c r="F577" s="6"/>
      <c r="G577" s="6"/>
      <c r="H577" s="6"/>
      <c r="I577" s="6"/>
      <c r="J577" s="6"/>
      <c r="K577" s="51"/>
      <c r="L577" s="51"/>
      <c r="M577" s="51"/>
      <c r="N577" s="51"/>
      <c r="O577" s="51"/>
      <c r="P577" s="51"/>
      <c r="Q577" s="51"/>
      <c r="R577" s="51"/>
      <c r="S577" s="51"/>
      <c r="T577" s="51"/>
      <c r="U577" s="51"/>
      <c r="V577" s="51"/>
      <c r="W577" s="51"/>
      <c r="X577" s="51"/>
      <c r="Y577" s="51"/>
      <c r="Z577" s="51"/>
      <c r="AA577" s="51"/>
      <c r="AB577" s="51"/>
    </row>
    <row r="578" customFormat="false" ht="15.75" hidden="false" customHeight="false" outlineLevel="0" collapsed="false">
      <c r="A578" s="51"/>
      <c r="B578" s="51"/>
      <c r="C578" s="6"/>
      <c r="D578" s="49"/>
      <c r="E578" s="51"/>
      <c r="F578" s="6"/>
      <c r="G578" s="6"/>
      <c r="H578" s="6"/>
      <c r="I578" s="6"/>
      <c r="J578" s="6"/>
      <c r="K578" s="51"/>
      <c r="L578" s="51"/>
      <c r="M578" s="51"/>
      <c r="N578" s="51"/>
      <c r="O578" s="51"/>
      <c r="P578" s="51"/>
      <c r="Q578" s="51"/>
      <c r="R578" s="51"/>
      <c r="S578" s="51"/>
      <c r="T578" s="51"/>
      <c r="U578" s="51"/>
      <c r="V578" s="51"/>
      <c r="W578" s="51"/>
      <c r="X578" s="51"/>
      <c r="Y578" s="51"/>
      <c r="Z578" s="51"/>
      <c r="AA578" s="51"/>
      <c r="AB578" s="51"/>
    </row>
    <row r="579" customFormat="false" ht="15.75" hidden="false" customHeight="false" outlineLevel="0" collapsed="false">
      <c r="A579" s="51"/>
      <c r="B579" s="51"/>
      <c r="C579" s="6"/>
      <c r="D579" s="49"/>
      <c r="E579" s="51"/>
      <c r="F579" s="6"/>
      <c r="G579" s="6"/>
      <c r="H579" s="6"/>
      <c r="I579" s="6"/>
      <c r="J579" s="6"/>
      <c r="K579" s="51"/>
      <c r="L579" s="51"/>
      <c r="M579" s="51"/>
      <c r="N579" s="51"/>
      <c r="O579" s="51"/>
      <c r="P579" s="51"/>
      <c r="Q579" s="51"/>
      <c r="R579" s="51"/>
      <c r="S579" s="51"/>
      <c r="T579" s="51"/>
      <c r="U579" s="51"/>
      <c r="V579" s="51"/>
      <c r="W579" s="51"/>
      <c r="X579" s="51"/>
      <c r="Y579" s="51"/>
      <c r="Z579" s="51"/>
      <c r="AA579" s="51"/>
      <c r="AB579" s="51"/>
    </row>
    <row r="580" customFormat="false" ht="15.75" hidden="false" customHeight="false" outlineLevel="0" collapsed="false">
      <c r="A580" s="51"/>
      <c r="B580" s="51"/>
      <c r="C580" s="6"/>
      <c r="D580" s="49"/>
      <c r="E580" s="51"/>
      <c r="F580" s="6"/>
      <c r="G580" s="6"/>
      <c r="H580" s="6"/>
      <c r="I580" s="6"/>
      <c r="J580" s="6"/>
      <c r="K580" s="51"/>
      <c r="L580" s="51"/>
      <c r="M580" s="51"/>
      <c r="N580" s="51"/>
      <c r="O580" s="51"/>
      <c r="P580" s="51"/>
      <c r="Q580" s="51"/>
      <c r="R580" s="51"/>
      <c r="S580" s="51"/>
      <c r="T580" s="51"/>
      <c r="U580" s="51"/>
      <c r="V580" s="51"/>
      <c r="W580" s="51"/>
      <c r="X580" s="51"/>
      <c r="Y580" s="51"/>
      <c r="Z580" s="51"/>
      <c r="AA580" s="51"/>
      <c r="AB580" s="51"/>
    </row>
    <row r="581" customFormat="false" ht="15.75" hidden="false" customHeight="false" outlineLevel="0" collapsed="false">
      <c r="A581" s="51"/>
      <c r="B581" s="51"/>
      <c r="C581" s="6"/>
      <c r="D581" s="49"/>
      <c r="E581" s="51"/>
      <c r="F581" s="6"/>
      <c r="G581" s="6"/>
      <c r="H581" s="6"/>
      <c r="I581" s="6"/>
      <c r="J581" s="6"/>
      <c r="K581" s="51"/>
      <c r="L581" s="51"/>
      <c r="M581" s="51"/>
      <c r="N581" s="51"/>
      <c r="O581" s="51"/>
      <c r="P581" s="51"/>
      <c r="Q581" s="51"/>
      <c r="R581" s="51"/>
      <c r="S581" s="51"/>
      <c r="T581" s="51"/>
      <c r="U581" s="51"/>
      <c r="V581" s="51"/>
      <c r="W581" s="51"/>
      <c r="X581" s="51"/>
      <c r="Y581" s="51"/>
      <c r="Z581" s="51"/>
      <c r="AA581" s="51"/>
      <c r="AB581" s="51"/>
    </row>
    <row r="582" customFormat="false" ht="15.75" hidden="false" customHeight="false" outlineLevel="0" collapsed="false">
      <c r="A582" s="51"/>
      <c r="B582" s="51"/>
      <c r="C582" s="6"/>
      <c r="D582" s="49"/>
      <c r="E582" s="51"/>
      <c r="F582" s="6"/>
      <c r="G582" s="6"/>
      <c r="H582" s="6"/>
      <c r="I582" s="6"/>
      <c r="J582" s="6"/>
      <c r="K582" s="51"/>
      <c r="L582" s="51"/>
      <c r="M582" s="51"/>
      <c r="N582" s="51"/>
      <c r="O582" s="51"/>
      <c r="P582" s="51"/>
      <c r="Q582" s="51"/>
      <c r="R582" s="51"/>
      <c r="S582" s="51"/>
      <c r="T582" s="51"/>
      <c r="U582" s="51"/>
      <c r="V582" s="51"/>
      <c r="W582" s="51"/>
      <c r="X582" s="51"/>
      <c r="Y582" s="51"/>
      <c r="Z582" s="51"/>
      <c r="AA582" s="51"/>
      <c r="AB582" s="51"/>
    </row>
    <row r="583" customFormat="false" ht="15.75" hidden="false" customHeight="false" outlineLevel="0" collapsed="false">
      <c r="A583" s="51"/>
      <c r="B583" s="51"/>
      <c r="C583" s="6"/>
      <c r="D583" s="49"/>
      <c r="E583" s="51"/>
      <c r="F583" s="6"/>
      <c r="G583" s="6"/>
      <c r="H583" s="6"/>
      <c r="I583" s="6"/>
      <c r="J583" s="6"/>
      <c r="K583" s="51"/>
      <c r="L583" s="51"/>
      <c r="M583" s="51"/>
      <c r="N583" s="51"/>
      <c r="O583" s="51"/>
      <c r="P583" s="51"/>
      <c r="Q583" s="51"/>
      <c r="R583" s="51"/>
      <c r="S583" s="51"/>
      <c r="T583" s="51"/>
      <c r="U583" s="51"/>
      <c r="V583" s="51"/>
      <c r="W583" s="51"/>
      <c r="X583" s="51"/>
      <c r="Y583" s="51"/>
      <c r="Z583" s="51"/>
      <c r="AA583" s="51"/>
      <c r="AB583" s="51"/>
    </row>
    <row r="584" customFormat="false" ht="15.75" hidden="false" customHeight="false" outlineLevel="0" collapsed="false">
      <c r="A584" s="51"/>
      <c r="B584" s="51"/>
      <c r="C584" s="6"/>
      <c r="D584" s="49"/>
      <c r="E584" s="51"/>
      <c r="F584" s="6"/>
      <c r="G584" s="6"/>
      <c r="H584" s="6"/>
      <c r="I584" s="6"/>
      <c r="J584" s="6"/>
      <c r="K584" s="51"/>
      <c r="L584" s="51"/>
      <c r="M584" s="51"/>
      <c r="N584" s="51"/>
      <c r="O584" s="51"/>
      <c r="P584" s="51"/>
      <c r="Q584" s="51"/>
      <c r="R584" s="51"/>
      <c r="S584" s="51"/>
      <c r="T584" s="51"/>
      <c r="U584" s="51"/>
      <c r="V584" s="51"/>
      <c r="W584" s="51"/>
      <c r="X584" s="51"/>
      <c r="Y584" s="51"/>
      <c r="Z584" s="51"/>
      <c r="AA584" s="51"/>
      <c r="AB584" s="51"/>
    </row>
    <row r="585" customFormat="false" ht="15.75" hidden="false" customHeight="false" outlineLevel="0" collapsed="false">
      <c r="A585" s="51"/>
      <c r="B585" s="51"/>
      <c r="C585" s="6"/>
      <c r="D585" s="49"/>
      <c r="E585" s="51"/>
      <c r="F585" s="6"/>
      <c r="G585" s="6"/>
      <c r="H585" s="6"/>
      <c r="I585" s="6"/>
      <c r="J585" s="6"/>
      <c r="K585" s="51"/>
      <c r="L585" s="51"/>
      <c r="M585" s="51"/>
      <c r="N585" s="51"/>
      <c r="O585" s="51"/>
      <c r="P585" s="51"/>
      <c r="Q585" s="51"/>
      <c r="R585" s="51"/>
      <c r="S585" s="51"/>
      <c r="T585" s="51"/>
      <c r="U585" s="51"/>
      <c r="V585" s="51"/>
      <c r="W585" s="51"/>
      <c r="X585" s="51"/>
      <c r="Y585" s="51"/>
      <c r="Z585" s="51"/>
      <c r="AA585" s="51"/>
      <c r="AB585" s="51"/>
    </row>
    <row r="586" customFormat="false" ht="15.75" hidden="false" customHeight="false" outlineLevel="0" collapsed="false">
      <c r="A586" s="51"/>
      <c r="B586" s="51"/>
      <c r="C586" s="6"/>
      <c r="D586" s="49"/>
      <c r="E586" s="51"/>
      <c r="F586" s="6"/>
      <c r="G586" s="6"/>
      <c r="H586" s="6"/>
      <c r="I586" s="6"/>
      <c r="J586" s="6"/>
      <c r="K586" s="51"/>
      <c r="L586" s="51"/>
      <c r="M586" s="51"/>
      <c r="N586" s="51"/>
      <c r="O586" s="51"/>
      <c r="P586" s="51"/>
      <c r="Q586" s="51"/>
      <c r="R586" s="51"/>
      <c r="S586" s="51"/>
      <c r="T586" s="51"/>
      <c r="U586" s="51"/>
      <c r="V586" s="51"/>
      <c r="W586" s="51"/>
      <c r="X586" s="51"/>
      <c r="Y586" s="51"/>
      <c r="Z586" s="51"/>
      <c r="AA586" s="51"/>
      <c r="AB586" s="51"/>
    </row>
    <row r="587" customFormat="false" ht="15.75" hidden="false" customHeight="false" outlineLevel="0" collapsed="false">
      <c r="A587" s="51"/>
      <c r="B587" s="51"/>
      <c r="C587" s="6"/>
      <c r="D587" s="49"/>
      <c r="E587" s="51"/>
      <c r="F587" s="6"/>
      <c r="G587" s="6"/>
      <c r="H587" s="6"/>
      <c r="I587" s="6"/>
      <c r="J587" s="6"/>
      <c r="K587" s="51"/>
      <c r="L587" s="51"/>
      <c r="M587" s="51"/>
      <c r="N587" s="51"/>
      <c r="O587" s="51"/>
      <c r="P587" s="51"/>
      <c r="Q587" s="51"/>
      <c r="R587" s="51"/>
      <c r="S587" s="51"/>
      <c r="T587" s="51"/>
      <c r="U587" s="51"/>
      <c r="V587" s="51"/>
      <c r="W587" s="51"/>
      <c r="X587" s="51"/>
      <c r="Y587" s="51"/>
      <c r="Z587" s="51"/>
      <c r="AA587" s="51"/>
      <c r="AB587" s="51"/>
    </row>
    <row r="588" customFormat="false" ht="15.75" hidden="false" customHeight="false" outlineLevel="0" collapsed="false">
      <c r="A588" s="51"/>
      <c r="B588" s="51"/>
      <c r="C588" s="6"/>
      <c r="D588" s="49"/>
      <c r="E588" s="51"/>
      <c r="F588" s="6"/>
      <c r="G588" s="6"/>
      <c r="H588" s="6"/>
      <c r="I588" s="6"/>
      <c r="J588" s="6"/>
      <c r="K588" s="51"/>
      <c r="L588" s="51"/>
      <c r="M588" s="51"/>
      <c r="N588" s="51"/>
      <c r="O588" s="51"/>
      <c r="P588" s="51"/>
      <c r="Q588" s="51"/>
      <c r="R588" s="51"/>
      <c r="S588" s="51"/>
      <c r="T588" s="51"/>
      <c r="U588" s="51"/>
      <c r="V588" s="51"/>
      <c r="W588" s="51"/>
      <c r="X588" s="51"/>
      <c r="Y588" s="51"/>
      <c r="Z588" s="51"/>
      <c r="AA588" s="51"/>
      <c r="AB588" s="51"/>
    </row>
    <row r="589" customFormat="false" ht="15.75" hidden="false" customHeight="false" outlineLevel="0" collapsed="false">
      <c r="A589" s="51"/>
      <c r="B589" s="51"/>
      <c r="C589" s="6"/>
      <c r="D589" s="49"/>
      <c r="E589" s="51"/>
      <c r="F589" s="6"/>
      <c r="G589" s="6"/>
      <c r="H589" s="6"/>
      <c r="I589" s="6"/>
      <c r="J589" s="6"/>
      <c r="K589" s="51"/>
      <c r="L589" s="51"/>
      <c r="M589" s="51"/>
      <c r="N589" s="51"/>
      <c r="O589" s="51"/>
      <c r="P589" s="51"/>
      <c r="Q589" s="51"/>
      <c r="R589" s="51"/>
      <c r="S589" s="51"/>
      <c r="T589" s="51"/>
      <c r="U589" s="51"/>
      <c r="V589" s="51"/>
      <c r="W589" s="51"/>
      <c r="X589" s="51"/>
      <c r="Y589" s="51"/>
      <c r="Z589" s="51"/>
      <c r="AA589" s="51"/>
      <c r="AB589" s="51"/>
    </row>
    <row r="590" customFormat="false" ht="15.75" hidden="false" customHeight="false" outlineLevel="0" collapsed="false">
      <c r="A590" s="51"/>
      <c r="B590" s="51"/>
      <c r="C590" s="6"/>
      <c r="D590" s="49"/>
      <c r="E590" s="51"/>
      <c r="F590" s="6"/>
      <c r="G590" s="6"/>
      <c r="H590" s="6"/>
      <c r="I590" s="6"/>
      <c r="J590" s="6"/>
      <c r="K590" s="51"/>
      <c r="L590" s="51"/>
      <c r="M590" s="51"/>
      <c r="N590" s="51"/>
      <c r="O590" s="51"/>
      <c r="P590" s="51"/>
      <c r="Q590" s="51"/>
      <c r="R590" s="51"/>
      <c r="S590" s="51"/>
      <c r="T590" s="51"/>
      <c r="U590" s="51"/>
      <c r="V590" s="51"/>
      <c r="W590" s="51"/>
      <c r="X590" s="51"/>
      <c r="Y590" s="51"/>
      <c r="Z590" s="51"/>
      <c r="AA590" s="51"/>
      <c r="AB590" s="51"/>
    </row>
    <row r="591" customFormat="false" ht="15.75" hidden="false" customHeight="false" outlineLevel="0" collapsed="false">
      <c r="A591" s="51"/>
      <c r="B591" s="51"/>
      <c r="C591" s="6"/>
      <c r="D591" s="49"/>
      <c r="E591" s="51"/>
      <c r="F591" s="6"/>
      <c r="G591" s="6"/>
      <c r="H591" s="6"/>
      <c r="I591" s="6"/>
      <c r="J591" s="6"/>
      <c r="K591" s="51"/>
      <c r="L591" s="51"/>
      <c r="M591" s="51"/>
      <c r="N591" s="51"/>
      <c r="O591" s="51"/>
      <c r="P591" s="51"/>
      <c r="Q591" s="51"/>
      <c r="R591" s="51"/>
      <c r="S591" s="51"/>
      <c r="T591" s="51"/>
      <c r="U591" s="51"/>
      <c r="V591" s="51"/>
      <c r="W591" s="51"/>
      <c r="X591" s="51"/>
      <c r="Y591" s="51"/>
      <c r="Z591" s="51"/>
      <c r="AA591" s="51"/>
      <c r="AB591" s="51"/>
    </row>
    <row r="592" customFormat="false" ht="15.75" hidden="false" customHeight="false" outlineLevel="0" collapsed="false">
      <c r="A592" s="51"/>
      <c r="B592" s="51"/>
      <c r="C592" s="6"/>
      <c r="D592" s="49"/>
      <c r="E592" s="51"/>
      <c r="F592" s="6"/>
      <c r="G592" s="6"/>
      <c r="H592" s="6"/>
      <c r="I592" s="6"/>
      <c r="J592" s="6"/>
      <c r="K592" s="51"/>
      <c r="L592" s="51"/>
      <c r="M592" s="51"/>
      <c r="N592" s="51"/>
      <c r="O592" s="51"/>
      <c r="P592" s="51"/>
      <c r="Q592" s="51"/>
      <c r="R592" s="51"/>
      <c r="S592" s="51"/>
      <c r="T592" s="51"/>
      <c r="U592" s="51"/>
      <c r="V592" s="51"/>
      <c r="W592" s="51"/>
      <c r="X592" s="51"/>
      <c r="Y592" s="51"/>
      <c r="Z592" s="51"/>
      <c r="AA592" s="51"/>
      <c r="AB592" s="51"/>
    </row>
    <row r="593" customFormat="false" ht="15.75" hidden="false" customHeight="false" outlineLevel="0" collapsed="false">
      <c r="A593" s="51"/>
      <c r="B593" s="51"/>
      <c r="C593" s="6"/>
      <c r="D593" s="49"/>
      <c r="E593" s="51"/>
      <c r="F593" s="6"/>
      <c r="G593" s="6"/>
      <c r="H593" s="6"/>
      <c r="I593" s="6"/>
      <c r="J593" s="6"/>
      <c r="K593" s="51"/>
      <c r="L593" s="51"/>
      <c r="M593" s="51"/>
      <c r="N593" s="51"/>
      <c r="O593" s="51"/>
      <c r="P593" s="51"/>
      <c r="Q593" s="51"/>
      <c r="R593" s="51"/>
      <c r="S593" s="51"/>
      <c r="T593" s="51"/>
      <c r="U593" s="51"/>
      <c r="V593" s="51"/>
      <c r="W593" s="51"/>
      <c r="X593" s="51"/>
      <c r="Y593" s="51"/>
      <c r="Z593" s="51"/>
      <c r="AA593" s="51"/>
      <c r="AB593" s="51"/>
    </row>
    <row r="594" customFormat="false" ht="15.75" hidden="false" customHeight="false" outlineLevel="0" collapsed="false">
      <c r="A594" s="51"/>
      <c r="B594" s="51"/>
      <c r="C594" s="6"/>
      <c r="D594" s="49"/>
      <c r="E594" s="51"/>
      <c r="F594" s="6"/>
      <c r="G594" s="6"/>
      <c r="H594" s="6"/>
      <c r="I594" s="6"/>
      <c r="J594" s="6"/>
      <c r="K594" s="51"/>
      <c r="L594" s="51"/>
      <c r="M594" s="51"/>
      <c r="N594" s="51"/>
      <c r="O594" s="51"/>
      <c r="P594" s="51"/>
      <c r="Q594" s="51"/>
      <c r="R594" s="51"/>
      <c r="S594" s="51"/>
      <c r="T594" s="51"/>
      <c r="U594" s="51"/>
      <c r="V594" s="51"/>
      <c r="W594" s="51"/>
      <c r="X594" s="51"/>
      <c r="Y594" s="51"/>
      <c r="Z594" s="51"/>
      <c r="AA594" s="51"/>
      <c r="AB594" s="51"/>
    </row>
    <row r="595" customFormat="false" ht="15.75" hidden="false" customHeight="false" outlineLevel="0" collapsed="false">
      <c r="A595" s="51"/>
      <c r="B595" s="51"/>
      <c r="C595" s="6"/>
      <c r="D595" s="49"/>
      <c r="E595" s="51"/>
      <c r="F595" s="6"/>
      <c r="G595" s="6"/>
      <c r="H595" s="6"/>
      <c r="I595" s="6"/>
      <c r="J595" s="6"/>
      <c r="K595" s="51"/>
      <c r="L595" s="51"/>
      <c r="M595" s="51"/>
      <c r="N595" s="51"/>
      <c r="O595" s="51"/>
      <c r="P595" s="51"/>
      <c r="Q595" s="51"/>
      <c r="R595" s="51"/>
      <c r="S595" s="51"/>
      <c r="T595" s="51"/>
      <c r="U595" s="51"/>
      <c r="V595" s="51"/>
      <c r="W595" s="51"/>
      <c r="X595" s="51"/>
      <c r="Y595" s="51"/>
      <c r="Z595" s="51"/>
      <c r="AA595" s="51"/>
      <c r="AB595" s="51"/>
    </row>
    <row r="596" customFormat="false" ht="15.75" hidden="false" customHeight="false" outlineLevel="0" collapsed="false">
      <c r="A596" s="51"/>
      <c r="B596" s="51"/>
      <c r="C596" s="6"/>
      <c r="D596" s="49"/>
      <c r="E596" s="51"/>
      <c r="F596" s="6"/>
      <c r="G596" s="6"/>
      <c r="H596" s="6"/>
      <c r="I596" s="6"/>
      <c r="J596" s="6"/>
      <c r="K596" s="51"/>
      <c r="L596" s="51"/>
      <c r="M596" s="51"/>
      <c r="N596" s="51"/>
      <c r="O596" s="51"/>
      <c r="P596" s="51"/>
      <c r="Q596" s="51"/>
      <c r="R596" s="51"/>
      <c r="S596" s="51"/>
      <c r="T596" s="51"/>
      <c r="U596" s="51"/>
      <c r="V596" s="51"/>
      <c r="W596" s="51"/>
      <c r="X596" s="51"/>
      <c r="Y596" s="51"/>
      <c r="Z596" s="51"/>
      <c r="AA596" s="51"/>
      <c r="AB596" s="51"/>
    </row>
    <row r="597" customFormat="false" ht="15.75" hidden="false" customHeight="false" outlineLevel="0" collapsed="false">
      <c r="A597" s="51"/>
      <c r="B597" s="51"/>
      <c r="C597" s="6"/>
      <c r="D597" s="49"/>
      <c r="E597" s="51"/>
      <c r="F597" s="6"/>
      <c r="G597" s="6"/>
      <c r="H597" s="6"/>
      <c r="I597" s="6"/>
      <c r="J597" s="6"/>
      <c r="K597" s="51"/>
      <c r="L597" s="51"/>
      <c r="M597" s="51"/>
      <c r="N597" s="51"/>
      <c r="O597" s="51"/>
      <c r="P597" s="51"/>
      <c r="Q597" s="51"/>
      <c r="R597" s="51"/>
      <c r="S597" s="51"/>
      <c r="T597" s="51"/>
      <c r="U597" s="51"/>
      <c r="V597" s="51"/>
      <c r="W597" s="51"/>
      <c r="X597" s="51"/>
      <c r="Y597" s="51"/>
      <c r="Z597" s="51"/>
      <c r="AA597" s="51"/>
      <c r="AB597" s="51"/>
    </row>
    <row r="598" customFormat="false" ht="15.75" hidden="false" customHeight="false" outlineLevel="0" collapsed="false">
      <c r="A598" s="51"/>
      <c r="B598" s="51"/>
      <c r="C598" s="6"/>
      <c r="D598" s="49"/>
      <c r="E598" s="51"/>
      <c r="F598" s="6"/>
      <c r="G598" s="6"/>
      <c r="H598" s="6"/>
      <c r="I598" s="6"/>
      <c r="J598" s="6"/>
      <c r="K598" s="51"/>
      <c r="L598" s="51"/>
      <c r="M598" s="51"/>
      <c r="N598" s="51"/>
      <c r="O598" s="51"/>
      <c r="P598" s="51"/>
      <c r="Q598" s="51"/>
      <c r="R598" s="51"/>
      <c r="S598" s="51"/>
      <c r="T598" s="51"/>
      <c r="U598" s="51"/>
      <c r="V598" s="51"/>
      <c r="W598" s="51"/>
      <c r="X598" s="51"/>
      <c r="Y598" s="51"/>
      <c r="Z598" s="51"/>
      <c r="AA598" s="51"/>
      <c r="AB598" s="51"/>
    </row>
    <row r="599" customFormat="false" ht="15.75" hidden="false" customHeight="false" outlineLevel="0" collapsed="false">
      <c r="A599" s="51"/>
      <c r="B599" s="51"/>
      <c r="C599" s="6"/>
      <c r="D599" s="49"/>
      <c r="E599" s="51"/>
      <c r="F599" s="6"/>
      <c r="G599" s="6"/>
      <c r="H599" s="6"/>
      <c r="I599" s="6"/>
      <c r="J599" s="6"/>
      <c r="K599" s="51"/>
      <c r="L599" s="51"/>
      <c r="M599" s="51"/>
      <c r="N599" s="51"/>
      <c r="O599" s="51"/>
      <c r="P599" s="51"/>
      <c r="Q599" s="51"/>
      <c r="R599" s="51"/>
      <c r="S599" s="51"/>
      <c r="T599" s="51"/>
      <c r="U599" s="51"/>
      <c r="V599" s="51"/>
      <c r="W599" s="51"/>
      <c r="X599" s="51"/>
      <c r="Y599" s="51"/>
      <c r="Z599" s="51"/>
      <c r="AA599" s="51"/>
      <c r="AB599" s="51"/>
    </row>
    <row r="600" customFormat="false" ht="15.75" hidden="false" customHeight="false" outlineLevel="0" collapsed="false">
      <c r="A600" s="51"/>
      <c r="B600" s="51"/>
      <c r="C600" s="6"/>
      <c r="D600" s="49"/>
      <c r="E600" s="51"/>
      <c r="F600" s="6"/>
      <c r="G600" s="6"/>
      <c r="H600" s="6"/>
      <c r="I600" s="6"/>
      <c r="J600" s="6"/>
      <c r="K600" s="51"/>
      <c r="L600" s="51"/>
      <c r="M600" s="51"/>
      <c r="N600" s="51"/>
      <c r="O600" s="51"/>
      <c r="P600" s="51"/>
      <c r="Q600" s="51"/>
      <c r="R600" s="51"/>
      <c r="S600" s="51"/>
      <c r="T600" s="51"/>
      <c r="U600" s="51"/>
      <c r="V600" s="51"/>
      <c r="W600" s="51"/>
      <c r="X600" s="51"/>
      <c r="Y600" s="51"/>
      <c r="Z600" s="51"/>
      <c r="AA600" s="51"/>
      <c r="AB600" s="51"/>
    </row>
    <row r="601" customFormat="false" ht="15.75" hidden="false" customHeight="false" outlineLevel="0" collapsed="false">
      <c r="A601" s="51"/>
      <c r="B601" s="51"/>
      <c r="C601" s="6"/>
      <c r="D601" s="49"/>
      <c r="E601" s="51"/>
      <c r="F601" s="6"/>
      <c r="G601" s="6"/>
      <c r="H601" s="6"/>
      <c r="I601" s="6"/>
      <c r="J601" s="6"/>
      <c r="K601" s="51"/>
      <c r="L601" s="51"/>
      <c r="M601" s="51"/>
      <c r="N601" s="51"/>
      <c r="O601" s="51"/>
      <c r="P601" s="51"/>
      <c r="Q601" s="51"/>
      <c r="R601" s="51"/>
      <c r="S601" s="51"/>
      <c r="T601" s="51"/>
      <c r="U601" s="51"/>
      <c r="V601" s="51"/>
      <c r="W601" s="51"/>
      <c r="X601" s="51"/>
      <c r="Y601" s="51"/>
      <c r="Z601" s="51"/>
      <c r="AA601" s="51"/>
      <c r="AB601" s="51"/>
    </row>
    <row r="602" customFormat="false" ht="15.75" hidden="false" customHeight="false" outlineLevel="0" collapsed="false">
      <c r="A602" s="51"/>
      <c r="B602" s="51"/>
      <c r="C602" s="6"/>
      <c r="D602" s="49"/>
      <c r="E602" s="51"/>
      <c r="F602" s="6"/>
      <c r="G602" s="6"/>
      <c r="H602" s="6"/>
      <c r="I602" s="6"/>
      <c r="J602" s="6"/>
      <c r="K602" s="51"/>
      <c r="L602" s="51"/>
      <c r="M602" s="51"/>
      <c r="N602" s="51"/>
      <c r="O602" s="51"/>
      <c r="P602" s="51"/>
      <c r="Q602" s="51"/>
      <c r="R602" s="51"/>
      <c r="S602" s="51"/>
      <c r="T602" s="51"/>
      <c r="U602" s="51"/>
      <c r="V602" s="51"/>
      <c r="W602" s="51"/>
      <c r="X602" s="51"/>
      <c r="Y602" s="51"/>
      <c r="Z602" s="51"/>
      <c r="AA602" s="51"/>
      <c r="AB602" s="51"/>
    </row>
    <row r="603" customFormat="false" ht="15.75" hidden="false" customHeight="false" outlineLevel="0" collapsed="false">
      <c r="A603" s="51"/>
      <c r="B603" s="51"/>
      <c r="C603" s="6"/>
      <c r="D603" s="49"/>
      <c r="E603" s="51"/>
      <c r="F603" s="6"/>
      <c r="G603" s="6"/>
      <c r="H603" s="6"/>
      <c r="I603" s="6"/>
      <c r="J603" s="6"/>
      <c r="K603" s="51"/>
      <c r="L603" s="51"/>
      <c r="M603" s="51"/>
      <c r="N603" s="51"/>
      <c r="O603" s="51"/>
      <c r="P603" s="51"/>
      <c r="Q603" s="51"/>
      <c r="R603" s="51"/>
      <c r="S603" s="51"/>
      <c r="T603" s="51"/>
      <c r="U603" s="51"/>
      <c r="V603" s="51"/>
      <c r="W603" s="51"/>
      <c r="X603" s="51"/>
      <c r="Y603" s="51"/>
      <c r="Z603" s="51"/>
      <c r="AA603" s="51"/>
      <c r="AB603" s="51"/>
    </row>
    <row r="604" customFormat="false" ht="15.75" hidden="false" customHeight="false" outlineLevel="0" collapsed="false">
      <c r="A604" s="51"/>
      <c r="B604" s="51"/>
      <c r="C604" s="6"/>
      <c r="D604" s="49"/>
      <c r="E604" s="51"/>
      <c r="F604" s="6"/>
      <c r="G604" s="6"/>
      <c r="H604" s="6"/>
      <c r="I604" s="6"/>
      <c r="J604" s="6"/>
      <c r="K604" s="51"/>
      <c r="L604" s="51"/>
      <c r="M604" s="51"/>
      <c r="N604" s="51"/>
      <c r="O604" s="51"/>
      <c r="P604" s="51"/>
      <c r="Q604" s="51"/>
      <c r="R604" s="51"/>
      <c r="S604" s="51"/>
      <c r="T604" s="51"/>
      <c r="U604" s="51"/>
      <c r="V604" s="51"/>
      <c r="W604" s="51"/>
      <c r="X604" s="51"/>
      <c r="Y604" s="51"/>
      <c r="Z604" s="51"/>
      <c r="AA604" s="51"/>
      <c r="AB604" s="51"/>
    </row>
    <row r="605" customFormat="false" ht="15.75" hidden="false" customHeight="false" outlineLevel="0" collapsed="false">
      <c r="A605" s="51"/>
      <c r="B605" s="51"/>
      <c r="C605" s="6"/>
      <c r="D605" s="49"/>
      <c r="E605" s="51"/>
      <c r="F605" s="6"/>
      <c r="G605" s="6"/>
      <c r="H605" s="6"/>
      <c r="I605" s="6"/>
      <c r="J605" s="6"/>
      <c r="K605" s="51"/>
      <c r="L605" s="51"/>
      <c r="M605" s="51"/>
      <c r="N605" s="51"/>
      <c r="O605" s="51"/>
      <c r="P605" s="51"/>
      <c r="Q605" s="51"/>
      <c r="R605" s="51"/>
      <c r="S605" s="51"/>
      <c r="T605" s="51"/>
      <c r="U605" s="51"/>
      <c r="V605" s="51"/>
      <c r="W605" s="51"/>
      <c r="X605" s="51"/>
      <c r="Y605" s="51"/>
      <c r="Z605" s="51"/>
      <c r="AA605" s="51"/>
      <c r="AB605" s="51"/>
    </row>
    <row r="606" customFormat="false" ht="15.75" hidden="false" customHeight="false" outlineLevel="0" collapsed="false">
      <c r="A606" s="51"/>
      <c r="B606" s="51"/>
      <c r="C606" s="6"/>
      <c r="D606" s="49"/>
      <c r="E606" s="51"/>
      <c r="F606" s="6"/>
      <c r="G606" s="6"/>
      <c r="H606" s="6"/>
      <c r="I606" s="6"/>
      <c r="J606" s="6"/>
      <c r="K606" s="51"/>
      <c r="L606" s="51"/>
      <c r="M606" s="51"/>
      <c r="N606" s="51"/>
      <c r="O606" s="51"/>
      <c r="P606" s="51"/>
      <c r="Q606" s="51"/>
      <c r="R606" s="51"/>
      <c r="S606" s="51"/>
      <c r="T606" s="51"/>
      <c r="U606" s="51"/>
      <c r="V606" s="51"/>
      <c r="W606" s="51"/>
      <c r="X606" s="51"/>
      <c r="Y606" s="51"/>
      <c r="Z606" s="51"/>
      <c r="AA606" s="51"/>
      <c r="AB606" s="51"/>
    </row>
    <row r="607" customFormat="false" ht="15.75" hidden="false" customHeight="false" outlineLevel="0" collapsed="false">
      <c r="A607" s="51"/>
      <c r="B607" s="51"/>
      <c r="C607" s="6"/>
      <c r="D607" s="49"/>
      <c r="E607" s="51"/>
      <c r="F607" s="6"/>
      <c r="G607" s="6"/>
      <c r="H607" s="6"/>
      <c r="I607" s="6"/>
      <c r="J607" s="6"/>
      <c r="K607" s="51"/>
      <c r="L607" s="51"/>
      <c r="M607" s="51"/>
      <c r="N607" s="51"/>
      <c r="O607" s="51"/>
      <c r="P607" s="51"/>
      <c r="Q607" s="51"/>
      <c r="R607" s="51"/>
      <c r="S607" s="51"/>
      <c r="T607" s="51"/>
      <c r="U607" s="51"/>
      <c r="V607" s="51"/>
      <c r="W607" s="51"/>
      <c r="X607" s="51"/>
      <c r="Y607" s="51"/>
      <c r="Z607" s="51"/>
      <c r="AA607" s="51"/>
      <c r="AB607" s="51"/>
    </row>
    <row r="608" customFormat="false" ht="15.75" hidden="false" customHeight="false" outlineLevel="0" collapsed="false">
      <c r="A608" s="51"/>
      <c r="B608" s="51"/>
      <c r="C608" s="6"/>
      <c r="D608" s="49"/>
      <c r="E608" s="51"/>
      <c r="F608" s="6"/>
      <c r="G608" s="6"/>
      <c r="H608" s="6"/>
      <c r="I608" s="6"/>
      <c r="J608" s="6"/>
      <c r="K608" s="51"/>
      <c r="L608" s="51"/>
      <c r="M608" s="51"/>
      <c r="N608" s="51"/>
      <c r="O608" s="51"/>
      <c r="P608" s="51"/>
      <c r="Q608" s="51"/>
      <c r="R608" s="51"/>
      <c r="S608" s="51"/>
      <c r="T608" s="51"/>
      <c r="U608" s="51"/>
      <c r="V608" s="51"/>
      <c r="W608" s="51"/>
      <c r="X608" s="51"/>
      <c r="Y608" s="51"/>
      <c r="Z608" s="51"/>
      <c r="AA608" s="51"/>
      <c r="AB608" s="51"/>
    </row>
    <row r="609" customFormat="false" ht="15.75" hidden="false" customHeight="false" outlineLevel="0" collapsed="false">
      <c r="A609" s="51"/>
      <c r="B609" s="51"/>
      <c r="C609" s="6"/>
      <c r="D609" s="49"/>
      <c r="E609" s="51"/>
      <c r="F609" s="6"/>
      <c r="G609" s="6"/>
      <c r="H609" s="6"/>
      <c r="I609" s="6"/>
      <c r="J609" s="6"/>
      <c r="K609" s="51"/>
      <c r="L609" s="51"/>
      <c r="M609" s="51"/>
      <c r="N609" s="51"/>
      <c r="O609" s="51"/>
      <c r="P609" s="51"/>
      <c r="Q609" s="51"/>
      <c r="R609" s="51"/>
      <c r="S609" s="51"/>
      <c r="T609" s="51"/>
      <c r="U609" s="51"/>
      <c r="V609" s="51"/>
      <c r="W609" s="51"/>
      <c r="X609" s="51"/>
      <c r="Y609" s="51"/>
      <c r="Z609" s="51"/>
      <c r="AA609" s="51"/>
      <c r="AB609" s="51"/>
    </row>
    <row r="610" customFormat="false" ht="15.75" hidden="false" customHeight="false" outlineLevel="0" collapsed="false">
      <c r="A610" s="51"/>
      <c r="B610" s="51"/>
      <c r="C610" s="6"/>
      <c r="D610" s="49"/>
      <c r="E610" s="51"/>
      <c r="F610" s="6"/>
      <c r="G610" s="6"/>
      <c r="H610" s="6"/>
      <c r="I610" s="6"/>
      <c r="J610" s="6"/>
      <c r="K610" s="51"/>
      <c r="L610" s="51"/>
      <c r="M610" s="51"/>
      <c r="N610" s="51"/>
      <c r="O610" s="51"/>
      <c r="P610" s="51"/>
      <c r="Q610" s="51"/>
      <c r="R610" s="51"/>
      <c r="S610" s="51"/>
      <c r="T610" s="51"/>
      <c r="U610" s="51"/>
      <c r="V610" s="51"/>
      <c r="W610" s="51"/>
      <c r="X610" s="51"/>
      <c r="Y610" s="51"/>
      <c r="Z610" s="51"/>
      <c r="AA610" s="51"/>
      <c r="AB610" s="51"/>
    </row>
    <row r="611" customFormat="false" ht="15.75" hidden="false" customHeight="false" outlineLevel="0" collapsed="false">
      <c r="A611" s="51"/>
      <c r="B611" s="51"/>
      <c r="C611" s="6"/>
      <c r="D611" s="49"/>
      <c r="E611" s="51"/>
      <c r="F611" s="6"/>
      <c r="G611" s="6"/>
      <c r="H611" s="6"/>
      <c r="I611" s="6"/>
      <c r="J611" s="6"/>
      <c r="K611" s="51"/>
      <c r="L611" s="51"/>
      <c r="M611" s="51"/>
      <c r="N611" s="51"/>
      <c r="O611" s="51"/>
      <c r="P611" s="51"/>
      <c r="Q611" s="51"/>
      <c r="R611" s="51"/>
      <c r="S611" s="51"/>
      <c r="T611" s="51"/>
      <c r="U611" s="51"/>
      <c r="V611" s="51"/>
      <c r="W611" s="51"/>
      <c r="X611" s="51"/>
      <c r="Y611" s="51"/>
      <c r="Z611" s="51"/>
      <c r="AA611" s="51"/>
      <c r="AB611" s="51"/>
    </row>
    <row r="612" customFormat="false" ht="15.75" hidden="false" customHeight="false" outlineLevel="0" collapsed="false">
      <c r="A612" s="51"/>
      <c r="B612" s="51"/>
      <c r="C612" s="6"/>
      <c r="D612" s="49"/>
      <c r="E612" s="51"/>
      <c r="F612" s="6"/>
      <c r="G612" s="6"/>
      <c r="H612" s="6"/>
      <c r="I612" s="6"/>
      <c r="J612" s="6"/>
      <c r="K612" s="51"/>
      <c r="L612" s="51"/>
      <c r="M612" s="51"/>
      <c r="N612" s="51"/>
      <c r="O612" s="51"/>
      <c r="P612" s="51"/>
      <c r="Q612" s="51"/>
      <c r="R612" s="51"/>
      <c r="S612" s="51"/>
      <c r="T612" s="51"/>
      <c r="U612" s="51"/>
      <c r="V612" s="51"/>
      <c r="W612" s="51"/>
      <c r="X612" s="51"/>
      <c r="Y612" s="51"/>
      <c r="Z612" s="51"/>
      <c r="AA612" s="51"/>
      <c r="AB612" s="51"/>
    </row>
    <row r="613" customFormat="false" ht="15.75" hidden="false" customHeight="false" outlineLevel="0" collapsed="false">
      <c r="A613" s="51"/>
      <c r="B613" s="51"/>
      <c r="C613" s="6"/>
      <c r="D613" s="49"/>
      <c r="E613" s="51"/>
      <c r="F613" s="6"/>
      <c r="G613" s="6"/>
      <c r="H613" s="6"/>
      <c r="I613" s="6"/>
      <c r="J613" s="6"/>
      <c r="K613" s="51"/>
      <c r="L613" s="51"/>
      <c r="M613" s="51"/>
      <c r="N613" s="51"/>
      <c r="O613" s="51"/>
      <c r="P613" s="51"/>
      <c r="Q613" s="51"/>
      <c r="R613" s="51"/>
      <c r="S613" s="51"/>
      <c r="T613" s="51"/>
      <c r="U613" s="51"/>
      <c r="V613" s="51"/>
      <c r="W613" s="51"/>
      <c r="X613" s="51"/>
      <c r="Y613" s="51"/>
      <c r="Z613" s="51"/>
      <c r="AA613" s="51"/>
      <c r="AB613" s="51"/>
    </row>
    <row r="614" customFormat="false" ht="15.75" hidden="false" customHeight="false" outlineLevel="0" collapsed="false">
      <c r="A614" s="51"/>
      <c r="B614" s="51"/>
      <c r="C614" s="6"/>
      <c r="D614" s="49"/>
      <c r="E614" s="51"/>
      <c r="F614" s="6"/>
      <c r="G614" s="6"/>
      <c r="H614" s="6"/>
      <c r="I614" s="6"/>
      <c r="J614" s="6"/>
      <c r="K614" s="51"/>
      <c r="L614" s="51"/>
      <c r="M614" s="51"/>
      <c r="N614" s="51"/>
      <c r="O614" s="51"/>
      <c r="P614" s="51"/>
      <c r="Q614" s="51"/>
      <c r="R614" s="51"/>
      <c r="S614" s="51"/>
      <c r="T614" s="51"/>
      <c r="U614" s="51"/>
      <c r="V614" s="51"/>
      <c r="W614" s="51"/>
      <c r="X614" s="51"/>
      <c r="Y614" s="51"/>
      <c r="Z614" s="51"/>
      <c r="AA614" s="51"/>
      <c r="AB614" s="51"/>
    </row>
    <row r="615" customFormat="false" ht="15.75" hidden="false" customHeight="false" outlineLevel="0" collapsed="false">
      <c r="A615" s="51"/>
      <c r="B615" s="51"/>
      <c r="C615" s="6"/>
      <c r="D615" s="49"/>
      <c r="E615" s="51"/>
      <c r="F615" s="6"/>
      <c r="G615" s="6"/>
      <c r="H615" s="6"/>
      <c r="I615" s="6"/>
      <c r="J615" s="6"/>
      <c r="K615" s="51"/>
      <c r="L615" s="51"/>
      <c r="M615" s="51"/>
      <c r="N615" s="51"/>
      <c r="O615" s="51"/>
      <c r="P615" s="51"/>
      <c r="Q615" s="51"/>
      <c r="R615" s="51"/>
      <c r="S615" s="51"/>
      <c r="T615" s="51"/>
      <c r="U615" s="51"/>
      <c r="V615" s="51"/>
      <c r="W615" s="51"/>
      <c r="X615" s="51"/>
      <c r="Y615" s="51"/>
      <c r="Z615" s="51"/>
      <c r="AA615" s="51"/>
      <c r="AB615" s="51"/>
    </row>
    <row r="616" customFormat="false" ht="15.75" hidden="false" customHeight="false" outlineLevel="0" collapsed="false">
      <c r="A616" s="51"/>
      <c r="B616" s="51"/>
      <c r="C616" s="6"/>
      <c r="D616" s="49"/>
      <c r="E616" s="51"/>
      <c r="F616" s="6"/>
      <c r="G616" s="6"/>
      <c r="H616" s="6"/>
      <c r="I616" s="6"/>
      <c r="J616" s="6"/>
      <c r="K616" s="51"/>
      <c r="L616" s="51"/>
      <c r="M616" s="51"/>
      <c r="N616" s="51"/>
      <c r="O616" s="51"/>
      <c r="P616" s="51"/>
      <c r="Q616" s="51"/>
      <c r="R616" s="51"/>
      <c r="S616" s="51"/>
      <c r="T616" s="51"/>
      <c r="U616" s="51"/>
      <c r="V616" s="51"/>
      <c r="W616" s="51"/>
      <c r="X616" s="51"/>
      <c r="Y616" s="51"/>
      <c r="Z616" s="51"/>
      <c r="AA616" s="51"/>
      <c r="AB616" s="51"/>
    </row>
    <row r="617" customFormat="false" ht="15.75" hidden="false" customHeight="false" outlineLevel="0" collapsed="false">
      <c r="A617" s="51"/>
      <c r="B617" s="51"/>
      <c r="C617" s="6"/>
      <c r="D617" s="49"/>
      <c r="E617" s="51"/>
      <c r="F617" s="6"/>
      <c r="G617" s="6"/>
      <c r="H617" s="6"/>
      <c r="I617" s="6"/>
      <c r="J617" s="6"/>
      <c r="K617" s="51"/>
      <c r="L617" s="51"/>
      <c r="M617" s="51"/>
      <c r="N617" s="51"/>
      <c r="O617" s="51"/>
      <c r="P617" s="51"/>
      <c r="Q617" s="51"/>
      <c r="R617" s="51"/>
      <c r="S617" s="51"/>
      <c r="T617" s="51"/>
      <c r="U617" s="51"/>
      <c r="V617" s="51"/>
      <c r="W617" s="51"/>
      <c r="X617" s="51"/>
      <c r="Y617" s="51"/>
      <c r="Z617" s="51"/>
      <c r="AA617" s="51"/>
      <c r="AB617" s="51"/>
    </row>
    <row r="618" customFormat="false" ht="15.75" hidden="false" customHeight="false" outlineLevel="0" collapsed="false">
      <c r="A618" s="51"/>
      <c r="B618" s="51"/>
      <c r="C618" s="6"/>
      <c r="D618" s="49"/>
      <c r="E618" s="51"/>
      <c r="F618" s="6"/>
      <c r="G618" s="6"/>
      <c r="H618" s="6"/>
      <c r="I618" s="6"/>
      <c r="J618" s="6"/>
      <c r="K618" s="51"/>
      <c r="L618" s="51"/>
      <c r="M618" s="51"/>
      <c r="N618" s="51"/>
      <c r="O618" s="51"/>
      <c r="P618" s="51"/>
      <c r="Q618" s="51"/>
      <c r="R618" s="51"/>
      <c r="S618" s="51"/>
      <c r="T618" s="51"/>
      <c r="U618" s="51"/>
      <c r="V618" s="51"/>
      <c r="W618" s="51"/>
      <c r="X618" s="51"/>
      <c r="Y618" s="51"/>
      <c r="Z618" s="51"/>
      <c r="AA618" s="51"/>
      <c r="AB618" s="51"/>
    </row>
    <row r="619" customFormat="false" ht="15.75" hidden="false" customHeight="false" outlineLevel="0" collapsed="false">
      <c r="A619" s="51"/>
      <c r="B619" s="51"/>
      <c r="C619" s="6"/>
      <c r="D619" s="49"/>
      <c r="E619" s="51"/>
      <c r="F619" s="6"/>
      <c r="G619" s="6"/>
      <c r="H619" s="6"/>
      <c r="I619" s="6"/>
      <c r="J619" s="6"/>
      <c r="K619" s="51"/>
      <c r="L619" s="51"/>
      <c r="M619" s="51"/>
      <c r="N619" s="51"/>
      <c r="O619" s="51"/>
      <c r="P619" s="51"/>
      <c r="Q619" s="51"/>
      <c r="R619" s="51"/>
      <c r="S619" s="51"/>
      <c r="T619" s="51"/>
      <c r="U619" s="51"/>
      <c r="V619" s="51"/>
      <c r="W619" s="51"/>
      <c r="X619" s="51"/>
      <c r="Y619" s="51"/>
      <c r="Z619" s="51"/>
      <c r="AA619" s="51"/>
      <c r="AB619" s="51"/>
    </row>
    <row r="620" customFormat="false" ht="15.75" hidden="false" customHeight="false" outlineLevel="0" collapsed="false">
      <c r="A620" s="51"/>
      <c r="B620" s="51"/>
      <c r="C620" s="6"/>
      <c r="D620" s="49"/>
      <c r="E620" s="51"/>
      <c r="F620" s="6"/>
      <c r="G620" s="6"/>
      <c r="H620" s="6"/>
      <c r="I620" s="6"/>
      <c r="J620" s="6"/>
      <c r="K620" s="51"/>
      <c r="L620" s="51"/>
      <c r="M620" s="51"/>
      <c r="N620" s="51"/>
      <c r="O620" s="51"/>
      <c r="P620" s="51"/>
      <c r="Q620" s="51"/>
      <c r="R620" s="51"/>
      <c r="S620" s="51"/>
      <c r="T620" s="51"/>
      <c r="U620" s="51"/>
      <c r="V620" s="51"/>
      <c r="W620" s="51"/>
      <c r="X620" s="51"/>
      <c r="Y620" s="51"/>
      <c r="Z620" s="51"/>
      <c r="AA620" s="51"/>
      <c r="AB620" s="51"/>
    </row>
    <row r="621" customFormat="false" ht="15.75" hidden="false" customHeight="false" outlineLevel="0" collapsed="false">
      <c r="A621" s="51"/>
      <c r="B621" s="51"/>
      <c r="C621" s="6"/>
      <c r="D621" s="49"/>
      <c r="E621" s="51"/>
      <c r="F621" s="6"/>
      <c r="G621" s="6"/>
      <c r="H621" s="6"/>
      <c r="I621" s="6"/>
      <c r="J621" s="6"/>
      <c r="K621" s="51"/>
      <c r="L621" s="51"/>
      <c r="M621" s="51"/>
      <c r="N621" s="51"/>
      <c r="O621" s="51"/>
      <c r="P621" s="51"/>
      <c r="Q621" s="51"/>
      <c r="R621" s="51"/>
      <c r="S621" s="51"/>
      <c r="T621" s="51"/>
      <c r="U621" s="51"/>
      <c r="V621" s="51"/>
      <c r="W621" s="51"/>
      <c r="X621" s="51"/>
      <c r="Y621" s="51"/>
      <c r="Z621" s="51"/>
      <c r="AA621" s="51"/>
      <c r="AB621" s="51"/>
    </row>
    <row r="622" customFormat="false" ht="15.75" hidden="false" customHeight="false" outlineLevel="0" collapsed="false">
      <c r="A622" s="51"/>
      <c r="B622" s="51"/>
      <c r="C622" s="6"/>
      <c r="D622" s="49"/>
      <c r="E622" s="51"/>
      <c r="F622" s="6"/>
      <c r="G622" s="6"/>
      <c r="H622" s="6"/>
      <c r="I622" s="6"/>
      <c r="J622" s="6"/>
      <c r="K622" s="51"/>
      <c r="L622" s="51"/>
      <c r="M622" s="51"/>
      <c r="N622" s="51"/>
      <c r="O622" s="51"/>
      <c r="P622" s="51"/>
      <c r="Q622" s="51"/>
      <c r="R622" s="51"/>
      <c r="S622" s="51"/>
      <c r="T622" s="51"/>
      <c r="U622" s="51"/>
      <c r="V622" s="51"/>
      <c r="W622" s="51"/>
      <c r="X622" s="51"/>
      <c r="Y622" s="51"/>
      <c r="Z622" s="51"/>
      <c r="AA622" s="51"/>
      <c r="AB622" s="51"/>
    </row>
    <row r="623" customFormat="false" ht="15.75" hidden="false" customHeight="false" outlineLevel="0" collapsed="false">
      <c r="A623" s="51"/>
      <c r="B623" s="51"/>
      <c r="C623" s="6"/>
      <c r="D623" s="49"/>
      <c r="E623" s="51"/>
      <c r="F623" s="6"/>
      <c r="G623" s="6"/>
      <c r="H623" s="6"/>
      <c r="I623" s="6"/>
      <c r="J623" s="6"/>
      <c r="K623" s="51"/>
      <c r="L623" s="51"/>
      <c r="M623" s="51"/>
      <c r="N623" s="51"/>
      <c r="O623" s="51"/>
      <c r="P623" s="51"/>
      <c r="Q623" s="51"/>
      <c r="R623" s="51"/>
      <c r="S623" s="51"/>
      <c r="T623" s="51"/>
      <c r="U623" s="51"/>
      <c r="V623" s="51"/>
      <c r="W623" s="51"/>
      <c r="X623" s="51"/>
      <c r="Y623" s="51"/>
      <c r="Z623" s="51"/>
      <c r="AA623" s="51"/>
      <c r="AB623" s="51"/>
    </row>
    <row r="624" customFormat="false" ht="15.75" hidden="false" customHeight="false" outlineLevel="0" collapsed="false">
      <c r="A624" s="51"/>
      <c r="B624" s="51"/>
      <c r="C624" s="6"/>
      <c r="D624" s="49"/>
      <c r="E624" s="51"/>
      <c r="F624" s="6"/>
      <c r="G624" s="6"/>
      <c r="H624" s="6"/>
      <c r="I624" s="6"/>
      <c r="J624" s="6"/>
      <c r="K624" s="51"/>
      <c r="L624" s="51"/>
      <c r="M624" s="51"/>
      <c r="N624" s="51"/>
      <c r="O624" s="51"/>
      <c r="P624" s="51"/>
      <c r="Q624" s="51"/>
      <c r="R624" s="51"/>
      <c r="S624" s="51"/>
      <c r="T624" s="51"/>
      <c r="U624" s="51"/>
      <c r="V624" s="51"/>
      <c r="W624" s="51"/>
      <c r="X624" s="51"/>
      <c r="Y624" s="51"/>
      <c r="Z624" s="51"/>
      <c r="AA624" s="51"/>
      <c r="AB624" s="51"/>
    </row>
    <row r="625" customFormat="false" ht="15.75" hidden="false" customHeight="false" outlineLevel="0" collapsed="false">
      <c r="A625" s="51"/>
      <c r="B625" s="51"/>
      <c r="C625" s="6"/>
      <c r="D625" s="49"/>
      <c r="E625" s="51"/>
      <c r="F625" s="6"/>
      <c r="G625" s="6"/>
      <c r="H625" s="6"/>
      <c r="I625" s="6"/>
      <c r="J625" s="6"/>
      <c r="K625" s="51"/>
      <c r="L625" s="51"/>
      <c r="M625" s="51"/>
      <c r="N625" s="51"/>
      <c r="O625" s="51"/>
      <c r="P625" s="51"/>
      <c r="Q625" s="51"/>
      <c r="R625" s="51"/>
      <c r="S625" s="51"/>
      <c r="T625" s="51"/>
      <c r="U625" s="51"/>
      <c r="V625" s="51"/>
      <c r="W625" s="51"/>
      <c r="X625" s="51"/>
      <c r="Y625" s="51"/>
      <c r="Z625" s="51"/>
      <c r="AA625" s="51"/>
      <c r="AB625" s="51"/>
    </row>
    <row r="626" customFormat="false" ht="15.75" hidden="false" customHeight="false" outlineLevel="0" collapsed="false">
      <c r="A626" s="51"/>
      <c r="B626" s="51"/>
      <c r="C626" s="6"/>
      <c r="D626" s="49"/>
      <c r="E626" s="51"/>
      <c r="F626" s="6"/>
      <c r="G626" s="6"/>
      <c r="H626" s="6"/>
      <c r="I626" s="6"/>
      <c r="J626" s="6"/>
      <c r="K626" s="51"/>
      <c r="L626" s="51"/>
      <c r="M626" s="51"/>
      <c r="N626" s="51"/>
      <c r="O626" s="51"/>
      <c r="P626" s="51"/>
      <c r="Q626" s="51"/>
      <c r="R626" s="51"/>
      <c r="S626" s="51"/>
      <c r="T626" s="51"/>
      <c r="U626" s="51"/>
      <c r="V626" s="51"/>
      <c r="W626" s="51"/>
      <c r="X626" s="51"/>
      <c r="Y626" s="51"/>
      <c r="Z626" s="51"/>
      <c r="AA626" s="51"/>
      <c r="AB626" s="51"/>
    </row>
    <row r="627" customFormat="false" ht="15.75" hidden="false" customHeight="false" outlineLevel="0" collapsed="false">
      <c r="A627" s="51"/>
      <c r="B627" s="51"/>
      <c r="C627" s="6"/>
      <c r="D627" s="49"/>
      <c r="E627" s="51"/>
      <c r="F627" s="6"/>
      <c r="G627" s="6"/>
      <c r="H627" s="6"/>
      <c r="I627" s="6"/>
      <c r="J627" s="6"/>
      <c r="K627" s="51"/>
      <c r="L627" s="51"/>
      <c r="M627" s="51"/>
      <c r="N627" s="51"/>
      <c r="O627" s="51"/>
      <c r="P627" s="51"/>
      <c r="Q627" s="51"/>
      <c r="R627" s="51"/>
      <c r="S627" s="51"/>
      <c r="T627" s="51"/>
      <c r="U627" s="51"/>
      <c r="V627" s="51"/>
      <c r="W627" s="51"/>
      <c r="X627" s="51"/>
      <c r="Y627" s="51"/>
      <c r="Z627" s="51"/>
      <c r="AA627" s="51"/>
      <c r="AB627" s="51"/>
    </row>
    <row r="628" customFormat="false" ht="15.75" hidden="false" customHeight="false" outlineLevel="0" collapsed="false">
      <c r="A628" s="51"/>
      <c r="B628" s="51"/>
      <c r="C628" s="6"/>
      <c r="D628" s="49"/>
      <c r="E628" s="51"/>
      <c r="F628" s="6"/>
      <c r="G628" s="6"/>
      <c r="H628" s="6"/>
      <c r="I628" s="6"/>
      <c r="J628" s="6"/>
      <c r="K628" s="51"/>
      <c r="L628" s="51"/>
      <c r="M628" s="51"/>
      <c r="N628" s="51"/>
      <c r="O628" s="51"/>
      <c r="P628" s="51"/>
      <c r="Q628" s="51"/>
      <c r="R628" s="51"/>
      <c r="S628" s="51"/>
      <c r="T628" s="51"/>
      <c r="U628" s="51"/>
      <c r="V628" s="51"/>
      <c r="W628" s="51"/>
      <c r="X628" s="51"/>
      <c r="Y628" s="51"/>
      <c r="Z628" s="51"/>
      <c r="AA628" s="51"/>
      <c r="AB628" s="51"/>
    </row>
    <row r="629" customFormat="false" ht="15.75" hidden="false" customHeight="false" outlineLevel="0" collapsed="false">
      <c r="A629" s="51"/>
      <c r="B629" s="51"/>
      <c r="C629" s="6"/>
      <c r="D629" s="49"/>
      <c r="E629" s="51"/>
      <c r="F629" s="6"/>
      <c r="G629" s="6"/>
      <c r="H629" s="6"/>
      <c r="I629" s="6"/>
      <c r="J629" s="6"/>
      <c r="K629" s="51"/>
      <c r="L629" s="51"/>
      <c r="M629" s="51"/>
      <c r="N629" s="51"/>
      <c r="O629" s="51"/>
      <c r="P629" s="51"/>
      <c r="Q629" s="51"/>
      <c r="R629" s="51"/>
      <c r="S629" s="51"/>
      <c r="T629" s="51"/>
      <c r="U629" s="51"/>
      <c r="V629" s="51"/>
      <c r="W629" s="51"/>
      <c r="X629" s="51"/>
      <c r="Y629" s="51"/>
      <c r="Z629" s="51"/>
      <c r="AA629" s="51"/>
      <c r="AB629" s="51"/>
    </row>
    <row r="630" customFormat="false" ht="15.75" hidden="false" customHeight="false" outlineLevel="0" collapsed="false">
      <c r="A630" s="51"/>
      <c r="B630" s="51"/>
      <c r="C630" s="6"/>
      <c r="D630" s="49"/>
      <c r="E630" s="51"/>
      <c r="F630" s="6"/>
      <c r="G630" s="6"/>
      <c r="H630" s="6"/>
      <c r="I630" s="6"/>
      <c r="J630" s="6"/>
      <c r="K630" s="51"/>
      <c r="L630" s="51"/>
      <c r="M630" s="51"/>
      <c r="N630" s="51"/>
      <c r="O630" s="51"/>
      <c r="P630" s="51"/>
      <c r="Q630" s="51"/>
      <c r="R630" s="51"/>
      <c r="S630" s="51"/>
      <c r="T630" s="51"/>
      <c r="U630" s="51"/>
      <c r="V630" s="51"/>
      <c r="W630" s="51"/>
      <c r="X630" s="51"/>
      <c r="Y630" s="51"/>
      <c r="Z630" s="51"/>
      <c r="AA630" s="51"/>
      <c r="AB630" s="51"/>
    </row>
    <row r="631" customFormat="false" ht="15.75" hidden="false" customHeight="false" outlineLevel="0" collapsed="false">
      <c r="A631" s="51"/>
      <c r="B631" s="51"/>
      <c r="C631" s="6"/>
      <c r="D631" s="49"/>
      <c r="E631" s="51"/>
      <c r="F631" s="6"/>
      <c r="G631" s="6"/>
      <c r="H631" s="6"/>
      <c r="I631" s="6"/>
      <c r="J631" s="6"/>
      <c r="K631" s="51"/>
      <c r="L631" s="51"/>
      <c r="M631" s="51"/>
      <c r="N631" s="51"/>
      <c r="O631" s="51"/>
      <c r="P631" s="51"/>
      <c r="Q631" s="51"/>
      <c r="R631" s="51"/>
      <c r="S631" s="51"/>
      <c r="T631" s="51"/>
      <c r="U631" s="51"/>
      <c r="V631" s="51"/>
      <c r="W631" s="51"/>
      <c r="X631" s="51"/>
      <c r="Y631" s="51"/>
      <c r="Z631" s="51"/>
      <c r="AA631" s="51"/>
      <c r="AB631" s="51"/>
    </row>
    <row r="632" customFormat="false" ht="15.75" hidden="false" customHeight="false" outlineLevel="0" collapsed="false">
      <c r="A632" s="51"/>
      <c r="B632" s="51"/>
      <c r="C632" s="6"/>
      <c r="D632" s="49"/>
      <c r="E632" s="51"/>
      <c r="F632" s="6"/>
      <c r="G632" s="6"/>
      <c r="H632" s="6"/>
      <c r="I632" s="6"/>
      <c r="J632" s="6"/>
      <c r="K632" s="51"/>
      <c r="L632" s="51"/>
      <c r="M632" s="51"/>
      <c r="N632" s="51"/>
      <c r="O632" s="51"/>
      <c r="P632" s="51"/>
      <c r="Q632" s="51"/>
      <c r="R632" s="51"/>
      <c r="S632" s="51"/>
      <c r="T632" s="51"/>
      <c r="U632" s="51"/>
      <c r="V632" s="51"/>
      <c r="W632" s="51"/>
      <c r="X632" s="51"/>
      <c r="Y632" s="51"/>
      <c r="Z632" s="51"/>
      <c r="AA632" s="51"/>
      <c r="AB632" s="51"/>
    </row>
    <row r="633" customFormat="false" ht="15.75" hidden="false" customHeight="false" outlineLevel="0" collapsed="false">
      <c r="A633" s="51"/>
      <c r="B633" s="51"/>
      <c r="C633" s="6"/>
      <c r="D633" s="49"/>
      <c r="E633" s="51"/>
      <c r="F633" s="6"/>
      <c r="G633" s="6"/>
      <c r="H633" s="6"/>
      <c r="I633" s="6"/>
      <c r="J633" s="6"/>
      <c r="K633" s="51"/>
      <c r="L633" s="51"/>
      <c r="M633" s="51"/>
      <c r="N633" s="51"/>
      <c r="O633" s="51"/>
      <c r="P633" s="51"/>
      <c r="Q633" s="51"/>
      <c r="R633" s="51"/>
      <c r="S633" s="51"/>
      <c r="T633" s="51"/>
      <c r="U633" s="51"/>
      <c r="V633" s="51"/>
      <c r="W633" s="51"/>
      <c r="X633" s="51"/>
      <c r="Y633" s="51"/>
      <c r="Z633" s="51"/>
      <c r="AA633" s="51"/>
      <c r="AB633" s="51"/>
    </row>
    <row r="634" customFormat="false" ht="15.75" hidden="false" customHeight="false" outlineLevel="0" collapsed="false">
      <c r="A634" s="51"/>
      <c r="B634" s="51"/>
      <c r="C634" s="6"/>
      <c r="D634" s="49"/>
      <c r="E634" s="51"/>
      <c r="F634" s="6"/>
      <c r="G634" s="6"/>
      <c r="H634" s="6"/>
      <c r="I634" s="6"/>
      <c r="J634" s="6"/>
      <c r="K634" s="51"/>
      <c r="L634" s="51"/>
      <c r="M634" s="51"/>
      <c r="N634" s="51"/>
      <c r="O634" s="51"/>
      <c r="P634" s="51"/>
      <c r="Q634" s="51"/>
      <c r="R634" s="51"/>
      <c r="S634" s="51"/>
      <c r="T634" s="51"/>
      <c r="U634" s="51"/>
      <c r="V634" s="51"/>
      <c r="W634" s="51"/>
      <c r="X634" s="51"/>
      <c r="Y634" s="51"/>
      <c r="Z634" s="51"/>
      <c r="AA634" s="51"/>
      <c r="AB634" s="51"/>
    </row>
    <row r="635" customFormat="false" ht="15.75" hidden="false" customHeight="false" outlineLevel="0" collapsed="false">
      <c r="A635" s="51"/>
      <c r="B635" s="51"/>
      <c r="C635" s="6"/>
      <c r="D635" s="49"/>
      <c r="E635" s="51"/>
      <c r="F635" s="6"/>
      <c r="G635" s="6"/>
      <c r="H635" s="6"/>
      <c r="I635" s="6"/>
      <c r="J635" s="6"/>
      <c r="K635" s="51"/>
      <c r="L635" s="51"/>
      <c r="M635" s="51"/>
      <c r="N635" s="51"/>
      <c r="O635" s="51"/>
      <c r="P635" s="51"/>
      <c r="Q635" s="51"/>
      <c r="R635" s="51"/>
      <c r="S635" s="51"/>
      <c r="T635" s="51"/>
      <c r="U635" s="51"/>
      <c r="V635" s="51"/>
      <c r="W635" s="51"/>
      <c r="X635" s="51"/>
      <c r="Y635" s="51"/>
      <c r="Z635" s="51"/>
      <c r="AA635" s="51"/>
      <c r="AB635" s="51"/>
    </row>
    <row r="636" customFormat="false" ht="15.75" hidden="false" customHeight="false" outlineLevel="0" collapsed="false">
      <c r="A636" s="51"/>
      <c r="B636" s="51"/>
      <c r="C636" s="6"/>
      <c r="D636" s="49"/>
      <c r="E636" s="51"/>
      <c r="F636" s="6"/>
      <c r="G636" s="6"/>
      <c r="H636" s="6"/>
      <c r="I636" s="6"/>
      <c r="J636" s="6"/>
      <c r="K636" s="51"/>
      <c r="L636" s="51"/>
      <c r="M636" s="51"/>
      <c r="N636" s="51"/>
      <c r="O636" s="51"/>
      <c r="P636" s="51"/>
      <c r="Q636" s="51"/>
      <c r="R636" s="51"/>
      <c r="S636" s="51"/>
      <c r="T636" s="51"/>
      <c r="U636" s="51"/>
      <c r="V636" s="51"/>
      <c r="W636" s="51"/>
      <c r="X636" s="51"/>
      <c r="Y636" s="51"/>
      <c r="Z636" s="51"/>
      <c r="AA636" s="51"/>
      <c r="AB636" s="51"/>
    </row>
    <row r="637" customFormat="false" ht="15.75" hidden="false" customHeight="false" outlineLevel="0" collapsed="false">
      <c r="A637" s="51"/>
      <c r="B637" s="51"/>
      <c r="C637" s="6"/>
      <c r="D637" s="49"/>
      <c r="E637" s="51"/>
      <c r="F637" s="6"/>
      <c r="G637" s="6"/>
      <c r="H637" s="6"/>
      <c r="I637" s="6"/>
      <c r="J637" s="6"/>
      <c r="K637" s="51"/>
      <c r="L637" s="51"/>
      <c r="M637" s="51"/>
      <c r="N637" s="51"/>
      <c r="O637" s="51"/>
      <c r="P637" s="51"/>
      <c r="Q637" s="51"/>
      <c r="R637" s="51"/>
      <c r="S637" s="51"/>
      <c r="T637" s="51"/>
      <c r="U637" s="51"/>
      <c r="V637" s="51"/>
      <c r="W637" s="51"/>
      <c r="X637" s="51"/>
      <c r="Y637" s="51"/>
      <c r="Z637" s="51"/>
      <c r="AA637" s="51"/>
      <c r="AB637" s="51"/>
    </row>
    <row r="638" customFormat="false" ht="15.75" hidden="false" customHeight="false" outlineLevel="0" collapsed="false">
      <c r="A638" s="51"/>
      <c r="B638" s="51"/>
      <c r="C638" s="6"/>
      <c r="D638" s="49"/>
      <c r="E638" s="51"/>
      <c r="F638" s="6"/>
      <c r="G638" s="6"/>
      <c r="H638" s="6"/>
      <c r="I638" s="6"/>
      <c r="J638" s="6"/>
      <c r="K638" s="51"/>
      <c r="L638" s="51"/>
      <c r="M638" s="51"/>
      <c r="N638" s="51"/>
      <c r="O638" s="51"/>
      <c r="P638" s="51"/>
      <c r="Q638" s="51"/>
      <c r="R638" s="51"/>
      <c r="S638" s="51"/>
      <c r="T638" s="51"/>
      <c r="U638" s="51"/>
      <c r="V638" s="51"/>
      <c r="W638" s="51"/>
      <c r="X638" s="51"/>
      <c r="Y638" s="51"/>
      <c r="Z638" s="51"/>
      <c r="AA638" s="51"/>
      <c r="AB638" s="51"/>
    </row>
    <row r="639" customFormat="false" ht="15.75" hidden="false" customHeight="false" outlineLevel="0" collapsed="false">
      <c r="A639" s="51"/>
      <c r="B639" s="51"/>
      <c r="C639" s="6"/>
      <c r="D639" s="49"/>
      <c r="E639" s="51"/>
      <c r="F639" s="6"/>
      <c r="G639" s="6"/>
      <c r="H639" s="6"/>
      <c r="I639" s="6"/>
      <c r="J639" s="6"/>
      <c r="K639" s="51"/>
      <c r="L639" s="51"/>
      <c r="M639" s="51"/>
      <c r="N639" s="51"/>
      <c r="O639" s="51"/>
      <c r="P639" s="51"/>
      <c r="Q639" s="51"/>
      <c r="R639" s="51"/>
      <c r="S639" s="51"/>
      <c r="T639" s="51"/>
      <c r="U639" s="51"/>
      <c r="V639" s="51"/>
      <c r="W639" s="51"/>
      <c r="X639" s="51"/>
      <c r="Y639" s="51"/>
      <c r="Z639" s="51"/>
      <c r="AA639" s="51"/>
      <c r="AB639" s="51"/>
    </row>
    <row r="640" customFormat="false" ht="15.75" hidden="false" customHeight="false" outlineLevel="0" collapsed="false">
      <c r="A640" s="51"/>
      <c r="B640" s="51"/>
      <c r="C640" s="6"/>
      <c r="D640" s="49"/>
      <c r="E640" s="51"/>
      <c r="F640" s="6"/>
      <c r="G640" s="6"/>
      <c r="H640" s="6"/>
      <c r="I640" s="6"/>
      <c r="J640" s="6"/>
      <c r="K640" s="51"/>
      <c r="L640" s="51"/>
      <c r="M640" s="51"/>
      <c r="N640" s="51"/>
      <c r="O640" s="51"/>
      <c r="P640" s="51"/>
      <c r="Q640" s="51"/>
      <c r="R640" s="51"/>
      <c r="S640" s="51"/>
      <c r="T640" s="51"/>
      <c r="U640" s="51"/>
      <c r="V640" s="51"/>
      <c r="W640" s="51"/>
      <c r="X640" s="51"/>
      <c r="Y640" s="51"/>
      <c r="Z640" s="51"/>
      <c r="AA640" s="51"/>
      <c r="AB640" s="51"/>
    </row>
    <row r="641" customFormat="false" ht="15.75" hidden="false" customHeight="false" outlineLevel="0" collapsed="false">
      <c r="A641" s="51"/>
      <c r="B641" s="51"/>
      <c r="C641" s="6"/>
      <c r="D641" s="49"/>
      <c r="E641" s="51"/>
      <c r="F641" s="6"/>
      <c r="G641" s="6"/>
      <c r="H641" s="6"/>
      <c r="I641" s="6"/>
      <c r="J641" s="6"/>
      <c r="K641" s="51"/>
      <c r="L641" s="51"/>
      <c r="M641" s="51"/>
      <c r="N641" s="51"/>
      <c r="O641" s="51"/>
      <c r="P641" s="51"/>
      <c r="Q641" s="51"/>
      <c r="R641" s="51"/>
      <c r="S641" s="51"/>
      <c r="T641" s="51"/>
      <c r="U641" s="51"/>
      <c r="V641" s="51"/>
      <c r="W641" s="51"/>
      <c r="X641" s="51"/>
      <c r="Y641" s="51"/>
      <c r="Z641" s="51"/>
      <c r="AA641" s="51"/>
      <c r="AB641" s="51"/>
    </row>
    <row r="642" customFormat="false" ht="15.75" hidden="false" customHeight="false" outlineLevel="0" collapsed="false">
      <c r="A642" s="51"/>
      <c r="B642" s="51"/>
      <c r="C642" s="6"/>
      <c r="D642" s="49"/>
      <c r="E642" s="51"/>
      <c r="F642" s="6"/>
      <c r="G642" s="6"/>
      <c r="H642" s="6"/>
      <c r="I642" s="6"/>
      <c r="J642" s="6"/>
      <c r="K642" s="51"/>
      <c r="L642" s="51"/>
      <c r="M642" s="51"/>
      <c r="N642" s="51"/>
      <c r="O642" s="51"/>
      <c r="P642" s="51"/>
      <c r="Q642" s="51"/>
      <c r="R642" s="51"/>
      <c r="S642" s="51"/>
      <c r="T642" s="51"/>
      <c r="U642" s="51"/>
      <c r="V642" s="51"/>
      <c r="W642" s="51"/>
      <c r="X642" s="51"/>
      <c r="Y642" s="51"/>
      <c r="Z642" s="51"/>
      <c r="AA642" s="51"/>
      <c r="AB642" s="51"/>
    </row>
    <row r="643" customFormat="false" ht="15.75" hidden="false" customHeight="false" outlineLevel="0" collapsed="false">
      <c r="A643" s="51"/>
      <c r="B643" s="51"/>
      <c r="C643" s="6"/>
      <c r="D643" s="49"/>
      <c r="E643" s="51"/>
      <c r="F643" s="6"/>
      <c r="G643" s="6"/>
      <c r="H643" s="6"/>
      <c r="I643" s="6"/>
      <c r="J643" s="6"/>
      <c r="K643" s="51"/>
      <c r="L643" s="51"/>
      <c r="M643" s="51"/>
      <c r="N643" s="51"/>
      <c r="O643" s="51"/>
      <c r="P643" s="51"/>
      <c r="Q643" s="51"/>
      <c r="R643" s="51"/>
      <c r="S643" s="51"/>
      <c r="T643" s="51"/>
      <c r="U643" s="51"/>
      <c r="V643" s="51"/>
      <c r="W643" s="51"/>
      <c r="X643" s="51"/>
      <c r="Y643" s="51"/>
      <c r="Z643" s="51"/>
      <c r="AA643" s="51"/>
      <c r="AB643" s="51"/>
    </row>
    <row r="644" customFormat="false" ht="15.75" hidden="false" customHeight="false" outlineLevel="0" collapsed="false">
      <c r="A644" s="51"/>
      <c r="B644" s="51"/>
      <c r="C644" s="6"/>
      <c r="D644" s="49"/>
      <c r="E644" s="51"/>
      <c r="F644" s="6"/>
      <c r="G644" s="6"/>
      <c r="H644" s="6"/>
      <c r="I644" s="6"/>
      <c r="J644" s="6"/>
      <c r="K644" s="51"/>
      <c r="L644" s="51"/>
      <c r="M644" s="51"/>
      <c r="N644" s="51"/>
      <c r="O644" s="51"/>
      <c r="P644" s="51"/>
      <c r="Q644" s="51"/>
      <c r="R644" s="51"/>
      <c r="S644" s="51"/>
      <c r="T644" s="51"/>
      <c r="U644" s="51"/>
      <c r="V644" s="51"/>
      <c r="W644" s="51"/>
      <c r="X644" s="51"/>
      <c r="Y644" s="51"/>
      <c r="Z644" s="51"/>
      <c r="AA644" s="51"/>
      <c r="AB644" s="51"/>
    </row>
    <row r="645" customFormat="false" ht="15.75" hidden="false" customHeight="false" outlineLevel="0" collapsed="false">
      <c r="A645" s="51"/>
      <c r="B645" s="51"/>
      <c r="C645" s="6"/>
      <c r="D645" s="49"/>
      <c r="E645" s="51"/>
      <c r="F645" s="6"/>
      <c r="G645" s="6"/>
      <c r="H645" s="6"/>
      <c r="I645" s="6"/>
      <c r="J645" s="6"/>
      <c r="K645" s="51"/>
      <c r="L645" s="51"/>
      <c r="M645" s="51"/>
      <c r="N645" s="51"/>
      <c r="O645" s="51"/>
      <c r="P645" s="51"/>
      <c r="Q645" s="51"/>
      <c r="R645" s="51"/>
      <c r="S645" s="51"/>
      <c r="T645" s="51"/>
      <c r="U645" s="51"/>
      <c r="V645" s="51"/>
      <c r="W645" s="51"/>
      <c r="X645" s="51"/>
      <c r="Y645" s="51"/>
      <c r="Z645" s="51"/>
      <c r="AA645" s="51"/>
      <c r="AB645" s="51"/>
    </row>
    <row r="646" customFormat="false" ht="15.75" hidden="false" customHeight="false" outlineLevel="0" collapsed="false">
      <c r="A646" s="51"/>
      <c r="B646" s="51"/>
      <c r="C646" s="6"/>
      <c r="D646" s="49"/>
      <c r="E646" s="51"/>
      <c r="F646" s="6"/>
      <c r="G646" s="6"/>
      <c r="H646" s="6"/>
      <c r="I646" s="6"/>
      <c r="J646" s="6"/>
      <c r="K646" s="51"/>
      <c r="L646" s="51"/>
      <c r="M646" s="51"/>
      <c r="N646" s="51"/>
      <c r="O646" s="51"/>
      <c r="P646" s="51"/>
      <c r="Q646" s="51"/>
      <c r="R646" s="51"/>
      <c r="S646" s="51"/>
      <c r="T646" s="51"/>
      <c r="U646" s="51"/>
      <c r="V646" s="51"/>
      <c r="W646" s="51"/>
      <c r="X646" s="51"/>
      <c r="Y646" s="51"/>
      <c r="Z646" s="51"/>
      <c r="AA646" s="51"/>
      <c r="AB646" s="51"/>
    </row>
    <row r="647" customFormat="false" ht="15.75" hidden="false" customHeight="false" outlineLevel="0" collapsed="false">
      <c r="A647" s="51"/>
      <c r="B647" s="51"/>
      <c r="C647" s="6"/>
      <c r="D647" s="49"/>
      <c r="E647" s="51"/>
      <c r="F647" s="6"/>
      <c r="G647" s="6"/>
      <c r="H647" s="6"/>
      <c r="I647" s="6"/>
      <c r="J647" s="6"/>
      <c r="K647" s="51"/>
      <c r="L647" s="51"/>
      <c r="M647" s="51"/>
      <c r="N647" s="51"/>
      <c r="O647" s="51"/>
      <c r="P647" s="51"/>
      <c r="Q647" s="51"/>
      <c r="R647" s="51"/>
      <c r="S647" s="51"/>
      <c r="T647" s="51"/>
      <c r="U647" s="51"/>
      <c r="V647" s="51"/>
      <c r="W647" s="51"/>
      <c r="X647" s="51"/>
      <c r="Y647" s="51"/>
      <c r="Z647" s="51"/>
      <c r="AA647" s="51"/>
      <c r="AB647" s="51"/>
    </row>
    <row r="648" customFormat="false" ht="15.75" hidden="false" customHeight="false" outlineLevel="0" collapsed="false">
      <c r="A648" s="51"/>
      <c r="B648" s="51"/>
      <c r="C648" s="6"/>
      <c r="D648" s="49"/>
      <c r="E648" s="51"/>
      <c r="F648" s="6"/>
      <c r="G648" s="6"/>
      <c r="H648" s="6"/>
      <c r="I648" s="6"/>
      <c r="J648" s="6"/>
      <c r="K648" s="51"/>
      <c r="L648" s="51"/>
      <c r="M648" s="51"/>
      <c r="N648" s="51"/>
      <c r="O648" s="51"/>
      <c r="P648" s="51"/>
      <c r="Q648" s="51"/>
      <c r="R648" s="51"/>
      <c r="S648" s="51"/>
      <c r="T648" s="51"/>
      <c r="U648" s="51"/>
      <c r="V648" s="51"/>
      <c r="W648" s="51"/>
      <c r="X648" s="51"/>
      <c r="Y648" s="51"/>
      <c r="Z648" s="51"/>
      <c r="AA648" s="51"/>
      <c r="AB648" s="51"/>
    </row>
    <row r="649" customFormat="false" ht="15.75" hidden="false" customHeight="false" outlineLevel="0" collapsed="false">
      <c r="A649" s="51"/>
      <c r="B649" s="51"/>
      <c r="C649" s="6"/>
      <c r="D649" s="49"/>
      <c r="E649" s="51"/>
      <c r="F649" s="6"/>
      <c r="G649" s="6"/>
      <c r="H649" s="6"/>
      <c r="I649" s="6"/>
      <c r="J649" s="6"/>
      <c r="K649" s="51"/>
      <c r="L649" s="51"/>
      <c r="M649" s="51"/>
      <c r="N649" s="51"/>
      <c r="O649" s="51"/>
      <c r="P649" s="51"/>
      <c r="Q649" s="51"/>
      <c r="R649" s="51"/>
      <c r="S649" s="51"/>
      <c r="T649" s="51"/>
      <c r="U649" s="51"/>
      <c r="V649" s="51"/>
      <c r="W649" s="51"/>
      <c r="X649" s="51"/>
      <c r="Y649" s="51"/>
      <c r="Z649" s="51"/>
      <c r="AA649" s="51"/>
      <c r="AB649" s="51"/>
    </row>
    <row r="650" customFormat="false" ht="15.75" hidden="false" customHeight="false" outlineLevel="0" collapsed="false">
      <c r="A650" s="51"/>
      <c r="B650" s="51"/>
      <c r="C650" s="6"/>
      <c r="D650" s="49"/>
      <c r="E650" s="51"/>
      <c r="F650" s="6"/>
      <c r="G650" s="6"/>
      <c r="H650" s="6"/>
      <c r="I650" s="6"/>
      <c r="J650" s="6"/>
      <c r="K650" s="51"/>
      <c r="L650" s="51"/>
      <c r="M650" s="51"/>
      <c r="N650" s="51"/>
      <c r="O650" s="51"/>
      <c r="P650" s="51"/>
      <c r="Q650" s="51"/>
      <c r="R650" s="51"/>
      <c r="S650" s="51"/>
      <c r="T650" s="51"/>
      <c r="U650" s="51"/>
      <c r="V650" s="51"/>
      <c r="W650" s="51"/>
      <c r="X650" s="51"/>
      <c r="Y650" s="51"/>
      <c r="Z650" s="51"/>
      <c r="AA650" s="51"/>
      <c r="AB650" s="51"/>
    </row>
    <row r="651" customFormat="false" ht="15.75" hidden="false" customHeight="false" outlineLevel="0" collapsed="false">
      <c r="A651" s="51"/>
      <c r="B651" s="51"/>
      <c r="C651" s="6"/>
      <c r="D651" s="49"/>
      <c r="E651" s="51"/>
      <c r="F651" s="6"/>
      <c r="G651" s="6"/>
      <c r="H651" s="6"/>
      <c r="I651" s="6"/>
      <c r="J651" s="6"/>
      <c r="K651" s="51"/>
      <c r="L651" s="51"/>
      <c r="M651" s="51"/>
      <c r="N651" s="51"/>
      <c r="O651" s="51"/>
      <c r="P651" s="51"/>
      <c r="Q651" s="51"/>
      <c r="R651" s="51"/>
      <c r="S651" s="51"/>
      <c r="T651" s="51"/>
      <c r="U651" s="51"/>
      <c r="V651" s="51"/>
      <c r="W651" s="51"/>
      <c r="X651" s="51"/>
      <c r="Y651" s="51"/>
      <c r="Z651" s="51"/>
      <c r="AA651" s="51"/>
      <c r="AB651" s="51"/>
    </row>
    <row r="652" customFormat="false" ht="15.75" hidden="false" customHeight="false" outlineLevel="0" collapsed="false">
      <c r="A652" s="51"/>
      <c r="B652" s="51"/>
      <c r="C652" s="6"/>
      <c r="D652" s="49"/>
      <c r="E652" s="51"/>
      <c r="F652" s="6"/>
      <c r="G652" s="6"/>
      <c r="H652" s="6"/>
      <c r="I652" s="6"/>
      <c r="J652" s="6"/>
      <c r="K652" s="51"/>
      <c r="L652" s="51"/>
      <c r="M652" s="51"/>
      <c r="N652" s="51"/>
      <c r="O652" s="51"/>
      <c r="P652" s="51"/>
      <c r="Q652" s="51"/>
      <c r="R652" s="51"/>
      <c r="S652" s="51"/>
      <c r="T652" s="51"/>
      <c r="U652" s="51"/>
      <c r="V652" s="51"/>
      <c r="W652" s="51"/>
      <c r="X652" s="51"/>
      <c r="Y652" s="51"/>
      <c r="Z652" s="51"/>
      <c r="AA652" s="51"/>
      <c r="AB652" s="51"/>
    </row>
    <row r="653" customFormat="false" ht="15.75" hidden="false" customHeight="false" outlineLevel="0" collapsed="false">
      <c r="A653" s="51"/>
      <c r="B653" s="51"/>
      <c r="C653" s="6"/>
      <c r="D653" s="49"/>
      <c r="E653" s="51"/>
      <c r="F653" s="6"/>
      <c r="G653" s="6"/>
      <c r="H653" s="6"/>
      <c r="I653" s="6"/>
      <c r="J653" s="6"/>
      <c r="K653" s="51"/>
      <c r="L653" s="51"/>
      <c r="M653" s="51"/>
      <c r="N653" s="51"/>
      <c r="O653" s="51"/>
      <c r="P653" s="51"/>
      <c r="Q653" s="51"/>
      <c r="R653" s="51"/>
      <c r="S653" s="51"/>
      <c r="T653" s="51"/>
      <c r="U653" s="51"/>
      <c r="V653" s="51"/>
      <c r="W653" s="51"/>
      <c r="X653" s="51"/>
      <c r="Y653" s="51"/>
      <c r="Z653" s="51"/>
      <c r="AA653" s="51"/>
      <c r="AB653" s="51"/>
    </row>
    <row r="654" customFormat="false" ht="15.75" hidden="false" customHeight="false" outlineLevel="0" collapsed="false">
      <c r="A654" s="51"/>
      <c r="B654" s="51"/>
      <c r="C654" s="6"/>
      <c r="D654" s="49"/>
      <c r="E654" s="51"/>
      <c r="F654" s="6"/>
      <c r="G654" s="6"/>
      <c r="H654" s="6"/>
      <c r="I654" s="6"/>
      <c r="J654" s="6"/>
      <c r="K654" s="51"/>
      <c r="L654" s="51"/>
      <c r="M654" s="51"/>
      <c r="N654" s="51"/>
      <c r="O654" s="51"/>
      <c r="P654" s="51"/>
      <c r="Q654" s="51"/>
      <c r="R654" s="51"/>
      <c r="S654" s="51"/>
      <c r="T654" s="51"/>
      <c r="U654" s="51"/>
      <c r="V654" s="51"/>
      <c r="W654" s="51"/>
      <c r="X654" s="51"/>
      <c r="Y654" s="51"/>
      <c r="Z654" s="51"/>
      <c r="AA654" s="51"/>
      <c r="AB654" s="51"/>
    </row>
    <row r="655" customFormat="false" ht="15.75" hidden="false" customHeight="false" outlineLevel="0" collapsed="false">
      <c r="A655" s="51"/>
      <c r="B655" s="51"/>
      <c r="C655" s="6"/>
      <c r="D655" s="49"/>
      <c r="E655" s="51"/>
      <c r="F655" s="6"/>
      <c r="G655" s="6"/>
      <c r="H655" s="6"/>
      <c r="I655" s="6"/>
      <c r="J655" s="6"/>
      <c r="K655" s="51"/>
      <c r="L655" s="51"/>
      <c r="M655" s="51"/>
      <c r="N655" s="51"/>
      <c r="O655" s="51"/>
      <c r="P655" s="51"/>
      <c r="Q655" s="51"/>
      <c r="R655" s="51"/>
      <c r="S655" s="51"/>
      <c r="T655" s="51"/>
      <c r="U655" s="51"/>
      <c r="V655" s="51"/>
      <c r="W655" s="51"/>
      <c r="X655" s="51"/>
      <c r="Y655" s="51"/>
      <c r="Z655" s="51"/>
      <c r="AA655" s="51"/>
      <c r="AB655" s="51"/>
    </row>
    <row r="656" customFormat="false" ht="15.75" hidden="false" customHeight="false" outlineLevel="0" collapsed="false">
      <c r="A656" s="51"/>
      <c r="B656" s="51"/>
      <c r="C656" s="6"/>
      <c r="D656" s="49"/>
      <c r="E656" s="51"/>
      <c r="F656" s="6"/>
      <c r="G656" s="6"/>
      <c r="H656" s="6"/>
      <c r="I656" s="6"/>
      <c r="J656" s="6"/>
      <c r="K656" s="51"/>
      <c r="L656" s="51"/>
      <c r="M656" s="51"/>
      <c r="N656" s="51"/>
      <c r="O656" s="51"/>
      <c r="P656" s="51"/>
      <c r="Q656" s="51"/>
      <c r="R656" s="51"/>
      <c r="S656" s="51"/>
      <c r="T656" s="51"/>
      <c r="U656" s="51"/>
      <c r="V656" s="51"/>
      <c r="W656" s="51"/>
      <c r="X656" s="51"/>
      <c r="Y656" s="51"/>
      <c r="Z656" s="51"/>
      <c r="AA656" s="51"/>
      <c r="AB656" s="51"/>
    </row>
    <row r="657" customFormat="false" ht="15.75" hidden="false" customHeight="false" outlineLevel="0" collapsed="false">
      <c r="A657" s="51"/>
      <c r="B657" s="51"/>
      <c r="C657" s="6"/>
      <c r="D657" s="49"/>
      <c r="E657" s="51"/>
      <c r="F657" s="6"/>
      <c r="G657" s="6"/>
      <c r="H657" s="6"/>
      <c r="I657" s="6"/>
      <c r="J657" s="6"/>
      <c r="K657" s="51"/>
      <c r="L657" s="51"/>
      <c r="M657" s="51"/>
      <c r="N657" s="51"/>
      <c r="O657" s="51"/>
      <c r="P657" s="51"/>
      <c r="Q657" s="51"/>
      <c r="R657" s="51"/>
      <c r="S657" s="51"/>
      <c r="T657" s="51"/>
      <c r="U657" s="51"/>
      <c r="V657" s="51"/>
      <c r="W657" s="51"/>
      <c r="X657" s="51"/>
      <c r="Y657" s="51"/>
      <c r="Z657" s="51"/>
      <c r="AA657" s="51"/>
      <c r="AB657" s="51"/>
    </row>
    <row r="658" customFormat="false" ht="15.75" hidden="false" customHeight="false" outlineLevel="0" collapsed="false">
      <c r="A658" s="51"/>
      <c r="B658" s="51"/>
      <c r="C658" s="6"/>
      <c r="D658" s="49"/>
      <c r="E658" s="51"/>
      <c r="F658" s="6"/>
      <c r="G658" s="6"/>
      <c r="H658" s="6"/>
      <c r="I658" s="6"/>
      <c r="J658" s="6"/>
      <c r="K658" s="51"/>
      <c r="L658" s="51"/>
      <c r="M658" s="51"/>
      <c r="N658" s="51"/>
      <c r="O658" s="51"/>
      <c r="P658" s="51"/>
      <c r="Q658" s="51"/>
      <c r="R658" s="51"/>
      <c r="S658" s="51"/>
      <c r="T658" s="51"/>
      <c r="U658" s="51"/>
      <c r="V658" s="51"/>
      <c r="W658" s="51"/>
      <c r="X658" s="51"/>
      <c r="Y658" s="51"/>
      <c r="Z658" s="51"/>
      <c r="AA658" s="51"/>
      <c r="AB658" s="51"/>
    </row>
    <row r="659" customFormat="false" ht="15.75" hidden="false" customHeight="false" outlineLevel="0" collapsed="false">
      <c r="A659" s="51"/>
      <c r="B659" s="51"/>
      <c r="C659" s="6"/>
      <c r="D659" s="49"/>
      <c r="E659" s="51"/>
      <c r="F659" s="6"/>
      <c r="G659" s="6"/>
      <c r="H659" s="6"/>
      <c r="I659" s="6"/>
      <c r="J659" s="6"/>
      <c r="K659" s="51"/>
      <c r="L659" s="51"/>
      <c r="M659" s="51"/>
      <c r="N659" s="51"/>
      <c r="O659" s="51"/>
      <c r="P659" s="51"/>
      <c r="Q659" s="51"/>
      <c r="R659" s="51"/>
      <c r="S659" s="51"/>
      <c r="T659" s="51"/>
      <c r="U659" s="51"/>
      <c r="V659" s="51"/>
      <c r="W659" s="51"/>
      <c r="X659" s="51"/>
      <c r="Y659" s="51"/>
      <c r="Z659" s="51"/>
      <c r="AA659" s="51"/>
      <c r="AB659" s="51"/>
    </row>
    <row r="660" customFormat="false" ht="15.75" hidden="false" customHeight="false" outlineLevel="0" collapsed="false">
      <c r="A660" s="51"/>
      <c r="B660" s="51"/>
      <c r="C660" s="6"/>
      <c r="D660" s="49"/>
      <c r="E660" s="51"/>
      <c r="F660" s="6"/>
      <c r="G660" s="6"/>
      <c r="H660" s="6"/>
      <c r="I660" s="6"/>
      <c r="J660" s="6"/>
      <c r="K660" s="51"/>
      <c r="L660" s="51"/>
      <c r="M660" s="51"/>
      <c r="N660" s="51"/>
      <c r="O660" s="51"/>
      <c r="P660" s="51"/>
      <c r="Q660" s="51"/>
      <c r="R660" s="51"/>
      <c r="S660" s="51"/>
      <c r="T660" s="51"/>
      <c r="U660" s="51"/>
      <c r="V660" s="51"/>
      <c r="W660" s="51"/>
      <c r="X660" s="51"/>
      <c r="Y660" s="51"/>
      <c r="Z660" s="51"/>
      <c r="AA660" s="51"/>
      <c r="AB660" s="51"/>
    </row>
    <row r="661" customFormat="false" ht="15.75" hidden="false" customHeight="false" outlineLevel="0" collapsed="false">
      <c r="A661" s="51"/>
      <c r="B661" s="51"/>
      <c r="C661" s="6"/>
      <c r="D661" s="49"/>
      <c r="E661" s="51"/>
      <c r="F661" s="6"/>
      <c r="G661" s="6"/>
      <c r="H661" s="6"/>
      <c r="I661" s="6"/>
      <c r="J661" s="6"/>
      <c r="K661" s="51"/>
      <c r="L661" s="51"/>
      <c r="M661" s="51"/>
      <c r="N661" s="51"/>
      <c r="O661" s="51"/>
      <c r="P661" s="51"/>
      <c r="Q661" s="51"/>
      <c r="R661" s="51"/>
      <c r="S661" s="51"/>
      <c r="T661" s="51"/>
      <c r="U661" s="51"/>
      <c r="V661" s="51"/>
      <c r="W661" s="51"/>
      <c r="X661" s="51"/>
      <c r="Y661" s="51"/>
      <c r="Z661" s="51"/>
      <c r="AA661" s="51"/>
      <c r="AB661" s="51"/>
    </row>
    <row r="662" customFormat="false" ht="15.75" hidden="false" customHeight="false" outlineLevel="0" collapsed="false">
      <c r="A662" s="51"/>
      <c r="B662" s="51"/>
      <c r="C662" s="6"/>
      <c r="D662" s="49"/>
      <c r="E662" s="51"/>
      <c r="F662" s="6"/>
      <c r="G662" s="6"/>
      <c r="H662" s="6"/>
      <c r="I662" s="6"/>
      <c r="J662" s="6"/>
      <c r="K662" s="51"/>
      <c r="L662" s="51"/>
      <c r="M662" s="51"/>
      <c r="N662" s="51"/>
      <c r="O662" s="51"/>
      <c r="P662" s="51"/>
      <c r="Q662" s="51"/>
      <c r="R662" s="51"/>
      <c r="S662" s="51"/>
      <c r="T662" s="51"/>
      <c r="U662" s="51"/>
      <c r="V662" s="51"/>
      <c r="W662" s="51"/>
      <c r="X662" s="51"/>
      <c r="Y662" s="51"/>
      <c r="Z662" s="51"/>
      <c r="AA662" s="51"/>
      <c r="AB662" s="51"/>
    </row>
    <row r="663" customFormat="false" ht="15.75" hidden="false" customHeight="false" outlineLevel="0" collapsed="false">
      <c r="A663" s="51"/>
      <c r="B663" s="51"/>
      <c r="C663" s="6"/>
      <c r="D663" s="49"/>
      <c r="E663" s="51"/>
      <c r="F663" s="6"/>
      <c r="G663" s="6"/>
      <c r="H663" s="6"/>
      <c r="I663" s="6"/>
      <c r="J663" s="6"/>
      <c r="K663" s="51"/>
      <c r="L663" s="51"/>
      <c r="M663" s="51"/>
      <c r="N663" s="51"/>
      <c r="O663" s="51"/>
      <c r="P663" s="51"/>
      <c r="Q663" s="51"/>
      <c r="R663" s="51"/>
      <c r="S663" s="51"/>
      <c r="T663" s="51"/>
      <c r="U663" s="51"/>
      <c r="V663" s="51"/>
      <c r="W663" s="51"/>
      <c r="X663" s="51"/>
      <c r="Y663" s="51"/>
      <c r="Z663" s="51"/>
      <c r="AA663" s="51"/>
      <c r="AB663" s="51"/>
    </row>
    <row r="664" customFormat="false" ht="15.75" hidden="false" customHeight="false" outlineLevel="0" collapsed="false">
      <c r="A664" s="51"/>
      <c r="B664" s="51"/>
      <c r="C664" s="6"/>
      <c r="D664" s="49"/>
      <c r="E664" s="51"/>
      <c r="F664" s="6"/>
      <c r="G664" s="6"/>
      <c r="H664" s="6"/>
      <c r="I664" s="6"/>
      <c r="J664" s="6"/>
      <c r="K664" s="51"/>
      <c r="L664" s="51"/>
      <c r="M664" s="51"/>
      <c r="N664" s="51"/>
      <c r="O664" s="51"/>
      <c r="P664" s="51"/>
      <c r="Q664" s="51"/>
      <c r="R664" s="51"/>
      <c r="S664" s="51"/>
      <c r="T664" s="51"/>
      <c r="U664" s="51"/>
      <c r="V664" s="51"/>
      <c r="W664" s="51"/>
      <c r="X664" s="51"/>
      <c r="Y664" s="51"/>
      <c r="Z664" s="51"/>
      <c r="AA664" s="51"/>
      <c r="AB664" s="51"/>
    </row>
    <row r="665" customFormat="false" ht="15.75" hidden="false" customHeight="false" outlineLevel="0" collapsed="false">
      <c r="A665" s="51"/>
      <c r="B665" s="51"/>
      <c r="C665" s="6"/>
      <c r="D665" s="49"/>
      <c r="E665" s="51"/>
      <c r="F665" s="6"/>
      <c r="G665" s="6"/>
      <c r="H665" s="6"/>
      <c r="I665" s="6"/>
      <c r="J665" s="6"/>
      <c r="K665" s="51"/>
      <c r="L665" s="51"/>
      <c r="M665" s="51"/>
      <c r="N665" s="51"/>
      <c r="O665" s="51"/>
      <c r="P665" s="51"/>
      <c r="Q665" s="51"/>
      <c r="R665" s="51"/>
      <c r="S665" s="51"/>
      <c r="T665" s="51"/>
      <c r="U665" s="51"/>
      <c r="V665" s="51"/>
      <c r="W665" s="51"/>
      <c r="X665" s="51"/>
      <c r="Y665" s="51"/>
      <c r="Z665" s="51"/>
      <c r="AA665" s="51"/>
      <c r="AB665" s="51"/>
    </row>
    <row r="666" customFormat="false" ht="15.75" hidden="false" customHeight="false" outlineLevel="0" collapsed="false">
      <c r="A666" s="51"/>
      <c r="B666" s="51"/>
      <c r="C666" s="6"/>
      <c r="D666" s="49"/>
      <c r="E666" s="51"/>
      <c r="F666" s="6"/>
      <c r="G666" s="6"/>
      <c r="H666" s="6"/>
      <c r="I666" s="6"/>
      <c r="J666" s="6"/>
      <c r="K666" s="51"/>
      <c r="L666" s="51"/>
      <c r="M666" s="51"/>
      <c r="N666" s="51"/>
      <c r="O666" s="51"/>
      <c r="P666" s="51"/>
      <c r="Q666" s="51"/>
      <c r="R666" s="51"/>
      <c r="S666" s="51"/>
      <c r="T666" s="51"/>
      <c r="U666" s="51"/>
      <c r="V666" s="51"/>
      <c r="W666" s="51"/>
      <c r="X666" s="51"/>
      <c r="Y666" s="51"/>
      <c r="Z666" s="51"/>
      <c r="AA666" s="51"/>
      <c r="AB666" s="51"/>
    </row>
    <row r="667" customFormat="false" ht="15.75" hidden="false" customHeight="false" outlineLevel="0" collapsed="false">
      <c r="A667" s="51"/>
      <c r="B667" s="51"/>
      <c r="C667" s="6"/>
      <c r="D667" s="49"/>
      <c r="E667" s="51"/>
      <c r="F667" s="6"/>
      <c r="G667" s="6"/>
      <c r="H667" s="6"/>
      <c r="I667" s="6"/>
      <c r="J667" s="6"/>
      <c r="K667" s="51"/>
      <c r="L667" s="51"/>
      <c r="M667" s="51"/>
      <c r="N667" s="51"/>
      <c r="O667" s="51"/>
      <c r="P667" s="51"/>
      <c r="Q667" s="51"/>
      <c r="R667" s="51"/>
      <c r="S667" s="51"/>
      <c r="T667" s="51"/>
      <c r="U667" s="51"/>
      <c r="V667" s="51"/>
      <c r="W667" s="51"/>
      <c r="X667" s="51"/>
      <c r="Y667" s="51"/>
      <c r="Z667" s="51"/>
      <c r="AA667" s="51"/>
      <c r="AB667" s="51"/>
    </row>
    <row r="668" customFormat="false" ht="15.75" hidden="false" customHeight="false" outlineLevel="0" collapsed="false">
      <c r="A668" s="51"/>
      <c r="B668" s="51"/>
      <c r="C668" s="6"/>
      <c r="D668" s="49"/>
      <c r="E668" s="51"/>
      <c r="F668" s="6"/>
      <c r="G668" s="6"/>
      <c r="H668" s="6"/>
      <c r="I668" s="6"/>
      <c r="J668" s="6"/>
      <c r="K668" s="51"/>
      <c r="L668" s="51"/>
      <c r="M668" s="51"/>
      <c r="N668" s="51"/>
      <c r="O668" s="51"/>
      <c r="P668" s="51"/>
      <c r="Q668" s="51"/>
      <c r="R668" s="51"/>
      <c r="S668" s="51"/>
      <c r="T668" s="51"/>
      <c r="U668" s="51"/>
      <c r="V668" s="51"/>
      <c r="W668" s="51"/>
      <c r="X668" s="51"/>
      <c r="Y668" s="51"/>
      <c r="Z668" s="51"/>
      <c r="AA668" s="51"/>
      <c r="AB668" s="51"/>
    </row>
    <row r="669" customFormat="false" ht="15.75" hidden="false" customHeight="false" outlineLevel="0" collapsed="false">
      <c r="A669" s="51"/>
      <c r="B669" s="51"/>
      <c r="C669" s="6"/>
      <c r="D669" s="49"/>
      <c r="E669" s="51"/>
      <c r="F669" s="6"/>
      <c r="G669" s="6"/>
      <c r="H669" s="6"/>
      <c r="I669" s="6"/>
      <c r="J669" s="6"/>
      <c r="K669" s="51"/>
      <c r="L669" s="51"/>
      <c r="M669" s="51"/>
      <c r="N669" s="51"/>
      <c r="O669" s="51"/>
      <c r="P669" s="51"/>
      <c r="Q669" s="51"/>
      <c r="R669" s="51"/>
      <c r="S669" s="51"/>
      <c r="T669" s="51"/>
      <c r="U669" s="51"/>
      <c r="V669" s="51"/>
      <c r="W669" s="51"/>
      <c r="X669" s="51"/>
      <c r="Y669" s="51"/>
      <c r="Z669" s="51"/>
      <c r="AA669" s="51"/>
      <c r="AB669" s="51"/>
    </row>
    <row r="670" customFormat="false" ht="15.75" hidden="false" customHeight="false" outlineLevel="0" collapsed="false">
      <c r="A670" s="51"/>
      <c r="B670" s="51"/>
      <c r="C670" s="6"/>
      <c r="D670" s="49"/>
      <c r="E670" s="51"/>
      <c r="F670" s="6"/>
      <c r="G670" s="6"/>
      <c r="H670" s="6"/>
      <c r="I670" s="6"/>
      <c r="J670" s="6"/>
      <c r="K670" s="51"/>
      <c r="L670" s="51"/>
      <c r="M670" s="51"/>
      <c r="N670" s="51"/>
      <c r="O670" s="51"/>
      <c r="P670" s="51"/>
      <c r="Q670" s="51"/>
      <c r="R670" s="51"/>
      <c r="S670" s="51"/>
      <c r="T670" s="51"/>
      <c r="U670" s="51"/>
      <c r="V670" s="51"/>
      <c r="W670" s="51"/>
      <c r="X670" s="51"/>
      <c r="Y670" s="51"/>
      <c r="Z670" s="51"/>
      <c r="AA670" s="51"/>
      <c r="AB670" s="51"/>
    </row>
    <row r="671" customFormat="false" ht="15.75" hidden="false" customHeight="false" outlineLevel="0" collapsed="false">
      <c r="A671" s="51"/>
      <c r="B671" s="51"/>
      <c r="C671" s="6"/>
      <c r="D671" s="49"/>
      <c r="E671" s="51"/>
      <c r="F671" s="6"/>
      <c r="G671" s="6"/>
      <c r="H671" s="6"/>
      <c r="I671" s="6"/>
      <c r="J671" s="6"/>
      <c r="K671" s="51"/>
      <c r="L671" s="51"/>
      <c r="M671" s="51"/>
      <c r="N671" s="51"/>
      <c r="O671" s="51"/>
      <c r="P671" s="51"/>
      <c r="Q671" s="51"/>
      <c r="R671" s="51"/>
      <c r="S671" s="51"/>
      <c r="T671" s="51"/>
      <c r="U671" s="51"/>
      <c r="V671" s="51"/>
      <c r="W671" s="51"/>
      <c r="X671" s="51"/>
      <c r="Y671" s="51"/>
      <c r="Z671" s="51"/>
      <c r="AA671" s="51"/>
      <c r="AB671" s="51"/>
    </row>
    <row r="672" customFormat="false" ht="15.75" hidden="false" customHeight="false" outlineLevel="0" collapsed="false">
      <c r="A672" s="51"/>
      <c r="B672" s="51"/>
      <c r="C672" s="6"/>
      <c r="D672" s="49"/>
      <c r="E672" s="51"/>
      <c r="F672" s="6"/>
      <c r="G672" s="6"/>
      <c r="H672" s="6"/>
      <c r="I672" s="6"/>
      <c r="J672" s="6"/>
      <c r="K672" s="51"/>
      <c r="L672" s="51"/>
      <c r="M672" s="51"/>
      <c r="N672" s="51"/>
      <c r="O672" s="51"/>
      <c r="P672" s="51"/>
      <c r="Q672" s="51"/>
      <c r="R672" s="51"/>
      <c r="S672" s="51"/>
      <c r="T672" s="51"/>
      <c r="U672" s="51"/>
      <c r="V672" s="51"/>
      <c r="W672" s="51"/>
      <c r="X672" s="51"/>
      <c r="Y672" s="51"/>
      <c r="Z672" s="51"/>
      <c r="AA672" s="51"/>
      <c r="AB672" s="51"/>
    </row>
    <row r="673" customFormat="false" ht="15.75" hidden="false" customHeight="false" outlineLevel="0" collapsed="false">
      <c r="A673" s="51"/>
      <c r="B673" s="51"/>
      <c r="C673" s="6"/>
      <c r="D673" s="49"/>
      <c r="E673" s="51"/>
      <c r="F673" s="6"/>
      <c r="G673" s="6"/>
      <c r="H673" s="6"/>
      <c r="I673" s="6"/>
      <c r="J673" s="6"/>
      <c r="K673" s="51"/>
      <c r="L673" s="51"/>
      <c r="M673" s="51"/>
      <c r="N673" s="51"/>
      <c r="O673" s="51"/>
      <c r="P673" s="51"/>
      <c r="Q673" s="51"/>
      <c r="R673" s="51"/>
      <c r="S673" s="51"/>
      <c r="T673" s="51"/>
      <c r="U673" s="51"/>
      <c r="V673" s="51"/>
      <c r="W673" s="51"/>
      <c r="X673" s="51"/>
      <c r="Y673" s="51"/>
      <c r="Z673" s="51"/>
      <c r="AA673" s="51"/>
      <c r="AB673" s="51"/>
    </row>
    <row r="674" customFormat="false" ht="15.75" hidden="false" customHeight="false" outlineLevel="0" collapsed="false">
      <c r="A674" s="51"/>
      <c r="B674" s="51"/>
      <c r="C674" s="6"/>
      <c r="D674" s="49"/>
      <c r="E674" s="51"/>
      <c r="F674" s="6"/>
      <c r="G674" s="6"/>
      <c r="H674" s="6"/>
      <c r="I674" s="6"/>
      <c r="J674" s="6"/>
      <c r="K674" s="51"/>
      <c r="L674" s="51"/>
      <c r="M674" s="51"/>
      <c r="N674" s="51"/>
      <c r="O674" s="51"/>
      <c r="P674" s="51"/>
      <c r="Q674" s="51"/>
      <c r="R674" s="51"/>
      <c r="S674" s="51"/>
      <c r="T674" s="51"/>
      <c r="U674" s="51"/>
      <c r="V674" s="51"/>
      <c r="W674" s="51"/>
      <c r="X674" s="51"/>
      <c r="Y674" s="51"/>
      <c r="Z674" s="51"/>
      <c r="AA674" s="51"/>
      <c r="AB674" s="51"/>
    </row>
    <row r="675" customFormat="false" ht="15.75" hidden="false" customHeight="false" outlineLevel="0" collapsed="false">
      <c r="A675" s="51"/>
      <c r="B675" s="51"/>
      <c r="C675" s="6"/>
      <c r="D675" s="49"/>
      <c r="E675" s="51"/>
      <c r="F675" s="6"/>
      <c r="G675" s="6"/>
      <c r="H675" s="6"/>
      <c r="I675" s="6"/>
      <c r="J675" s="6"/>
      <c r="K675" s="51"/>
      <c r="L675" s="51"/>
      <c r="M675" s="51"/>
      <c r="N675" s="51"/>
      <c r="O675" s="51"/>
      <c r="P675" s="51"/>
      <c r="Q675" s="51"/>
      <c r="R675" s="51"/>
      <c r="S675" s="51"/>
      <c r="T675" s="51"/>
      <c r="U675" s="51"/>
      <c r="V675" s="51"/>
      <c r="W675" s="51"/>
      <c r="X675" s="51"/>
      <c r="Y675" s="51"/>
      <c r="Z675" s="51"/>
      <c r="AA675" s="51"/>
      <c r="AB675" s="51"/>
    </row>
    <row r="676" customFormat="false" ht="15.75" hidden="false" customHeight="false" outlineLevel="0" collapsed="false">
      <c r="A676" s="51"/>
      <c r="B676" s="51"/>
      <c r="C676" s="6"/>
      <c r="D676" s="49"/>
      <c r="E676" s="51"/>
      <c r="F676" s="6"/>
      <c r="G676" s="6"/>
      <c r="H676" s="6"/>
      <c r="I676" s="6"/>
      <c r="J676" s="6"/>
      <c r="K676" s="51"/>
      <c r="L676" s="51"/>
      <c r="M676" s="51"/>
      <c r="N676" s="51"/>
      <c r="O676" s="51"/>
      <c r="P676" s="51"/>
      <c r="Q676" s="51"/>
      <c r="R676" s="51"/>
      <c r="S676" s="51"/>
      <c r="T676" s="51"/>
      <c r="U676" s="51"/>
      <c r="V676" s="51"/>
      <c r="W676" s="51"/>
      <c r="X676" s="51"/>
      <c r="Y676" s="51"/>
      <c r="Z676" s="51"/>
      <c r="AA676" s="51"/>
      <c r="AB676" s="51"/>
    </row>
    <row r="677" customFormat="false" ht="15.75" hidden="false" customHeight="false" outlineLevel="0" collapsed="false">
      <c r="A677" s="51"/>
      <c r="B677" s="51"/>
      <c r="C677" s="6"/>
      <c r="D677" s="49"/>
      <c r="E677" s="51"/>
      <c r="F677" s="6"/>
      <c r="G677" s="6"/>
      <c r="H677" s="6"/>
      <c r="I677" s="6"/>
      <c r="J677" s="6"/>
      <c r="K677" s="51"/>
      <c r="L677" s="51"/>
      <c r="M677" s="51"/>
      <c r="N677" s="51"/>
      <c r="O677" s="51"/>
      <c r="P677" s="51"/>
      <c r="Q677" s="51"/>
      <c r="R677" s="51"/>
      <c r="S677" s="51"/>
      <c r="T677" s="51"/>
      <c r="U677" s="51"/>
      <c r="V677" s="51"/>
      <c r="W677" s="51"/>
      <c r="X677" s="51"/>
      <c r="Y677" s="51"/>
      <c r="Z677" s="51"/>
      <c r="AA677" s="51"/>
      <c r="AB677" s="51"/>
    </row>
    <row r="678" customFormat="false" ht="15.75" hidden="false" customHeight="false" outlineLevel="0" collapsed="false">
      <c r="A678" s="51"/>
      <c r="B678" s="51"/>
      <c r="C678" s="6"/>
      <c r="D678" s="49"/>
      <c r="E678" s="51"/>
      <c r="F678" s="6"/>
      <c r="G678" s="6"/>
      <c r="H678" s="6"/>
      <c r="I678" s="6"/>
      <c r="J678" s="6"/>
      <c r="K678" s="51"/>
      <c r="L678" s="51"/>
      <c r="M678" s="51"/>
      <c r="N678" s="51"/>
      <c r="O678" s="51"/>
      <c r="P678" s="51"/>
      <c r="Q678" s="51"/>
      <c r="R678" s="51"/>
      <c r="S678" s="51"/>
      <c r="T678" s="51"/>
      <c r="U678" s="51"/>
      <c r="V678" s="51"/>
      <c r="W678" s="51"/>
      <c r="X678" s="51"/>
      <c r="Y678" s="51"/>
      <c r="Z678" s="51"/>
      <c r="AA678" s="51"/>
      <c r="AB678" s="51"/>
    </row>
    <row r="679" customFormat="false" ht="15.75" hidden="false" customHeight="false" outlineLevel="0" collapsed="false">
      <c r="A679" s="51"/>
      <c r="B679" s="51"/>
      <c r="C679" s="6"/>
      <c r="D679" s="49"/>
      <c r="E679" s="51"/>
      <c r="F679" s="6"/>
      <c r="G679" s="6"/>
      <c r="H679" s="6"/>
      <c r="I679" s="6"/>
      <c r="J679" s="6"/>
      <c r="K679" s="51"/>
      <c r="L679" s="51"/>
      <c r="M679" s="51"/>
      <c r="N679" s="51"/>
      <c r="O679" s="51"/>
      <c r="P679" s="51"/>
      <c r="Q679" s="51"/>
      <c r="R679" s="51"/>
      <c r="S679" s="51"/>
      <c r="T679" s="51"/>
      <c r="U679" s="51"/>
      <c r="V679" s="51"/>
      <c r="W679" s="51"/>
      <c r="X679" s="51"/>
      <c r="Y679" s="51"/>
      <c r="Z679" s="51"/>
      <c r="AA679" s="51"/>
      <c r="AB679" s="51"/>
    </row>
    <row r="680" customFormat="false" ht="15.75" hidden="false" customHeight="false" outlineLevel="0" collapsed="false">
      <c r="A680" s="51"/>
      <c r="B680" s="51"/>
      <c r="C680" s="6"/>
      <c r="D680" s="49"/>
      <c r="E680" s="51"/>
      <c r="F680" s="6"/>
      <c r="G680" s="6"/>
      <c r="H680" s="6"/>
      <c r="I680" s="6"/>
      <c r="J680" s="6"/>
      <c r="K680" s="51"/>
      <c r="L680" s="51"/>
      <c r="M680" s="51"/>
      <c r="N680" s="51"/>
      <c r="O680" s="51"/>
      <c r="P680" s="51"/>
      <c r="Q680" s="51"/>
      <c r="R680" s="51"/>
      <c r="S680" s="51"/>
      <c r="T680" s="51"/>
      <c r="U680" s="51"/>
      <c r="V680" s="51"/>
      <c r="W680" s="51"/>
      <c r="X680" s="51"/>
      <c r="Y680" s="51"/>
      <c r="Z680" s="51"/>
      <c r="AA680" s="51"/>
      <c r="AB680" s="51"/>
    </row>
    <row r="681" customFormat="false" ht="15.75" hidden="false" customHeight="false" outlineLevel="0" collapsed="false">
      <c r="A681" s="51"/>
      <c r="B681" s="51"/>
      <c r="C681" s="6"/>
      <c r="D681" s="49"/>
      <c r="E681" s="51"/>
      <c r="F681" s="6"/>
      <c r="G681" s="6"/>
      <c r="H681" s="6"/>
      <c r="I681" s="6"/>
      <c r="J681" s="6"/>
      <c r="K681" s="51"/>
      <c r="L681" s="51"/>
      <c r="M681" s="51"/>
      <c r="N681" s="51"/>
      <c r="O681" s="51"/>
      <c r="P681" s="51"/>
      <c r="Q681" s="51"/>
      <c r="R681" s="51"/>
      <c r="S681" s="51"/>
      <c r="T681" s="51"/>
      <c r="U681" s="51"/>
      <c r="V681" s="51"/>
      <c r="W681" s="51"/>
      <c r="X681" s="51"/>
      <c r="Y681" s="51"/>
      <c r="Z681" s="51"/>
      <c r="AA681" s="51"/>
      <c r="AB681" s="51"/>
    </row>
    <row r="682" customFormat="false" ht="15.75" hidden="false" customHeight="false" outlineLevel="0" collapsed="false">
      <c r="A682" s="51"/>
      <c r="B682" s="51"/>
      <c r="C682" s="6"/>
      <c r="D682" s="49"/>
      <c r="E682" s="51"/>
      <c r="F682" s="6"/>
      <c r="G682" s="6"/>
      <c r="H682" s="6"/>
      <c r="I682" s="6"/>
      <c r="J682" s="6"/>
      <c r="K682" s="51"/>
      <c r="L682" s="51"/>
      <c r="M682" s="51"/>
      <c r="N682" s="51"/>
      <c r="O682" s="51"/>
      <c r="P682" s="51"/>
      <c r="Q682" s="51"/>
      <c r="R682" s="51"/>
      <c r="S682" s="51"/>
      <c r="T682" s="51"/>
      <c r="U682" s="51"/>
      <c r="V682" s="51"/>
      <c r="W682" s="51"/>
      <c r="X682" s="51"/>
      <c r="Y682" s="51"/>
      <c r="Z682" s="51"/>
      <c r="AA682" s="51"/>
      <c r="AB682" s="51"/>
    </row>
    <row r="683" customFormat="false" ht="15.75" hidden="false" customHeight="false" outlineLevel="0" collapsed="false">
      <c r="A683" s="51"/>
      <c r="B683" s="51"/>
      <c r="C683" s="6"/>
      <c r="D683" s="49"/>
      <c r="E683" s="51"/>
      <c r="F683" s="6"/>
      <c r="G683" s="6"/>
      <c r="H683" s="6"/>
      <c r="I683" s="6"/>
      <c r="J683" s="6"/>
      <c r="K683" s="51"/>
      <c r="L683" s="51"/>
      <c r="M683" s="51"/>
      <c r="N683" s="51"/>
      <c r="O683" s="51"/>
      <c r="P683" s="51"/>
      <c r="Q683" s="51"/>
      <c r="R683" s="51"/>
      <c r="S683" s="51"/>
      <c r="T683" s="51"/>
      <c r="U683" s="51"/>
      <c r="V683" s="51"/>
      <c r="W683" s="51"/>
      <c r="X683" s="51"/>
      <c r="Y683" s="51"/>
      <c r="Z683" s="51"/>
      <c r="AA683" s="51"/>
      <c r="AB683" s="51"/>
    </row>
    <row r="684" customFormat="false" ht="15.75" hidden="false" customHeight="false" outlineLevel="0" collapsed="false">
      <c r="A684" s="51"/>
      <c r="B684" s="51"/>
      <c r="C684" s="6"/>
      <c r="D684" s="49"/>
      <c r="E684" s="51"/>
      <c r="F684" s="6"/>
      <c r="G684" s="6"/>
      <c r="H684" s="6"/>
      <c r="I684" s="6"/>
      <c r="J684" s="6"/>
      <c r="K684" s="51"/>
      <c r="L684" s="51"/>
      <c r="M684" s="51"/>
      <c r="N684" s="51"/>
      <c r="O684" s="51"/>
      <c r="P684" s="51"/>
      <c r="Q684" s="51"/>
      <c r="R684" s="51"/>
      <c r="S684" s="51"/>
      <c r="T684" s="51"/>
      <c r="U684" s="51"/>
      <c r="V684" s="51"/>
      <c r="W684" s="51"/>
      <c r="X684" s="51"/>
      <c r="Y684" s="51"/>
      <c r="Z684" s="51"/>
      <c r="AA684" s="51"/>
      <c r="AB684" s="51"/>
    </row>
    <row r="685" customFormat="false" ht="15.75" hidden="false" customHeight="false" outlineLevel="0" collapsed="false">
      <c r="A685" s="51"/>
      <c r="B685" s="51"/>
      <c r="C685" s="6"/>
      <c r="D685" s="49"/>
      <c r="E685" s="51"/>
      <c r="F685" s="6"/>
      <c r="G685" s="6"/>
      <c r="H685" s="6"/>
      <c r="I685" s="6"/>
      <c r="J685" s="6"/>
      <c r="K685" s="51"/>
      <c r="L685" s="51"/>
      <c r="M685" s="51"/>
      <c r="N685" s="51"/>
      <c r="O685" s="51"/>
      <c r="P685" s="51"/>
      <c r="Q685" s="51"/>
      <c r="R685" s="51"/>
      <c r="S685" s="51"/>
      <c r="T685" s="51"/>
      <c r="U685" s="51"/>
      <c r="V685" s="51"/>
      <c r="W685" s="51"/>
      <c r="X685" s="51"/>
      <c r="Y685" s="51"/>
      <c r="Z685" s="51"/>
      <c r="AA685" s="51"/>
      <c r="AB685" s="51"/>
    </row>
    <row r="686" customFormat="false" ht="15.75" hidden="false" customHeight="false" outlineLevel="0" collapsed="false">
      <c r="A686" s="51"/>
      <c r="B686" s="51"/>
      <c r="C686" s="6"/>
      <c r="D686" s="49"/>
      <c r="E686" s="51"/>
      <c r="F686" s="6"/>
      <c r="G686" s="6"/>
      <c r="H686" s="6"/>
      <c r="I686" s="6"/>
      <c r="J686" s="6"/>
      <c r="K686" s="51"/>
      <c r="L686" s="51"/>
      <c r="M686" s="51"/>
      <c r="N686" s="51"/>
      <c r="O686" s="51"/>
      <c r="P686" s="51"/>
      <c r="Q686" s="51"/>
      <c r="R686" s="51"/>
      <c r="S686" s="51"/>
      <c r="T686" s="51"/>
      <c r="U686" s="51"/>
      <c r="V686" s="51"/>
      <c r="W686" s="51"/>
      <c r="X686" s="51"/>
      <c r="Y686" s="51"/>
      <c r="Z686" s="51"/>
      <c r="AA686" s="51"/>
      <c r="AB686" s="51"/>
    </row>
    <row r="687" customFormat="false" ht="15.75" hidden="false" customHeight="false" outlineLevel="0" collapsed="false">
      <c r="A687" s="51"/>
      <c r="B687" s="51"/>
      <c r="C687" s="6"/>
      <c r="D687" s="49"/>
      <c r="E687" s="51"/>
      <c r="F687" s="6"/>
      <c r="G687" s="6"/>
      <c r="H687" s="6"/>
      <c r="I687" s="6"/>
      <c r="J687" s="6"/>
      <c r="K687" s="51"/>
      <c r="L687" s="51"/>
      <c r="M687" s="51"/>
      <c r="N687" s="51"/>
      <c r="O687" s="51"/>
      <c r="P687" s="51"/>
      <c r="Q687" s="51"/>
      <c r="R687" s="51"/>
      <c r="S687" s="51"/>
      <c r="T687" s="51"/>
      <c r="U687" s="51"/>
      <c r="V687" s="51"/>
      <c r="W687" s="51"/>
      <c r="X687" s="51"/>
      <c r="Y687" s="51"/>
      <c r="Z687" s="51"/>
      <c r="AA687" s="51"/>
      <c r="AB687" s="51"/>
    </row>
    <row r="688" customFormat="false" ht="15.75" hidden="false" customHeight="false" outlineLevel="0" collapsed="false">
      <c r="A688" s="51"/>
      <c r="B688" s="51"/>
      <c r="C688" s="6"/>
      <c r="D688" s="49"/>
      <c r="E688" s="51"/>
      <c r="F688" s="6"/>
      <c r="G688" s="6"/>
      <c r="H688" s="6"/>
      <c r="I688" s="6"/>
      <c r="J688" s="6"/>
      <c r="K688" s="51"/>
      <c r="L688" s="51"/>
      <c r="M688" s="51"/>
      <c r="N688" s="51"/>
      <c r="O688" s="51"/>
      <c r="P688" s="51"/>
      <c r="Q688" s="51"/>
      <c r="R688" s="51"/>
      <c r="S688" s="51"/>
      <c r="T688" s="51"/>
      <c r="U688" s="51"/>
      <c r="V688" s="51"/>
      <c r="W688" s="51"/>
      <c r="X688" s="51"/>
      <c r="Y688" s="51"/>
      <c r="Z688" s="51"/>
      <c r="AA688" s="51"/>
      <c r="AB688" s="51"/>
    </row>
    <row r="689" customFormat="false" ht="15.75" hidden="false" customHeight="false" outlineLevel="0" collapsed="false">
      <c r="A689" s="51"/>
      <c r="B689" s="51"/>
      <c r="C689" s="6"/>
      <c r="D689" s="49"/>
      <c r="E689" s="51"/>
      <c r="F689" s="6"/>
      <c r="G689" s="6"/>
      <c r="H689" s="6"/>
      <c r="I689" s="6"/>
      <c r="J689" s="6"/>
      <c r="K689" s="51"/>
      <c r="L689" s="51"/>
      <c r="M689" s="51"/>
      <c r="N689" s="51"/>
      <c r="O689" s="51"/>
      <c r="P689" s="51"/>
      <c r="Q689" s="51"/>
      <c r="R689" s="51"/>
      <c r="S689" s="51"/>
      <c r="T689" s="51"/>
      <c r="U689" s="51"/>
      <c r="V689" s="51"/>
      <c r="W689" s="51"/>
      <c r="X689" s="51"/>
      <c r="Y689" s="51"/>
      <c r="Z689" s="51"/>
      <c r="AA689" s="51"/>
      <c r="AB689" s="51"/>
    </row>
    <row r="690" customFormat="false" ht="15.75" hidden="false" customHeight="false" outlineLevel="0" collapsed="false">
      <c r="A690" s="51"/>
      <c r="B690" s="51"/>
      <c r="C690" s="6"/>
      <c r="D690" s="49"/>
      <c r="E690" s="51"/>
      <c r="F690" s="6"/>
      <c r="G690" s="6"/>
      <c r="H690" s="6"/>
      <c r="I690" s="6"/>
      <c r="J690" s="6"/>
      <c r="K690" s="51"/>
      <c r="L690" s="51"/>
      <c r="M690" s="51"/>
      <c r="N690" s="51"/>
      <c r="O690" s="51"/>
      <c r="P690" s="51"/>
      <c r="Q690" s="51"/>
      <c r="R690" s="51"/>
      <c r="S690" s="51"/>
      <c r="T690" s="51"/>
      <c r="U690" s="51"/>
      <c r="V690" s="51"/>
      <c r="W690" s="51"/>
      <c r="X690" s="51"/>
      <c r="Y690" s="51"/>
      <c r="Z690" s="51"/>
      <c r="AA690" s="51"/>
      <c r="AB690" s="51"/>
    </row>
    <row r="691" customFormat="false" ht="15.75" hidden="false" customHeight="false" outlineLevel="0" collapsed="false">
      <c r="A691" s="51"/>
      <c r="B691" s="51"/>
      <c r="C691" s="6"/>
      <c r="D691" s="49"/>
      <c r="E691" s="51"/>
      <c r="F691" s="6"/>
      <c r="G691" s="6"/>
      <c r="H691" s="6"/>
      <c r="I691" s="6"/>
      <c r="J691" s="6"/>
      <c r="K691" s="51"/>
      <c r="L691" s="51"/>
      <c r="M691" s="51"/>
      <c r="N691" s="51"/>
      <c r="O691" s="51"/>
      <c r="P691" s="51"/>
      <c r="Q691" s="51"/>
      <c r="R691" s="51"/>
      <c r="S691" s="51"/>
      <c r="T691" s="51"/>
      <c r="U691" s="51"/>
      <c r="V691" s="51"/>
      <c r="W691" s="51"/>
      <c r="X691" s="51"/>
      <c r="Y691" s="51"/>
      <c r="Z691" s="51"/>
      <c r="AA691" s="51"/>
      <c r="AB691" s="51"/>
    </row>
    <row r="692" customFormat="false" ht="15.75" hidden="false" customHeight="false" outlineLevel="0" collapsed="false">
      <c r="A692" s="51"/>
      <c r="B692" s="51"/>
      <c r="C692" s="6"/>
      <c r="D692" s="49"/>
      <c r="E692" s="51"/>
      <c r="F692" s="6"/>
      <c r="G692" s="6"/>
      <c r="H692" s="6"/>
      <c r="I692" s="6"/>
      <c r="J692" s="6"/>
      <c r="K692" s="51"/>
      <c r="L692" s="51"/>
      <c r="M692" s="51"/>
      <c r="N692" s="51"/>
      <c r="O692" s="51"/>
      <c r="P692" s="51"/>
      <c r="Q692" s="51"/>
      <c r="R692" s="51"/>
      <c r="S692" s="51"/>
      <c r="T692" s="51"/>
      <c r="U692" s="51"/>
      <c r="V692" s="51"/>
      <c r="W692" s="51"/>
      <c r="X692" s="51"/>
      <c r="Y692" s="51"/>
      <c r="Z692" s="51"/>
      <c r="AA692" s="51"/>
      <c r="AB692" s="51"/>
    </row>
    <row r="693" customFormat="false" ht="15.75" hidden="false" customHeight="false" outlineLevel="0" collapsed="false">
      <c r="A693" s="51"/>
      <c r="B693" s="51"/>
      <c r="C693" s="6"/>
      <c r="D693" s="49"/>
      <c r="E693" s="51"/>
      <c r="F693" s="6"/>
      <c r="G693" s="6"/>
      <c r="H693" s="6"/>
      <c r="I693" s="6"/>
      <c r="J693" s="6"/>
      <c r="K693" s="51"/>
      <c r="L693" s="51"/>
      <c r="M693" s="51"/>
      <c r="N693" s="51"/>
      <c r="O693" s="51"/>
      <c r="P693" s="51"/>
      <c r="Q693" s="51"/>
      <c r="R693" s="51"/>
      <c r="S693" s="51"/>
      <c r="T693" s="51"/>
      <c r="U693" s="51"/>
      <c r="V693" s="51"/>
      <c r="W693" s="51"/>
      <c r="X693" s="51"/>
      <c r="Y693" s="51"/>
      <c r="Z693" s="51"/>
      <c r="AA693" s="51"/>
      <c r="AB693" s="51"/>
    </row>
    <row r="694" customFormat="false" ht="15.75" hidden="false" customHeight="false" outlineLevel="0" collapsed="false">
      <c r="A694" s="51"/>
      <c r="B694" s="51"/>
      <c r="C694" s="6"/>
      <c r="D694" s="49"/>
      <c r="E694" s="51"/>
      <c r="F694" s="6"/>
      <c r="G694" s="6"/>
      <c r="H694" s="6"/>
      <c r="I694" s="6"/>
      <c r="J694" s="6"/>
      <c r="K694" s="51"/>
      <c r="L694" s="51"/>
      <c r="M694" s="51"/>
      <c r="N694" s="51"/>
      <c r="O694" s="51"/>
      <c r="P694" s="51"/>
      <c r="Q694" s="51"/>
      <c r="R694" s="51"/>
      <c r="S694" s="51"/>
      <c r="T694" s="51"/>
      <c r="U694" s="51"/>
      <c r="V694" s="51"/>
      <c r="W694" s="51"/>
      <c r="X694" s="51"/>
      <c r="Y694" s="51"/>
      <c r="Z694" s="51"/>
      <c r="AA694" s="51"/>
      <c r="AB694" s="51"/>
    </row>
    <row r="695" customFormat="false" ht="15.75" hidden="false" customHeight="false" outlineLevel="0" collapsed="false">
      <c r="A695" s="51"/>
      <c r="B695" s="51"/>
      <c r="C695" s="6"/>
      <c r="D695" s="49"/>
      <c r="E695" s="51"/>
      <c r="F695" s="6"/>
      <c r="G695" s="6"/>
      <c r="H695" s="6"/>
      <c r="I695" s="6"/>
      <c r="J695" s="6"/>
      <c r="K695" s="51"/>
      <c r="L695" s="51"/>
      <c r="M695" s="51"/>
      <c r="N695" s="51"/>
      <c r="O695" s="51"/>
      <c r="P695" s="51"/>
      <c r="Q695" s="51"/>
      <c r="R695" s="51"/>
      <c r="S695" s="51"/>
      <c r="T695" s="51"/>
      <c r="U695" s="51"/>
      <c r="V695" s="51"/>
      <c r="W695" s="51"/>
      <c r="X695" s="51"/>
      <c r="Y695" s="51"/>
      <c r="Z695" s="51"/>
      <c r="AA695" s="51"/>
      <c r="AB695" s="51"/>
    </row>
    <row r="696" customFormat="false" ht="15.75" hidden="false" customHeight="false" outlineLevel="0" collapsed="false">
      <c r="A696" s="51"/>
      <c r="B696" s="51"/>
      <c r="C696" s="6"/>
      <c r="D696" s="49"/>
      <c r="E696" s="51"/>
      <c r="F696" s="6"/>
      <c r="G696" s="6"/>
      <c r="H696" s="6"/>
      <c r="I696" s="6"/>
      <c r="J696" s="6"/>
      <c r="K696" s="51"/>
      <c r="L696" s="51"/>
      <c r="M696" s="51"/>
      <c r="N696" s="51"/>
      <c r="O696" s="51"/>
      <c r="P696" s="51"/>
      <c r="Q696" s="51"/>
      <c r="R696" s="51"/>
      <c r="S696" s="51"/>
      <c r="T696" s="51"/>
      <c r="U696" s="51"/>
      <c r="V696" s="51"/>
      <c r="W696" s="51"/>
      <c r="X696" s="51"/>
      <c r="Y696" s="51"/>
      <c r="Z696" s="51"/>
      <c r="AA696" s="51"/>
      <c r="AB696" s="51"/>
    </row>
    <row r="697" customFormat="false" ht="15.75" hidden="false" customHeight="false" outlineLevel="0" collapsed="false">
      <c r="A697" s="51"/>
      <c r="B697" s="51"/>
      <c r="C697" s="6"/>
      <c r="D697" s="49"/>
      <c r="E697" s="51"/>
      <c r="F697" s="6"/>
      <c r="G697" s="6"/>
      <c r="H697" s="6"/>
      <c r="I697" s="6"/>
      <c r="J697" s="6"/>
      <c r="K697" s="51"/>
      <c r="L697" s="51"/>
      <c r="M697" s="51"/>
      <c r="N697" s="51"/>
      <c r="O697" s="51"/>
      <c r="P697" s="51"/>
      <c r="Q697" s="51"/>
      <c r="R697" s="51"/>
      <c r="S697" s="51"/>
      <c r="T697" s="51"/>
      <c r="U697" s="51"/>
      <c r="V697" s="51"/>
      <c r="W697" s="51"/>
      <c r="X697" s="51"/>
      <c r="Y697" s="51"/>
      <c r="Z697" s="51"/>
      <c r="AA697" s="51"/>
      <c r="AB697" s="51"/>
    </row>
    <row r="698" customFormat="false" ht="15.75" hidden="false" customHeight="false" outlineLevel="0" collapsed="false">
      <c r="A698" s="51"/>
      <c r="B698" s="51"/>
      <c r="C698" s="6"/>
      <c r="D698" s="49"/>
      <c r="E698" s="51"/>
      <c r="F698" s="6"/>
      <c r="G698" s="6"/>
      <c r="H698" s="6"/>
      <c r="I698" s="6"/>
      <c r="J698" s="6"/>
      <c r="K698" s="51"/>
      <c r="L698" s="51"/>
      <c r="M698" s="51"/>
      <c r="N698" s="51"/>
      <c r="O698" s="51"/>
      <c r="P698" s="51"/>
      <c r="Q698" s="51"/>
      <c r="R698" s="51"/>
      <c r="S698" s="51"/>
      <c r="T698" s="51"/>
      <c r="U698" s="51"/>
      <c r="V698" s="51"/>
      <c r="W698" s="51"/>
      <c r="X698" s="51"/>
      <c r="Y698" s="51"/>
      <c r="Z698" s="51"/>
      <c r="AA698" s="51"/>
      <c r="AB698" s="51"/>
    </row>
    <row r="699" customFormat="false" ht="15.75" hidden="false" customHeight="false" outlineLevel="0" collapsed="false">
      <c r="A699" s="51"/>
      <c r="B699" s="51"/>
      <c r="C699" s="6"/>
      <c r="D699" s="49"/>
      <c r="E699" s="51"/>
      <c r="F699" s="6"/>
      <c r="G699" s="6"/>
      <c r="H699" s="6"/>
      <c r="I699" s="6"/>
      <c r="J699" s="6"/>
      <c r="K699" s="51"/>
      <c r="L699" s="51"/>
      <c r="M699" s="51"/>
      <c r="N699" s="51"/>
      <c r="O699" s="51"/>
      <c r="P699" s="51"/>
      <c r="Q699" s="51"/>
      <c r="R699" s="51"/>
      <c r="S699" s="51"/>
      <c r="T699" s="51"/>
      <c r="U699" s="51"/>
      <c r="V699" s="51"/>
      <c r="W699" s="51"/>
      <c r="X699" s="51"/>
      <c r="Y699" s="51"/>
      <c r="Z699" s="51"/>
      <c r="AA699" s="51"/>
      <c r="AB699" s="51"/>
    </row>
    <row r="700" customFormat="false" ht="15.75" hidden="false" customHeight="false" outlineLevel="0" collapsed="false">
      <c r="A700" s="51"/>
      <c r="B700" s="51"/>
      <c r="C700" s="6"/>
      <c r="D700" s="49"/>
      <c r="E700" s="51"/>
      <c r="F700" s="6"/>
      <c r="G700" s="6"/>
      <c r="H700" s="6"/>
      <c r="I700" s="6"/>
      <c r="J700" s="6"/>
      <c r="K700" s="51"/>
      <c r="L700" s="51"/>
      <c r="M700" s="51"/>
      <c r="N700" s="51"/>
      <c r="O700" s="51"/>
      <c r="P700" s="51"/>
      <c r="Q700" s="51"/>
      <c r="R700" s="51"/>
      <c r="S700" s="51"/>
      <c r="T700" s="51"/>
      <c r="U700" s="51"/>
      <c r="V700" s="51"/>
      <c r="W700" s="51"/>
      <c r="X700" s="51"/>
      <c r="Y700" s="51"/>
      <c r="Z700" s="51"/>
      <c r="AA700" s="51"/>
      <c r="AB700" s="51"/>
    </row>
    <row r="701" customFormat="false" ht="15.75" hidden="false" customHeight="false" outlineLevel="0" collapsed="false">
      <c r="A701" s="51"/>
      <c r="B701" s="51"/>
      <c r="C701" s="6"/>
      <c r="D701" s="49"/>
      <c r="E701" s="51"/>
      <c r="F701" s="6"/>
      <c r="G701" s="6"/>
      <c r="H701" s="6"/>
      <c r="I701" s="6"/>
      <c r="J701" s="6"/>
      <c r="K701" s="51"/>
      <c r="L701" s="51"/>
      <c r="M701" s="51"/>
      <c r="N701" s="51"/>
      <c r="O701" s="51"/>
      <c r="P701" s="51"/>
      <c r="Q701" s="51"/>
      <c r="R701" s="51"/>
      <c r="S701" s="51"/>
      <c r="T701" s="51"/>
      <c r="U701" s="51"/>
      <c r="V701" s="51"/>
      <c r="W701" s="51"/>
      <c r="X701" s="51"/>
      <c r="Y701" s="51"/>
      <c r="Z701" s="51"/>
      <c r="AA701" s="51"/>
      <c r="AB701" s="51"/>
    </row>
    <row r="702" customFormat="false" ht="15.75" hidden="false" customHeight="false" outlineLevel="0" collapsed="false">
      <c r="A702" s="51"/>
      <c r="B702" s="51"/>
      <c r="C702" s="6"/>
      <c r="D702" s="49"/>
      <c r="E702" s="51"/>
      <c r="F702" s="6"/>
      <c r="G702" s="6"/>
      <c r="H702" s="6"/>
      <c r="I702" s="6"/>
      <c r="J702" s="6"/>
      <c r="K702" s="51"/>
      <c r="L702" s="51"/>
      <c r="M702" s="51"/>
      <c r="N702" s="51"/>
      <c r="O702" s="51"/>
      <c r="P702" s="51"/>
      <c r="Q702" s="51"/>
      <c r="R702" s="51"/>
      <c r="S702" s="51"/>
      <c r="T702" s="51"/>
      <c r="U702" s="51"/>
      <c r="V702" s="51"/>
      <c r="W702" s="51"/>
      <c r="X702" s="51"/>
      <c r="Y702" s="51"/>
      <c r="Z702" s="51"/>
      <c r="AA702" s="51"/>
      <c r="AB702" s="51"/>
    </row>
    <row r="703" customFormat="false" ht="15.75" hidden="false" customHeight="false" outlineLevel="0" collapsed="false">
      <c r="A703" s="51"/>
      <c r="B703" s="51"/>
      <c r="C703" s="6"/>
      <c r="D703" s="49"/>
      <c r="E703" s="51"/>
      <c r="F703" s="6"/>
      <c r="G703" s="6"/>
      <c r="H703" s="6"/>
      <c r="I703" s="6"/>
      <c r="J703" s="6"/>
      <c r="K703" s="51"/>
      <c r="L703" s="51"/>
      <c r="M703" s="51"/>
      <c r="N703" s="51"/>
      <c r="O703" s="51"/>
      <c r="P703" s="51"/>
      <c r="Q703" s="51"/>
      <c r="R703" s="51"/>
      <c r="S703" s="51"/>
      <c r="T703" s="51"/>
      <c r="U703" s="51"/>
      <c r="V703" s="51"/>
      <c r="W703" s="51"/>
      <c r="X703" s="51"/>
      <c r="Y703" s="51"/>
      <c r="Z703" s="51"/>
      <c r="AA703" s="51"/>
      <c r="AB703" s="51"/>
    </row>
    <row r="704" customFormat="false" ht="15.75" hidden="false" customHeight="false" outlineLevel="0" collapsed="false">
      <c r="A704" s="51"/>
      <c r="B704" s="51"/>
      <c r="C704" s="6"/>
      <c r="D704" s="49"/>
      <c r="E704" s="51"/>
      <c r="F704" s="6"/>
      <c r="G704" s="6"/>
      <c r="H704" s="6"/>
      <c r="I704" s="6"/>
      <c r="J704" s="6"/>
      <c r="K704" s="51"/>
      <c r="L704" s="51"/>
      <c r="M704" s="51"/>
      <c r="N704" s="51"/>
      <c r="O704" s="51"/>
      <c r="P704" s="51"/>
      <c r="Q704" s="51"/>
      <c r="R704" s="51"/>
      <c r="S704" s="51"/>
      <c r="T704" s="51"/>
      <c r="U704" s="51"/>
      <c r="V704" s="51"/>
      <c r="W704" s="51"/>
      <c r="X704" s="51"/>
      <c r="Y704" s="51"/>
      <c r="Z704" s="51"/>
      <c r="AA704" s="51"/>
      <c r="AB704" s="51"/>
    </row>
    <row r="705" customFormat="false" ht="15.75" hidden="false" customHeight="false" outlineLevel="0" collapsed="false">
      <c r="A705" s="51"/>
      <c r="B705" s="51"/>
      <c r="C705" s="6"/>
      <c r="D705" s="49"/>
      <c r="E705" s="51"/>
      <c r="F705" s="6"/>
      <c r="G705" s="6"/>
      <c r="H705" s="6"/>
      <c r="I705" s="6"/>
      <c r="J705" s="6"/>
      <c r="K705" s="51"/>
      <c r="L705" s="51"/>
      <c r="M705" s="51"/>
      <c r="N705" s="51"/>
      <c r="O705" s="51"/>
      <c r="P705" s="51"/>
      <c r="Q705" s="51"/>
      <c r="R705" s="51"/>
      <c r="S705" s="51"/>
      <c r="T705" s="51"/>
      <c r="U705" s="51"/>
      <c r="V705" s="51"/>
      <c r="W705" s="51"/>
      <c r="X705" s="51"/>
      <c r="Y705" s="51"/>
      <c r="Z705" s="51"/>
      <c r="AA705" s="51"/>
      <c r="AB705" s="51"/>
    </row>
    <row r="706" customFormat="false" ht="15.75" hidden="false" customHeight="false" outlineLevel="0" collapsed="false">
      <c r="A706" s="51"/>
      <c r="B706" s="51"/>
      <c r="C706" s="6"/>
      <c r="D706" s="49"/>
      <c r="E706" s="51"/>
      <c r="F706" s="6"/>
      <c r="G706" s="6"/>
      <c r="H706" s="6"/>
      <c r="I706" s="6"/>
      <c r="J706" s="6"/>
      <c r="K706" s="51"/>
      <c r="L706" s="51"/>
      <c r="M706" s="51"/>
      <c r="N706" s="51"/>
      <c r="O706" s="51"/>
      <c r="P706" s="51"/>
      <c r="Q706" s="51"/>
      <c r="R706" s="51"/>
      <c r="S706" s="51"/>
      <c r="T706" s="51"/>
      <c r="U706" s="51"/>
      <c r="V706" s="51"/>
      <c r="W706" s="51"/>
      <c r="X706" s="51"/>
      <c r="Y706" s="51"/>
      <c r="Z706" s="51"/>
      <c r="AA706" s="51"/>
      <c r="AB706" s="51"/>
    </row>
    <row r="707" customFormat="false" ht="15.75" hidden="false" customHeight="false" outlineLevel="0" collapsed="false">
      <c r="A707" s="51"/>
      <c r="B707" s="51"/>
      <c r="C707" s="6"/>
      <c r="D707" s="49"/>
      <c r="E707" s="51"/>
      <c r="F707" s="6"/>
      <c r="G707" s="6"/>
      <c r="H707" s="6"/>
      <c r="I707" s="6"/>
      <c r="J707" s="6"/>
      <c r="K707" s="51"/>
      <c r="L707" s="51"/>
      <c r="M707" s="51"/>
      <c r="N707" s="51"/>
      <c r="O707" s="51"/>
      <c r="P707" s="51"/>
      <c r="Q707" s="51"/>
      <c r="R707" s="51"/>
      <c r="S707" s="51"/>
      <c r="T707" s="51"/>
      <c r="U707" s="51"/>
      <c r="V707" s="51"/>
      <c r="W707" s="51"/>
      <c r="X707" s="51"/>
      <c r="Y707" s="51"/>
      <c r="Z707" s="51"/>
      <c r="AA707" s="51"/>
      <c r="AB707" s="51"/>
    </row>
    <row r="708" customFormat="false" ht="15.75" hidden="false" customHeight="false" outlineLevel="0" collapsed="false">
      <c r="A708" s="51"/>
      <c r="B708" s="51"/>
      <c r="C708" s="6"/>
      <c r="D708" s="49"/>
      <c r="E708" s="51"/>
      <c r="F708" s="6"/>
      <c r="G708" s="6"/>
      <c r="H708" s="6"/>
      <c r="I708" s="6"/>
      <c r="J708" s="6"/>
      <c r="K708" s="51"/>
      <c r="L708" s="51"/>
      <c r="M708" s="51"/>
      <c r="N708" s="51"/>
      <c r="O708" s="51"/>
      <c r="P708" s="51"/>
      <c r="Q708" s="51"/>
      <c r="R708" s="51"/>
      <c r="S708" s="51"/>
      <c r="T708" s="51"/>
      <c r="U708" s="51"/>
      <c r="V708" s="51"/>
      <c r="W708" s="51"/>
      <c r="X708" s="51"/>
      <c r="Y708" s="51"/>
      <c r="Z708" s="51"/>
      <c r="AA708" s="51"/>
      <c r="AB708" s="51"/>
    </row>
    <row r="709" customFormat="false" ht="15.75" hidden="false" customHeight="false" outlineLevel="0" collapsed="false">
      <c r="A709" s="51"/>
      <c r="B709" s="51"/>
      <c r="C709" s="6"/>
      <c r="D709" s="49"/>
      <c r="E709" s="51"/>
      <c r="F709" s="6"/>
      <c r="G709" s="6"/>
      <c r="H709" s="6"/>
      <c r="I709" s="6"/>
      <c r="J709" s="6"/>
      <c r="K709" s="51"/>
      <c r="L709" s="51"/>
      <c r="M709" s="51"/>
      <c r="N709" s="51"/>
      <c r="O709" s="51"/>
      <c r="P709" s="51"/>
      <c r="Q709" s="51"/>
      <c r="R709" s="51"/>
      <c r="S709" s="51"/>
      <c r="T709" s="51"/>
      <c r="U709" s="51"/>
      <c r="V709" s="51"/>
      <c r="W709" s="51"/>
      <c r="X709" s="51"/>
      <c r="Y709" s="51"/>
      <c r="Z709" s="51"/>
      <c r="AA709" s="51"/>
      <c r="AB709" s="51"/>
    </row>
    <row r="710" customFormat="false" ht="15.75" hidden="false" customHeight="false" outlineLevel="0" collapsed="false">
      <c r="A710" s="51"/>
      <c r="B710" s="51"/>
      <c r="C710" s="6"/>
      <c r="D710" s="49"/>
      <c r="E710" s="51"/>
      <c r="F710" s="6"/>
      <c r="G710" s="6"/>
      <c r="H710" s="6"/>
      <c r="I710" s="6"/>
      <c r="J710" s="6"/>
      <c r="K710" s="51"/>
      <c r="L710" s="51"/>
      <c r="M710" s="51"/>
      <c r="N710" s="51"/>
      <c r="O710" s="51"/>
      <c r="P710" s="51"/>
      <c r="Q710" s="51"/>
      <c r="R710" s="51"/>
      <c r="S710" s="51"/>
      <c r="T710" s="51"/>
      <c r="U710" s="51"/>
      <c r="V710" s="51"/>
      <c r="W710" s="51"/>
      <c r="X710" s="51"/>
      <c r="Y710" s="51"/>
      <c r="Z710" s="51"/>
      <c r="AA710" s="51"/>
      <c r="AB710" s="51"/>
    </row>
    <row r="711" customFormat="false" ht="15.75" hidden="false" customHeight="false" outlineLevel="0" collapsed="false">
      <c r="A711" s="51"/>
      <c r="B711" s="51"/>
      <c r="C711" s="6"/>
      <c r="D711" s="49"/>
      <c r="E711" s="51"/>
      <c r="F711" s="6"/>
      <c r="G711" s="6"/>
      <c r="H711" s="6"/>
      <c r="I711" s="6"/>
      <c r="J711" s="6"/>
      <c r="K711" s="51"/>
      <c r="L711" s="51"/>
      <c r="M711" s="51"/>
      <c r="N711" s="51"/>
      <c r="O711" s="51"/>
      <c r="P711" s="51"/>
      <c r="Q711" s="51"/>
      <c r="R711" s="51"/>
      <c r="S711" s="51"/>
      <c r="T711" s="51"/>
      <c r="U711" s="51"/>
      <c r="V711" s="51"/>
      <c r="W711" s="51"/>
      <c r="X711" s="51"/>
      <c r="Y711" s="51"/>
      <c r="Z711" s="51"/>
      <c r="AA711" s="51"/>
      <c r="AB711" s="51"/>
    </row>
    <row r="712" customFormat="false" ht="15.75" hidden="false" customHeight="false" outlineLevel="0" collapsed="false">
      <c r="A712" s="51"/>
      <c r="B712" s="51"/>
      <c r="C712" s="6"/>
      <c r="D712" s="49"/>
      <c r="E712" s="51"/>
      <c r="F712" s="6"/>
      <c r="G712" s="6"/>
      <c r="H712" s="6"/>
      <c r="I712" s="6"/>
      <c r="J712" s="6"/>
      <c r="K712" s="51"/>
      <c r="L712" s="51"/>
      <c r="M712" s="51"/>
      <c r="N712" s="51"/>
      <c r="O712" s="51"/>
      <c r="P712" s="51"/>
      <c r="Q712" s="51"/>
      <c r="R712" s="51"/>
      <c r="S712" s="51"/>
      <c r="T712" s="51"/>
      <c r="U712" s="51"/>
      <c r="V712" s="51"/>
      <c r="W712" s="51"/>
      <c r="X712" s="51"/>
      <c r="Y712" s="51"/>
      <c r="Z712" s="51"/>
      <c r="AA712" s="51"/>
      <c r="AB712" s="51"/>
    </row>
    <row r="713" customFormat="false" ht="15.75" hidden="false" customHeight="false" outlineLevel="0" collapsed="false">
      <c r="A713" s="51"/>
      <c r="B713" s="51"/>
      <c r="C713" s="6"/>
      <c r="D713" s="49"/>
      <c r="E713" s="51"/>
      <c r="F713" s="6"/>
      <c r="G713" s="6"/>
      <c r="H713" s="6"/>
      <c r="I713" s="6"/>
      <c r="J713" s="6"/>
      <c r="K713" s="51"/>
      <c r="L713" s="51"/>
      <c r="M713" s="51"/>
      <c r="N713" s="51"/>
      <c r="O713" s="51"/>
      <c r="P713" s="51"/>
      <c r="Q713" s="51"/>
      <c r="R713" s="51"/>
      <c r="S713" s="51"/>
      <c r="T713" s="51"/>
      <c r="U713" s="51"/>
      <c r="V713" s="51"/>
      <c r="W713" s="51"/>
      <c r="X713" s="51"/>
      <c r="Y713" s="51"/>
      <c r="Z713" s="51"/>
      <c r="AA713" s="51"/>
      <c r="AB713" s="51"/>
    </row>
    <row r="714" customFormat="false" ht="15.75" hidden="false" customHeight="false" outlineLevel="0" collapsed="false">
      <c r="A714" s="51"/>
      <c r="B714" s="51"/>
      <c r="C714" s="6"/>
      <c r="D714" s="49"/>
      <c r="E714" s="51"/>
      <c r="F714" s="6"/>
      <c r="G714" s="6"/>
      <c r="H714" s="6"/>
      <c r="I714" s="6"/>
      <c r="J714" s="6"/>
      <c r="K714" s="51"/>
      <c r="L714" s="51"/>
      <c r="M714" s="51"/>
      <c r="N714" s="51"/>
      <c r="O714" s="51"/>
      <c r="P714" s="51"/>
      <c r="Q714" s="51"/>
      <c r="R714" s="51"/>
      <c r="S714" s="51"/>
      <c r="T714" s="51"/>
      <c r="U714" s="51"/>
      <c r="V714" s="51"/>
      <c r="W714" s="51"/>
      <c r="X714" s="51"/>
      <c r="Y714" s="51"/>
      <c r="Z714" s="51"/>
      <c r="AA714" s="51"/>
      <c r="AB714" s="51"/>
    </row>
    <row r="715" customFormat="false" ht="15.75" hidden="false" customHeight="false" outlineLevel="0" collapsed="false">
      <c r="A715" s="51"/>
      <c r="B715" s="51"/>
      <c r="C715" s="6"/>
      <c r="D715" s="49"/>
      <c r="E715" s="51"/>
      <c r="F715" s="6"/>
      <c r="G715" s="6"/>
      <c r="H715" s="6"/>
      <c r="I715" s="6"/>
      <c r="J715" s="6"/>
      <c r="K715" s="51"/>
      <c r="L715" s="51"/>
      <c r="M715" s="51"/>
      <c r="N715" s="51"/>
      <c r="O715" s="51"/>
      <c r="P715" s="51"/>
      <c r="Q715" s="51"/>
      <c r="R715" s="51"/>
      <c r="S715" s="51"/>
      <c r="T715" s="51"/>
      <c r="U715" s="51"/>
      <c r="V715" s="51"/>
      <c r="W715" s="51"/>
      <c r="X715" s="51"/>
      <c r="Y715" s="51"/>
      <c r="Z715" s="51"/>
      <c r="AA715" s="51"/>
      <c r="AB715" s="51"/>
    </row>
    <row r="716" customFormat="false" ht="15.75" hidden="false" customHeight="false" outlineLevel="0" collapsed="false">
      <c r="A716" s="51"/>
      <c r="B716" s="51"/>
      <c r="C716" s="6"/>
      <c r="D716" s="49"/>
      <c r="E716" s="51"/>
      <c r="F716" s="6"/>
      <c r="G716" s="6"/>
      <c r="H716" s="6"/>
      <c r="I716" s="6"/>
      <c r="J716" s="6"/>
      <c r="K716" s="51"/>
      <c r="L716" s="51"/>
      <c r="M716" s="51"/>
      <c r="N716" s="51"/>
      <c r="O716" s="51"/>
      <c r="P716" s="51"/>
      <c r="Q716" s="51"/>
      <c r="R716" s="51"/>
      <c r="S716" s="51"/>
      <c r="T716" s="51"/>
      <c r="U716" s="51"/>
      <c r="V716" s="51"/>
      <c r="W716" s="51"/>
      <c r="X716" s="51"/>
      <c r="Y716" s="51"/>
      <c r="Z716" s="51"/>
      <c r="AA716" s="51"/>
      <c r="AB716" s="51"/>
    </row>
    <row r="717" customFormat="false" ht="15.75" hidden="false" customHeight="false" outlineLevel="0" collapsed="false">
      <c r="A717" s="51"/>
      <c r="B717" s="51"/>
      <c r="C717" s="6"/>
      <c r="D717" s="49"/>
      <c r="E717" s="51"/>
      <c r="F717" s="6"/>
      <c r="G717" s="6"/>
      <c r="H717" s="6"/>
      <c r="I717" s="6"/>
      <c r="J717" s="6"/>
      <c r="K717" s="51"/>
      <c r="L717" s="51"/>
      <c r="M717" s="51"/>
      <c r="N717" s="51"/>
      <c r="O717" s="51"/>
      <c r="P717" s="51"/>
      <c r="Q717" s="51"/>
      <c r="R717" s="51"/>
      <c r="S717" s="51"/>
      <c r="T717" s="51"/>
      <c r="U717" s="51"/>
      <c r="V717" s="51"/>
      <c r="W717" s="51"/>
      <c r="X717" s="51"/>
      <c r="Y717" s="51"/>
      <c r="Z717" s="51"/>
      <c r="AA717" s="51"/>
      <c r="AB717" s="51"/>
    </row>
    <row r="718" customFormat="false" ht="15.75" hidden="false" customHeight="false" outlineLevel="0" collapsed="false">
      <c r="A718" s="51"/>
      <c r="B718" s="51"/>
      <c r="C718" s="6"/>
      <c r="D718" s="49"/>
      <c r="E718" s="51"/>
      <c r="F718" s="6"/>
      <c r="G718" s="6"/>
      <c r="H718" s="6"/>
      <c r="I718" s="6"/>
      <c r="J718" s="6"/>
      <c r="K718" s="51"/>
      <c r="L718" s="51"/>
      <c r="M718" s="51"/>
      <c r="N718" s="51"/>
      <c r="O718" s="51"/>
      <c r="P718" s="51"/>
      <c r="Q718" s="51"/>
      <c r="R718" s="51"/>
      <c r="S718" s="51"/>
      <c r="T718" s="51"/>
      <c r="U718" s="51"/>
      <c r="V718" s="51"/>
      <c r="W718" s="51"/>
      <c r="X718" s="51"/>
      <c r="Y718" s="51"/>
      <c r="Z718" s="51"/>
      <c r="AA718" s="51"/>
      <c r="AB718" s="51"/>
    </row>
    <row r="719" customFormat="false" ht="15.75" hidden="false" customHeight="false" outlineLevel="0" collapsed="false">
      <c r="A719" s="51"/>
      <c r="B719" s="51"/>
      <c r="C719" s="6"/>
      <c r="D719" s="49"/>
      <c r="E719" s="51"/>
      <c r="F719" s="6"/>
      <c r="G719" s="6"/>
      <c r="H719" s="6"/>
      <c r="I719" s="6"/>
      <c r="J719" s="6"/>
      <c r="K719" s="51"/>
      <c r="L719" s="51"/>
      <c r="M719" s="51"/>
      <c r="N719" s="51"/>
      <c r="O719" s="51"/>
      <c r="P719" s="51"/>
      <c r="Q719" s="51"/>
      <c r="R719" s="51"/>
      <c r="S719" s="51"/>
      <c r="T719" s="51"/>
      <c r="U719" s="51"/>
      <c r="V719" s="51"/>
      <c r="W719" s="51"/>
      <c r="X719" s="51"/>
      <c r="Y719" s="51"/>
      <c r="Z719" s="51"/>
      <c r="AA719" s="51"/>
      <c r="AB719" s="51"/>
    </row>
    <row r="720" customFormat="false" ht="15.75" hidden="false" customHeight="false" outlineLevel="0" collapsed="false">
      <c r="A720" s="51"/>
      <c r="B720" s="51"/>
      <c r="C720" s="6"/>
      <c r="D720" s="49"/>
      <c r="E720" s="51"/>
      <c r="F720" s="6"/>
      <c r="G720" s="6"/>
      <c r="H720" s="6"/>
      <c r="I720" s="6"/>
      <c r="J720" s="6"/>
      <c r="K720" s="51"/>
      <c r="L720" s="51"/>
      <c r="M720" s="51"/>
      <c r="N720" s="51"/>
      <c r="O720" s="51"/>
      <c r="P720" s="51"/>
      <c r="Q720" s="51"/>
      <c r="R720" s="51"/>
      <c r="S720" s="51"/>
      <c r="T720" s="51"/>
      <c r="U720" s="51"/>
      <c r="V720" s="51"/>
      <c r="W720" s="51"/>
      <c r="X720" s="51"/>
      <c r="Y720" s="51"/>
      <c r="Z720" s="51"/>
      <c r="AA720" s="51"/>
      <c r="AB720" s="51"/>
    </row>
    <row r="721" customFormat="false" ht="15.75" hidden="false" customHeight="false" outlineLevel="0" collapsed="false">
      <c r="A721" s="51"/>
      <c r="B721" s="51"/>
      <c r="C721" s="6"/>
      <c r="D721" s="49"/>
      <c r="E721" s="51"/>
      <c r="F721" s="6"/>
      <c r="G721" s="6"/>
      <c r="H721" s="6"/>
      <c r="I721" s="6"/>
      <c r="J721" s="6"/>
      <c r="K721" s="51"/>
      <c r="L721" s="51"/>
      <c r="M721" s="51"/>
      <c r="N721" s="51"/>
      <c r="O721" s="51"/>
      <c r="P721" s="51"/>
      <c r="Q721" s="51"/>
      <c r="R721" s="51"/>
      <c r="S721" s="51"/>
      <c r="T721" s="51"/>
      <c r="U721" s="51"/>
      <c r="V721" s="51"/>
      <c r="W721" s="51"/>
      <c r="X721" s="51"/>
      <c r="Y721" s="51"/>
      <c r="Z721" s="51"/>
      <c r="AA721" s="51"/>
      <c r="AB721" s="51"/>
    </row>
    <row r="722" customFormat="false" ht="15.75" hidden="false" customHeight="false" outlineLevel="0" collapsed="false">
      <c r="A722" s="51"/>
      <c r="B722" s="51"/>
      <c r="C722" s="6"/>
      <c r="D722" s="49"/>
      <c r="E722" s="51"/>
      <c r="F722" s="6"/>
      <c r="G722" s="6"/>
      <c r="H722" s="6"/>
      <c r="I722" s="6"/>
      <c r="J722" s="6"/>
      <c r="K722" s="51"/>
      <c r="L722" s="51"/>
      <c r="M722" s="51"/>
      <c r="N722" s="51"/>
      <c r="O722" s="51"/>
      <c r="P722" s="51"/>
      <c r="Q722" s="51"/>
      <c r="R722" s="51"/>
      <c r="S722" s="51"/>
      <c r="T722" s="51"/>
      <c r="U722" s="51"/>
      <c r="V722" s="51"/>
      <c r="W722" s="51"/>
      <c r="X722" s="51"/>
      <c r="Y722" s="51"/>
      <c r="Z722" s="51"/>
      <c r="AA722" s="51"/>
      <c r="AB722" s="51"/>
    </row>
    <row r="723" customFormat="false" ht="15.75" hidden="false" customHeight="false" outlineLevel="0" collapsed="false">
      <c r="A723" s="51"/>
      <c r="B723" s="51"/>
      <c r="C723" s="6"/>
      <c r="D723" s="49"/>
      <c r="E723" s="51"/>
      <c r="F723" s="6"/>
      <c r="G723" s="6"/>
      <c r="H723" s="6"/>
      <c r="I723" s="6"/>
      <c r="J723" s="6"/>
      <c r="K723" s="51"/>
      <c r="L723" s="51"/>
      <c r="M723" s="51"/>
      <c r="N723" s="51"/>
      <c r="O723" s="51"/>
      <c r="P723" s="51"/>
      <c r="Q723" s="51"/>
      <c r="R723" s="51"/>
      <c r="S723" s="51"/>
      <c r="T723" s="51"/>
      <c r="U723" s="51"/>
      <c r="V723" s="51"/>
      <c r="W723" s="51"/>
      <c r="X723" s="51"/>
      <c r="Y723" s="51"/>
      <c r="Z723" s="51"/>
      <c r="AA723" s="51"/>
      <c r="AB723" s="51"/>
    </row>
    <row r="724" customFormat="false" ht="15.75" hidden="false" customHeight="false" outlineLevel="0" collapsed="false">
      <c r="A724" s="51"/>
      <c r="B724" s="51"/>
      <c r="C724" s="6"/>
      <c r="D724" s="49"/>
      <c r="E724" s="51"/>
      <c r="F724" s="6"/>
      <c r="G724" s="6"/>
      <c r="H724" s="6"/>
      <c r="I724" s="6"/>
      <c r="J724" s="6"/>
      <c r="K724" s="51"/>
      <c r="L724" s="51"/>
      <c r="M724" s="51"/>
      <c r="N724" s="51"/>
      <c r="O724" s="51"/>
      <c r="P724" s="51"/>
      <c r="Q724" s="51"/>
      <c r="R724" s="51"/>
      <c r="S724" s="51"/>
      <c r="T724" s="51"/>
      <c r="U724" s="51"/>
      <c r="V724" s="51"/>
      <c r="W724" s="51"/>
      <c r="X724" s="51"/>
      <c r="Y724" s="51"/>
      <c r="Z724" s="51"/>
      <c r="AA724" s="51"/>
      <c r="AB724" s="51"/>
    </row>
    <row r="725" customFormat="false" ht="15.75" hidden="false" customHeight="false" outlineLevel="0" collapsed="false">
      <c r="A725" s="51"/>
      <c r="B725" s="51"/>
      <c r="C725" s="6"/>
      <c r="D725" s="49"/>
      <c r="E725" s="51"/>
      <c r="F725" s="6"/>
      <c r="G725" s="6"/>
      <c r="H725" s="6"/>
      <c r="I725" s="6"/>
      <c r="J725" s="6"/>
      <c r="K725" s="51"/>
      <c r="L725" s="51"/>
      <c r="M725" s="51"/>
      <c r="N725" s="51"/>
      <c r="O725" s="51"/>
      <c r="P725" s="51"/>
      <c r="Q725" s="51"/>
      <c r="R725" s="51"/>
      <c r="S725" s="51"/>
      <c r="T725" s="51"/>
      <c r="U725" s="51"/>
      <c r="V725" s="51"/>
      <c r="W725" s="51"/>
      <c r="X725" s="51"/>
      <c r="Y725" s="51"/>
      <c r="Z725" s="51"/>
      <c r="AA725" s="51"/>
      <c r="AB725" s="51"/>
    </row>
    <row r="726" customFormat="false" ht="15.75" hidden="false" customHeight="false" outlineLevel="0" collapsed="false">
      <c r="A726" s="51"/>
      <c r="B726" s="51"/>
      <c r="C726" s="6"/>
      <c r="D726" s="49"/>
      <c r="E726" s="51"/>
      <c r="F726" s="6"/>
      <c r="G726" s="6"/>
      <c r="H726" s="6"/>
      <c r="I726" s="6"/>
      <c r="J726" s="6"/>
      <c r="K726" s="51"/>
      <c r="L726" s="51"/>
      <c r="M726" s="51"/>
      <c r="N726" s="51"/>
      <c r="O726" s="51"/>
      <c r="P726" s="51"/>
      <c r="Q726" s="51"/>
      <c r="R726" s="51"/>
      <c r="S726" s="51"/>
      <c r="T726" s="51"/>
      <c r="U726" s="51"/>
      <c r="V726" s="51"/>
      <c r="W726" s="51"/>
      <c r="X726" s="51"/>
      <c r="Y726" s="51"/>
      <c r="Z726" s="51"/>
      <c r="AA726" s="51"/>
      <c r="AB726" s="51"/>
    </row>
    <row r="727" customFormat="false" ht="15.75" hidden="false" customHeight="false" outlineLevel="0" collapsed="false">
      <c r="A727" s="51"/>
      <c r="B727" s="51"/>
      <c r="C727" s="6"/>
      <c r="D727" s="49"/>
      <c r="E727" s="51"/>
      <c r="F727" s="6"/>
      <c r="G727" s="6"/>
      <c r="H727" s="6"/>
      <c r="I727" s="6"/>
      <c r="J727" s="6"/>
      <c r="K727" s="51"/>
      <c r="L727" s="51"/>
      <c r="M727" s="51"/>
      <c r="N727" s="51"/>
      <c r="O727" s="51"/>
      <c r="P727" s="51"/>
      <c r="Q727" s="51"/>
      <c r="R727" s="51"/>
      <c r="S727" s="51"/>
      <c r="T727" s="51"/>
      <c r="U727" s="51"/>
      <c r="V727" s="51"/>
      <c r="W727" s="51"/>
      <c r="X727" s="51"/>
      <c r="Y727" s="51"/>
      <c r="Z727" s="51"/>
      <c r="AA727" s="51"/>
      <c r="AB727" s="51"/>
    </row>
    <row r="728" customFormat="false" ht="15.75" hidden="false" customHeight="false" outlineLevel="0" collapsed="false">
      <c r="A728" s="51"/>
      <c r="B728" s="51"/>
      <c r="C728" s="6"/>
      <c r="D728" s="49"/>
      <c r="E728" s="51"/>
      <c r="F728" s="6"/>
      <c r="G728" s="6"/>
      <c r="H728" s="6"/>
      <c r="I728" s="6"/>
      <c r="J728" s="6"/>
      <c r="K728" s="51"/>
      <c r="L728" s="51"/>
      <c r="M728" s="51"/>
      <c r="N728" s="51"/>
      <c r="O728" s="51"/>
      <c r="P728" s="51"/>
      <c r="Q728" s="51"/>
      <c r="R728" s="51"/>
      <c r="S728" s="51"/>
      <c r="T728" s="51"/>
      <c r="U728" s="51"/>
      <c r="V728" s="51"/>
      <c r="W728" s="51"/>
      <c r="X728" s="51"/>
      <c r="Y728" s="51"/>
      <c r="Z728" s="51"/>
      <c r="AA728" s="51"/>
      <c r="AB728" s="51"/>
    </row>
    <row r="729" customFormat="false" ht="15.75" hidden="false" customHeight="false" outlineLevel="0" collapsed="false">
      <c r="A729" s="51"/>
      <c r="B729" s="51"/>
      <c r="C729" s="6"/>
      <c r="D729" s="49"/>
      <c r="E729" s="51"/>
      <c r="F729" s="6"/>
      <c r="G729" s="6"/>
      <c r="H729" s="6"/>
      <c r="I729" s="6"/>
      <c r="J729" s="6"/>
      <c r="K729" s="51"/>
      <c r="L729" s="51"/>
      <c r="M729" s="51"/>
      <c r="N729" s="51"/>
      <c r="O729" s="51"/>
      <c r="P729" s="51"/>
      <c r="Q729" s="51"/>
      <c r="R729" s="51"/>
      <c r="S729" s="51"/>
      <c r="T729" s="51"/>
      <c r="U729" s="51"/>
      <c r="V729" s="51"/>
      <c r="W729" s="51"/>
      <c r="X729" s="51"/>
      <c r="Y729" s="51"/>
      <c r="Z729" s="51"/>
      <c r="AA729" s="51"/>
      <c r="AB729" s="51"/>
    </row>
    <row r="730" customFormat="false" ht="15.75" hidden="false" customHeight="false" outlineLevel="0" collapsed="false">
      <c r="A730" s="51"/>
      <c r="B730" s="51"/>
      <c r="C730" s="6"/>
      <c r="D730" s="49"/>
      <c r="E730" s="51"/>
      <c r="F730" s="6"/>
      <c r="G730" s="6"/>
      <c r="H730" s="6"/>
      <c r="I730" s="6"/>
      <c r="J730" s="6"/>
      <c r="K730" s="51"/>
      <c r="L730" s="51"/>
      <c r="M730" s="51"/>
      <c r="N730" s="51"/>
      <c r="O730" s="51"/>
      <c r="P730" s="51"/>
      <c r="Q730" s="51"/>
      <c r="R730" s="51"/>
      <c r="S730" s="51"/>
      <c r="T730" s="51"/>
      <c r="U730" s="51"/>
      <c r="V730" s="51"/>
      <c r="W730" s="51"/>
      <c r="X730" s="51"/>
      <c r="Y730" s="51"/>
      <c r="Z730" s="51"/>
      <c r="AA730" s="51"/>
      <c r="AB730" s="51"/>
    </row>
    <row r="731" customFormat="false" ht="15.75" hidden="false" customHeight="false" outlineLevel="0" collapsed="false">
      <c r="A731" s="51"/>
      <c r="B731" s="51"/>
      <c r="C731" s="6"/>
      <c r="D731" s="49"/>
      <c r="E731" s="51"/>
      <c r="F731" s="6"/>
      <c r="G731" s="6"/>
      <c r="H731" s="6"/>
      <c r="I731" s="6"/>
      <c r="J731" s="6"/>
      <c r="K731" s="51"/>
      <c r="L731" s="51"/>
      <c r="M731" s="51"/>
      <c r="N731" s="51"/>
      <c r="O731" s="51"/>
      <c r="P731" s="51"/>
      <c r="Q731" s="51"/>
      <c r="R731" s="51"/>
      <c r="S731" s="51"/>
      <c r="T731" s="51"/>
      <c r="U731" s="51"/>
      <c r="V731" s="51"/>
      <c r="W731" s="51"/>
      <c r="X731" s="51"/>
      <c r="Y731" s="51"/>
      <c r="Z731" s="51"/>
      <c r="AA731" s="51"/>
      <c r="AB731" s="51"/>
    </row>
    <row r="732" customFormat="false" ht="15.75" hidden="false" customHeight="false" outlineLevel="0" collapsed="false">
      <c r="A732" s="51"/>
      <c r="B732" s="51"/>
      <c r="C732" s="6"/>
      <c r="D732" s="49"/>
      <c r="E732" s="51"/>
      <c r="F732" s="6"/>
      <c r="G732" s="6"/>
      <c r="H732" s="6"/>
      <c r="I732" s="6"/>
      <c r="J732" s="6"/>
      <c r="K732" s="51"/>
      <c r="L732" s="51"/>
      <c r="M732" s="51"/>
      <c r="N732" s="51"/>
      <c r="O732" s="51"/>
      <c r="P732" s="51"/>
      <c r="Q732" s="51"/>
      <c r="R732" s="51"/>
      <c r="S732" s="51"/>
      <c r="T732" s="51"/>
      <c r="U732" s="51"/>
      <c r="V732" s="51"/>
      <c r="W732" s="51"/>
      <c r="X732" s="51"/>
      <c r="Y732" s="51"/>
      <c r="Z732" s="51"/>
      <c r="AA732" s="51"/>
      <c r="AB732" s="51"/>
    </row>
    <row r="733" customFormat="false" ht="15.75" hidden="false" customHeight="false" outlineLevel="0" collapsed="false">
      <c r="A733" s="51"/>
      <c r="B733" s="51"/>
      <c r="C733" s="6"/>
      <c r="D733" s="49"/>
      <c r="E733" s="51"/>
      <c r="F733" s="6"/>
      <c r="G733" s="6"/>
      <c r="H733" s="6"/>
      <c r="I733" s="6"/>
      <c r="J733" s="6"/>
      <c r="K733" s="51"/>
      <c r="L733" s="51"/>
      <c r="M733" s="51"/>
      <c r="N733" s="51"/>
      <c r="O733" s="51"/>
      <c r="P733" s="51"/>
      <c r="Q733" s="51"/>
      <c r="R733" s="51"/>
      <c r="S733" s="51"/>
      <c r="T733" s="51"/>
      <c r="U733" s="51"/>
      <c r="V733" s="51"/>
      <c r="W733" s="51"/>
      <c r="X733" s="51"/>
      <c r="Y733" s="51"/>
      <c r="Z733" s="51"/>
      <c r="AA733" s="51"/>
      <c r="AB733" s="51"/>
    </row>
    <row r="734" customFormat="false" ht="15.75" hidden="false" customHeight="false" outlineLevel="0" collapsed="false">
      <c r="A734" s="51"/>
      <c r="B734" s="51"/>
      <c r="C734" s="6"/>
      <c r="D734" s="49"/>
      <c r="E734" s="51"/>
      <c r="F734" s="6"/>
      <c r="G734" s="6"/>
      <c r="H734" s="6"/>
      <c r="I734" s="6"/>
      <c r="J734" s="6"/>
      <c r="K734" s="51"/>
      <c r="L734" s="51"/>
      <c r="M734" s="51"/>
      <c r="N734" s="51"/>
      <c r="O734" s="51"/>
      <c r="P734" s="51"/>
      <c r="Q734" s="51"/>
      <c r="R734" s="51"/>
      <c r="S734" s="51"/>
      <c r="T734" s="51"/>
      <c r="U734" s="51"/>
      <c r="V734" s="51"/>
      <c r="W734" s="51"/>
      <c r="X734" s="51"/>
      <c r="Y734" s="51"/>
      <c r="Z734" s="51"/>
      <c r="AA734" s="51"/>
      <c r="AB734" s="51"/>
    </row>
    <row r="735" customFormat="false" ht="15.75" hidden="false" customHeight="false" outlineLevel="0" collapsed="false">
      <c r="A735" s="51"/>
      <c r="B735" s="51"/>
      <c r="C735" s="6"/>
      <c r="D735" s="49"/>
      <c r="E735" s="51"/>
      <c r="F735" s="6"/>
      <c r="G735" s="6"/>
      <c r="H735" s="6"/>
      <c r="I735" s="6"/>
      <c r="J735" s="6"/>
      <c r="K735" s="51"/>
      <c r="L735" s="51"/>
      <c r="M735" s="51"/>
      <c r="N735" s="51"/>
      <c r="O735" s="51"/>
      <c r="P735" s="51"/>
      <c r="Q735" s="51"/>
      <c r="R735" s="51"/>
      <c r="S735" s="51"/>
      <c r="T735" s="51"/>
      <c r="U735" s="51"/>
      <c r="V735" s="51"/>
      <c r="W735" s="51"/>
      <c r="X735" s="51"/>
      <c r="Y735" s="51"/>
      <c r="Z735" s="51"/>
      <c r="AA735" s="51"/>
      <c r="AB735" s="51"/>
    </row>
    <row r="736" customFormat="false" ht="15.75" hidden="false" customHeight="false" outlineLevel="0" collapsed="false">
      <c r="A736" s="51"/>
      <c r="B736" s="51"/>
      <c r="C736" s="6"/>
      <c r="D736" s="49"/>
      <c r="E736" s="51"/>
      <c r="F736" s="6"/>
      <c r="G736" s="6"/>
      <c r="H736" s="6"/>
      <c r="I736" s="6"/>
      <c r="J736" s="6"/>
      <c r="K736" s="51"/>
      <c r="L736" s="51"/>
      <c r="M736" s="51"/>
      <c r="N736" s="51"/>
      <c r="O736" s="51"/>
      <c r="P736" s="51"/>
      <c r="Q736" s="51"/>
      <c r="R736" s="51"/>
      <c r="S736" s="51"/>
      <c r="T736" s="51"/>
      <c r="U736" s="51"/>
      <c r="V736" s="51"/>
      <c r="W736" s="51"/>
      <c r="X736" s="51"/>
      <c r="Y736" s="51"/>
      <c r="Z736" s="51"/>
      <c r="AA736" s="51"/>
      <c r="AB736" s="51"/>
    </row>
    <row r="737" customFormat="false" ht="15.75" hidden="false" customHeight="false" outlineLevel="0" collapsed="false">
      <c r="A737" s="51"/>
      <c r="B737" s="51"/>
      <c r="C737" s="6"/>
      <c r="D737" s="49"/>
      <c r="E737" s="51"/>
      <c r="F737" s="6"/>
      <c r="G737" s="6"/>
      <c r="H737" s="6"/>
      <c r="I737" s="6"/>
      <c r="J737" s="6"/>
      <c r="K737" s="51"/>
      <c r="L737" s="51"/>
      <c r="M737" s="51"/>
      <c r="N737" s="51"/>
      <c r="O737" s="51"/>
      <c r="P737" s="51"/>
      <c r="Q737" s="51"/>
      <c r="R737" s="51"/>
      <c r="S737" s="51"/>
      <c r="T737" s="51"/>
      <c r="U737" s="51"/>
      <c r="V737" s="51"/>
      <c r="W737" s="51"/>
      <c r="X737" s="51"/>
      <c r="Y737" s="51"/>
      <c r="Z737" s="51"/>
      <c r="AA737" s="51"/>
      <c r="AB737" s="51"/>
    </row>
    <row r="738" customFormat="false" ht="15.75" hidden="false" customHeight="false" outlineLevel="0" collapsed="false">
      <c r="A738" s="51"/>
      <c r="B738" s="51"/>
      <c r="C738" s="6"/>
      <c r="D738" s="49"/>
      <c r="E738" s="51"/>
      <c r="F738" s="6"/>
      <c r="G738" s="6"/>
      <c r="H738" s="6"/>
      <c r="I738" s="6"/>
      <c r="J738" s="6"/>
      <c r="K738" s="51"/>
      <c r="L738" s="51"/>
      <c r="M738" s="51"/>
      <c r="N738" s="51"/>
      <c r="O738" s="51"/>
      <c r="P738" s="51"/>
      <c r="Q738" s="51"/>
      <c r="R738" s="51"/>
      <c r="S738" s="51"/>
      <c r="T738" s="51"/>
      <c r="U738" s="51"/>
      <c r="V738" s="51"/>
      <c r="W738" s="51"/>
      <c r="X738" s="51"/>
      <c r="Y738" s="51"/>
      <c r="Z738" s="51"/>
      <c r="AA738" s="51"/>
      <c r="AB738" s="51"/>
    </row>
    <row r="739" customFormat="false" ht="15.75" hidden="false" customHeight="false" outlineLevel="0" collapsed="false">
      <c r="A739" s="51"/>
      <c r="B739" s="51"/>
      <c r="C739" s="6"/>
      <c r="D739" s="49"/>
      <c r="E739" s="51"/>
      <c r="F739" s="6"/>
      <c r="G739" s="6"/>
      <c r="H739" s="6"/>
      <c r="I739" s="6"/>
      <c r="J739" s="6"/>
      <c r="K739" s="51"/>
      <c r="L739" s="51"/>
      <c r="M739" s="51"/>
      <c r="N739" s="51"/>
      <c r="O739" s="51"/>
      <c r="P739" s="51"/>
      <c r="Q739" s="51"/>
      <c r="R739" s="51"/>
      <c r="S739" s="51"/>
      <c r="T739" s="51"/>
      <c r="U739" s="51"/>
      <c r="V739" s="51"/>
      <c r="W739" s="51"/>
      <c r="X739" s="51"/>
      <c r="Y739" s="51"/>
      <c r="Z739" s="51"/>
      <c r="AA739" s="51"/>
      <c r="AB739" s="51"/>
    </row>
    <row r="740" customFormat="false" ht="15.75" hidden="false" customHeight="false" outlineLevel="0" collapsed="false">
      <c r="A740" s="51"/>
      <c r="B740" s="51"/>
      <c r="C740" s="6"/>
      <c r="D740" s="49"/>
      <c r="E740" s="51"/>
      <c r="F740" s="6"/>
      <c r="G740" s="6"/>
      <c r="H740" s="6"/>
      <c r="I740" s="6"/>
      <c r="J740" s="6"/>
      <c r="K740" s="51"/>
      <c r="L740" s="51"/>
      <c r="M740" s="51"/>
      <c r="N740" s="51"/>
      <c r="O740" s="51"/>
      <c r="P740" s="51"/>
      <c r="Q740" s="51"/>
      <c r="R740" s="51"/>
      <c r="S740" s="51"/>
      <c r="T740" s="51"/>
      <c r="U740" s="51"/>
      <c r="V740" s="51"/>
      <c r="W740" s="51"/>
      <c r="X740" s="51"/>
      <c r="Y740" s="51"/>
      <c r="Z740" s="51"/>
      <c r="AA740" s="51"/>
      <c r="AB740" s="51"/>
    </row>
    <row r="741" customFormat="false" ht="15.75" hidden="false" customHeight="false" outlineLevel="0" collapsed="false">
      <c r="A741" s="51"/>
      <c r="B741" s="51"/>
      <c r="C741" s="6"/>
      <c r="D741" s="49"/>
      <c r="E741" s="51"/>
      <c r="F741" s="6"/>
      <c r="G741" s="6"/>
      <c r="H741" s="6"/>
      <c r="I741" s="6"/>
      <c r="J741" s="6"/>
      <c r="K741" s="51"/>
      <c r="L741" s="51"/>
      <c r="M741" s="51"/>
      <c r="N741" s="51"/>
      <c r="O741" s="51"/>
      <c r="P741" s="51"/>
      <c r="Q741" s="51"/>
      <c r="R741" s="51"/>
      <c r="S741" s="51"/>
      <c r="T741" s="51"/>
      <c r="U741" s="51"/>
      <c r="V741" s="51"/>
      <c r="W741" s="51"/>
      <c r="X741" s="51"/>
      <c r="Y741" s="51"/>
      <c r="Z741" s="51"/>
      <c r="AA741" s="51"/>
      <c r="AB741" s="51"/>
    </row>
    <row r="742" customFormat="false" ht="15.75" hidden="false" customHeight="false" outlineLevel="0" collapsed="false">
      <c r="A742" s="51"/>
      <c r="B742" s="51"/>
      <c r="C742" s="6"/>
      <c r="D742" s="49"/>
      <c r="E742" s="51"/>
      <c r="F742" s="6"/>
      <c r="G742" s="6"/>
      <c r="H742" s="6"/>
      <c r="I742" s="6"/>
      <c r="J742" s="6"/>
      <c r="K742" s="51"/>
      <c r="L742" s="51"/>
      <c r="M742" s="51"/>
      <c r="N742" s="51"/>
      <c r="O742" s="51"/>
      <c r="P742" s="51"/>
      <c r="Q742" s="51"/>
      <c r="R742" s="51"/>
      <c r="S742" s="51"/>
      <c r="T742" s="51"/>
      <c r="U742" s="51"/>
      <c r="V742" s="51"/>
      <c r="W742" s="51"/>
      <c r="X742" s="51"/>
      <c r="Y742" s="51"/>
      <c r="Z742" s="51"/>
      <c r="AA742" s="51"/>
      <c r="AB742" s="51"/>
    </row>
    <row r="743" customFormat="false" ht="15.75" hidden="false" customHeight="false" outlineLevel="0" collapsed="false">
      <c r="A743" s="51"/>
      <c r="B743" s="51"/>
      <c r="C743" s="6"/>
      <c r="D743" s="49"/>
      <c r="E743" s="51"/>
      <c r="F743" s="6"/>
      <c r="G743" s="6"/>
      <c r="H743" s="6"/>
      <c r="I743" s="6"/>
      <c r="J743" s="6"/>
      <c r="K743" s="51"/>
      <c r="L743" s="51"/>
      <c r="M743" s="51"/>
      <c r="N743" s="51"/>
      <c r="O743" s="51"/>
      <c r="P743" s="51"/>
      <c r="Q743" s="51"/>
      <c r="R743" s="51"/>
      <c r="S743" s="51"/>
      <c r="T743" s="51"/>
      <c r="U743" s="51"/>
      <c r="V743" s="51"/>
      <c r="W743" s="51"/>
      <c r="X743" s="51"/>
      <c r="Y743" s="51"/>
      <c r="Z743" s="51"/>
      <c r="AA743" s="51"/>
      <c r="AB743" s="51"/>
    </row>
    <row r="744" customFormat="false" ht="15.75" hidden="false" customHeight="false" outlineLevel="0" collapsed="false">
      <c r="A744" s="51"/>
      <c r="B744" s="51"/>
      <c r="C744" s="6"/>
      <c r="D744" s="49"/>
      <c r="E744" s="51"/>
      <c r="F744" s="6"/>
      <c r="G744" s="6"/>
      <c r="H744" s="6"/>
      <c r="I744" s="6"/>
      <c r="J744" s="6"/>
      <c r="K744" s="51"/>
      <c r="L744" s="51"/>
      <c r="M744" s="51"/>
      <c r="N744" s="51"/>
      <c r="O744" s="51"/>
      <c r="P744" s="51"/>
      <c r="Q744" s="51"/>
      <c r="R744" s="51"/>
      <c r="S744" s="51"/>
      <c r="T744" s="51"/>
      <c r="U744" s="51"/>
      <c r="V744" s="51"/>
      <c r="W744" s="51"/>
      <c r="X744" s="51"/>
      <c r="Y744" s="51"/>
      <c r="Z744" s="51"/>
      <c r="AA744" s="51"/>
      <c r="AB744" s="51"/>
    </row>
    <row r="745" customFormat="false" ht="15.75" hidden="false" customHeight="false" outlineLevel="0" collapsed="false">
      <c r="A745" s="51"/>
      <c r="B745" s="51"/>
      <c r="C745" s="6"/>
      <c r="D745" s="49"/>
      <c r="E745" s="51"/>
      <c r="F745" s="6"/>
      <c r="G745" s="6"/>
      <c r="H745" s="6"/>
      <c r="I745" s="6"/>
      <c r="J745" s="6"/>
      <c r="K745" s="51"/>
      <c r="L745" s="51"/>
      <c r="M745" s="51"/>
      <c r="N745" s="51"/>
      <c r="O745" s="51"/>
      <c r="P745" s="51"/>
      <c r="Q745" s="51"/>
      <c r="R745" s="51"/>
      <c r="S745" s="51"/>
      <c r="T745" s="51"/>
      <c r="U745" s="51"/>
      <c r="V745" s="51"/>
      <c r="W745" s="51"/>
      <c r="X745" s="51"/>
      <c r="Y745" s="51"/>
      <c r="Z745" s="51"/>
      <c r="AA745" s="51"/>
      <c r="AB745" s="51"/>
    </row>
    <row r="746" customFormat="false" ht="15.75" hidden="false" customHeight="false" outlineLevel="0" collapsed="false">
      <c r="A746" s="51"/>
      <c r="B746" s="51"/>
      <c r="C746" s="6"/>
      <c r="D746" s="49"/>
      <c r="E746" s="51"/>
      <c r="F746" s="6"/>
      <c r="G746" s="6"/>
      <c r="H746" s="6"/>
      <c r="I746" s="6"/>
      <c r="J746" s="6"/>
      <c r="K746" s="51"/>
      <c r="L746" s="51"/>
      <c r="M746" s="51"/>
      <c r="N746" s="51"/>
      <c r="O746" s="51"/>
      <c r="P746" s="51"/>
      <c r="Q746" s="51"/>
      <c r="R746" s="51"/>
      <c r="S746" s="51"/>
      <c r="T746" s="51"/>
      <c r="U746" s="51"/>
      <c r="V746" s="51"/>
      <c r="W746" s="51"/>
      <c r="X746" s="51"/>
      <c r="Y746" s="51"/>
      <c r="Z746" s="51"/>
      <c r="AA746" s="51"/>
      <c r="AB746" s="51"/>
    </row>
    <row r="747" customFormat="false" ht="15.75" hidden="false" customHeight="false" outlineLevel="0" collapsed="false">
      <c r="A747" s="51"/>
      <c r="B747" s="51"/>
      <c r="C747" s="6"/>
      <c r="D747" s="49"/>
      <c r="E747" s="51"/>
      <c r="F747" s="6"/>
      <c r="G747" s="6"/>
      <c r="H747" s="6"/>
      <c r="I747" s="6"/>
      <c r="J747" s="6"/>
      <c r="K747" s="51"/>
      <c r="L747" s="51"/>
      <c r="M747" s="51"/>
      <c r="N747" s="51"/>
      <c r="O747" s="51"/>
      <c r="P747" s="51"/>
      <c r="Q747" s="51"/>
      <c r="R747" s="51"/>
      <c r="S747" s="51"/>
      <c r="T747" s="51"/>
      <c r="U747" s="51"/>
      <c r="V747" s="51"/>
      <c r="W747" s="51"/>
      <c r="X747" s="51"/>
      <c r="Y747" s="51"/>
      <c r="Z747" s="51"/>
      <c r="AA747" s="51"/>
      <c r="AB747" s="51"/>
    </row>
    <row r="748" customFormat="false" ht="15.75" hidden="false" customHeight="false" outlineLevel="0" collapsed="false">
      <c r="A748" s="51"/>
      <c r="B748" s="51"/>
      <c r="C748" s="6"/>
      <c r="D748" s="49"/>
      <c r="E748" s="51"/>
      <c r="F748" s="6"/>
      <c r="G748" s="6"/>
      <c r="H748" s="6"/>
      <c r="I748" s="6"/>
      <c r="J748" s="6"/>
      <c r="K748" s="51"/>
      <c r="L748" s="51"/>
      <c r="M748" s="51"/>
      <c r="N748" s="51"/>
      <c r="O748" s="51"/>
      <c r="P748" s="51"/>
      <c r="Q748" s="51"/>
      <c r="R748" s="51"/>
      <c r="S748" s="51"/>
      <c r="T748" s="51"/>
      <c r="U748" s="51"/>
      <c r="V748" s="51"/>
      <c r="W748" s="51"/>
      <c r="X748" s="51"/>
      <c r="Y748" s="51"/>
      <c r="Z748" s="51"/>
      <c r="AA748" s="51"/>
      <c r="AB748" s="51"/>
    </row>
    <row r="749" customFormat="false" ht="15.75" hidden="false" customHeight="false" outlineLevel="0" collapsed="false">
      <c r="A749" s="51"/>
      <c r="B749" s="51"/>
      <c r="C749" s="6"/>
      <c r="D749" s="49"/>
      <c r="E749" s="51"/>
      <c r="F749" s="6"/>
      <c r="G749" s="6"/>
      <c r="H749" s="6"/>
      <c r="I749" s="6"/>
      <c r="J749" s="6"/>
      <c r="K749" s="51"/>
      <c r="L749" s="51"/>
      <c r="M749" s="51"/>
      <c r="N749" s="51"/>
      <c r="O749" s="51"/>
      <c r="P749" s="51"/>
      <c r="Q749" s="51"/>
      <c r="R749" s="51"/>
      <c r="S749" s="51"/>
      <c r="T749" s="51"/>
      <c r="U749" s="51"/>
      <c r="V749" s="51"/>
      <c r="W749" s="51"/>
      <c r="X749" s="51"/>
      <c r="Y749" s="51"/>
      <c r="Z749" s="51"/>
      <c r="AA749" s="51"/>
      <c r="AB749" s="51"/>
    </row>
    <row r="750" customFormat="false" ht="15.75" hidden="false" customHeight="false" outlineLevel="0" collapsed="false">
      <c r="A750" s="51"/>
      <c r="B750" s="51"/>
      <c r="C750" s="6"/>
      <c r="D750" s="49"/>
      <c r="E750" s="51"/>
      <c r="F750" s="6"/>
      <c r="G750" s="6"/>
      <c r="H750" s="6"/>
      <c r="I750" s="6"/>
      <c r="J750" s="6"/>
      <c r="K750" s="51"/>
      <c r="L750" s="51"/>
      <c r="M750" s="51"/>
      <c r="N750" s="51"/>
      <c r="O750" s="51"/>
      <c r="P750" s="51"/>
      <c r="Q750" s="51"/>
      <c r="R750" s="51"/>
      <c r="S750" s="51"/>
      <c r="T750" s="51"/>
      <c r="U750" s="51"/>
      <c r="V750" s="51"/>
      <c r="W750" s="51"/>
      <c r="X750" s="51"/>
      <c r="Y750" s="51"/>
      <c r="Z750" s="51"/>
      <c r="AA750" s="51"/>
      <c r="AB750" s="51"/>
    </row>
    <row r="751" customFormat="false" ht="15.75" hidden="false" customHeight="false" outlineLevel="0" collapsed="false">
      <c r="A751" s="51"/>
      <c r="B751" s="51"/>
      <c r="C751" s="6"/>
      <c r="D751" s="49"/>
      <c r="E751" s="51"/>
      <c r="F751" s="6"/>
      <c r="G751" s="6"/>
      <c r="H751" s="6"/>
      <c r="I751" s="6"/>
      <c r="J751" s="6"/>
      <c r="K751" s="51"/>
      <c r="L751" s="51"/>
      <c r="M751" s="51"/>
      <c r="N751" s="51"/>
      <c r="O751" s="51"/>
      <c r="P751" s="51"/>
      <c r="Q751" s="51"/>
      <c r="R751" s="51"/>
      <c r="S751" s="51"/>
      <c r="T751" s="51"/>
      <c r="U751" s="51"/>
      <c r="V751" s="51"/>
      <c r="W751" s="51"/>
      <c r="X751" s="51"/>
      <c r="Y751" s="51"/>
      <c r="Z751" s="51"/>
      <c r="AA751" s="51"/>
      <c r="AB751" s="51"/>
    </row>
    <row r="752" customFormat="false" ht="15.75" hidden="false" customHeight="false" outlineLevel="0" collapsed="false">
      <c r="A752" s="51"/>
      <c r="B752" s="51"/>
      <c r="C752" s="6"/>
      <c r="D752" s="49"/>
      <c r="E752" s="51"/>
      <c r="F752" s="6"/>
      <c r="G752" s="6"/>
      <c r="H752" s="6"/>
      <c r="I752" s="6"/>
      <c r="J752" s="6"/>
      <c r="K752" s="51"/>
      <c r="L752" s="51"/>
      <c r="M752" s="51"/>
      <c r="N752" s="51"/>
      <c r="O752" s="51"/>
      <c r="P752" s="51"/>
      <c r="Q752" s="51"/>
      <c r="R752" s="51"/>
      <c r="S752" s="51"/>
      <c r="T752" s="51"/>
      <c r="U752" s="51"/>
      <c r="V752" s="51"/>
      <c r="W752" s="51"/>
      <c r="X752" s="51"/>
      <c r="Y752" s="51"/>
      <c r="Z752" s="51"/>
      <c r="AA752" s="51"/>
      <c r="AB752" s="51"/>
    </row>
    <row r="753" customFormat="false" ht="15.75" hidden="false" customHeight="false" outlineLevel="0" collapsed="false">
      <c r="A753" s="51"/>
      <c r="B753" s="51"/>
      <c r="C753" s="6"/>
      <c r="D753" s="49"/>
      <c r="E753" s="51"/>
      <c r="F753" s="6"/>
      <c r="G753" s="6"/>
      <c r="H753" s="6"/>
      <c r="I753" s="6"/>
      <c r="J753" s="6"/>
      <c r="K753" s="51"/>
      <c r="L753" s="51"/>
      <c r="M753" s="51"/>
      <c r="N753" s="51"/>
      <c r="O753" s="51"/>
      <c r="P753" s="51"/>
      <c r="Q753" s="51"/>
      <c r="R753" s="51"/>
      <c r="S753" s="51"/>
      <c r="T753" s="51"/>
      <c r="U753" s="51"/>
      <c r="V753" s="51"/>
      <c r="W753" s="51"/>
      <c r="X753" s="51"/>
      <c r="Y753" s="51"/>
      <c r="Z753" s="51"/>
      <c r="AA753" s="51"/>
      <c r="AB753" s="51"/>
    </row>
    <row r="754" customFormat="false" ht="15.75" hidden="false" customHeight="false" outlineLevel="0" collapsed="false">
      <c r="A754" s="51"/>
      <c r="B754" s="51"/>
      <c r="C754" s="6"/>
      <c r="D754" s="49"/>
      <c r="E754" s="51"/>
      <c r="F754" s="6"/>
      <c r="G754" s="6"/>
      <c r="H754" s="6"/>
      <c r="I754" s="6"/>
      <c r="J754" s="6"/>
      <c r="K754" s="51"/>
      <c r="L754" s="51"/>
      <c r="M754" s="51"/>
      <c r="N754" s="51"/>
      <c r="O754" s="51"/>
      <c r="P754" s="51"/>
      <c r="Q754" s="51"/>
      <c r="R754" s="51"/>
      <c r="S754" s="51"/>
      <c r="T754" s="51"/>
      <c r="U754" s="51"/>
      <c r="V754" s="51"/>
      <c r="W754" s="51"/>
      <c r="X754" s="51"/>
      <c r="Y754" s="51"/>
      <c r="Z754" s="51"/>
      <c r="AA754" s="51"/>
      <c r="AB754" s="51"/>
    </row>
    <row r="755" customFormat="false" ht="15.75" hidden="false" customHeight="false" outlineLevel="0" collapsed="false">
      <c r="A755" s="51"/>
      <c r="B755" s="51"/>
      <c r="C755" s="6"/>
      <c r="D755" s="49"/>
      <c r="E755" s="51"/>
      <c r="F755" s="6"/>
      <c r="G755" s="6"/>
      <c r="H755" s="6"/>
      <c r="I755" s="6"/>
      <c r="J755" s="6"/>
      <c r="K755" s="51"/>
      <c r="L755" s="51"/>
      <c r="M755" s="51"/>
      <c r="N755" s="51"/>
      <c r="O755" s="51"/>
      <c r="P755" s="51"/>
      <c r="Q755" s="51"/>
      <c r="R755" s="51"/>
      <c r="S755" s="51"/>
      <c r="T755" s="51"/>
      <c r="U755" s="51"/>
      <c r="V755" s="51"/>
      <c r="W755" s="51"/>
      <c r="X755" s="51"/>
      <c r="Y755" s="51"/>
      <c r="Z755" s="51"/>
      <c r="AA755" s="51"/>
      <c r="AB755" s="51"/>
    </row>
    <row r="756" customFormat="false" ht="15.75" hidden="false" customHeight="false" outlineLevel="0" collapsed="false">
      <c r="A756" s="51"/>
      <c r="B756" s="51"/>
      <c r="C756" s="6"/>
      <c r="D756" s="49"/>
      <c r="E756" s="51"/>
      <c r="F756" s="6"/>
      <c r="G756" s="6"/>
      <c r="H756" s="6"/>
      <c r="I756" s="6"/>
      <c r="J756" s="6"/>
      <c r="K756" s="51"/>
      <c r="L756" s="51"/>
      <c r="M756" s="51"/>
      <c r="N756" s="51"/>
      <c r="O756" s="51"/>
      <c r="P756" s="51"/>
      <c r="Q756" s="51"/>
      <c r="R756" s="51"/>
      <c r="S756" s="51"/>
      <c r="T756" s="51"/>
      <c r="U756" s="51"/>
      <c r="V756" s="51"/>
      <c r="W756" s="51"/>
      <c r="X756" s="51"/>
      <c r="Y756" s="51"/>
      <c r="Z756" s="51"/>
      <c r="AA756" s="51"/>
      <c r="AB756" s="51"/>
    </row>
    <row r="757" customFormat="false" ht="15.75" hidden="false" customHeight="false" outlineLevel="0" collapsed="false">
      <c r="A757" s="51"/>
      <c r="B757" s="51"/>
      <c r="C757" s="6"/>
      <c r="D757" s="49"/>
      <c r="E757" s="51"/>
      <c r="F757" s="6"/>
      <c r="G757" s="6"/>
      <c r="H757" s="6"/>
      <c r="I757" s="6"/>
      <c r="J757" s="6"/>
      <c r="K757" s="51"/>
      <c r="L757" s="51"/>
      <c r="M757" s="51"/>
      <c r="N757" s="51"/>
      <c r="O757" s="51"/>
      <c r="P757" s="51"/>
      <c r="Q757" s="51"/>
      <c r="R757" s="51"/>
      <c r="S757" s="51"/>
      <c r="T757" s="51"/>
      <c r="U757" s="51"/>
      <c r="V757" s="51"/>
      <c r="W757" s="51"/>
      <c r="X757" s="51"/>
      <c r="Y757" s="51"/>
      <c r="Z757" s="51"/>
      <c r="AA757" s="51"/>
      <c r="AB757" s="51"/>
    </row>
    <row r="758" customFormat="false" ht="15.75" hidden="false" customHeight="false" outlineLevel="0" collapsed="false">
      <c r="A758" s="51"/>
      <c r="B758" s="51"/>
      <c r="C758" s="6"/>
      <c r="D758" s="49"/>
      <c r="E758" s="51"/>
      <c r="F758" s="6"/>
      <c r="G758" s="6"/>
      <c r="H758" s="6"/>
      <c r="I758" s="6"/>
      <c r="J758" s="6"/>
      <c r="K758" s="51"/>
      <c r="L758" s="51"/>
      <c r="M758" s="51"/>
      <c r="N758" s="51"/>
      <c r="O758" s="51"/>
      <c r="P758" s="51"/>
      <c r="Q758" s="51"/>
      <c r="R758" s="51"/>
      <c r="S758" s="51"/>
      <c r="T758" s="51"/>
      <c r="U758" s="51"/>
      <c r="V758" s="51"/>
      <c r="W758" s="51"/>
      <c r="X758" s="51"/>
      <c r="Y758" s="51"/>
      <c r="Z758" s="51"/>
      <c r="AA758" s="51"/>
      <c r="AB758" s="51"/>
    </row>
    <row r="759" customFormat="false" ht="15.75" hidden="false" customHeight="false" outlineLevel="0" collapsed="false">
      <c r="A759" s="51"/>
      <c r="B759" s="51"/>
      <c r="C759" s="6"/>
      <c r="D759" s="49"/>
      <c r="E759" s="51"/>
      <c r="F759" s="6"/>
      <c r="G759" s="6"/>
      <c r="H759" s="6"/>
      <c r="I759" s="6"/>
      <c r="J759" s="6"/>
      <c r="K759" s="51"/>
      <c r="L759" s="51"/>
      <c r="M759" s="51"/>
      <c r="N759" s="51"/>
      <c r="O759" s="51"/>
      <c r="P759" s="51"/>
      <c r="Q759" s="51"/>
      <c r="R759" s="51"/>
      <c r="S759" s="51"/>
      <c r="T759" s="51"/>
      <c r="U759" s="51"/>
      <c r="V759" s="51"/>
      <c r="W759" s="51"/>
      <c r="X759" s="51"/>
      <c r="Y759" s="51"/>
      <c r="Z759" s="51"/>
      <c r="AA759" s="51"/>
      <c r="AB759" s="51"/>
    </row>
    <row r="760" customFormat="false" ht="15.75" hidden="false" customHeight="false" outlineLevel="0" collapsed="false">
      <c r="A760" s="51"/>
      <c r="B760" s="51"/>
      <c r="C760" s="6"/>
      <c r="D760" s="49"/>
      <c r="E760" s="51"/>
      <c r="F760" s="6"/>
      <c r="G760" s="6"/>
      <c r="H760" s="6"/>
      <c r="I760" s="6"/>
      <c r="J760" s="6"/>
      <c r="K760" s="51"/>
      <c r="L760" s="51"/>
      <c r="M760" s="51"/>
      <c r="N760" s="51"/>
      <c r="O760" s="51"/>
      <c r="P760" s="51"/>
      <c r="Q760" s="51"/>
      <c r="R760" s="51"/>
      <c r="S760" s="51"/>
      <c r="T760" s="51"/>
      <c r="U760" s="51"/>
      <c r="V760" s="51"/>
      <c r="W760" s="51"/>
      <c r="X760" s="51"/>
      <c r="Y760" s="51"/>
      <c r="Z760" s="51"/>
      <c r="AA760" s="51"/>
      <c r="AB760" s="51"/>
    </row>
    <row r="761" customFormat="false" ht="15.75" hidden="false" customHeight="false" outlineLevel="0" collapsed="false">
      <c r="A761" s="51"/>
      <c r="B761" s="51"/>
      <c r="C761" s="6"/>
      <c r="D761" s="49"/>
      <c r="E761" s="51"/>
      <c r="F761" s="6"/>
      <c r="G761" s="6"/>
      <c r="H761" s="6"/>
      <c r="I761" s="6"/>
      <c r="J761" s="6"/>
      <c r="K761" s="51"/>
      <c r="L761" s="51"/>
      <c r="M761" s="51"/>
      <c r="N761" s="51"/>
      <c r="O761" s="51"/>
      <c r="P761" s="51"/>
      <c r="Q761" s="51"/>
      <c r="R761" s="51"/>
      <c r="S761" s="51"/>
      <c r="T761" s="51"/>
      <c r="U761" s="51"/>
      <c r="V761" s="51"/>
      <c r="W761" s="51"/>
      <c r="X761" s="51"/>
      <c r="Y761" s="51"/>
      <c r="Z761" s="51"/>
      <c r="AA761" s="51"/>
      <c r="AB761" s="51"/>
    </row>
    <row r="762" customFormat="false" ht="15.75" hidden="false" customHeight="false" outlineLevel="0" collapsed="false">
      <c r="A762" s="51"/>
      <c r="B762" s="51"/>
      <c r="C762" s="6"/>
      <c r="D762" s="49"/>
      <c r="E762" s="51"/>
      <c r="F762" s="6"/>
      <c r="G762" s="6"/>
      <c r="H762" s="6"/>
      <c r="I762" s="6"/>
      <c r="J762" s="6"/>
      <c r="K762" s="51"/>
      <c r="L762" s="51"/>
      <c r="M762" s="51"/>
      <c r="N762" s="51"/>
      <c r="O762" s="51"/>
      <c r="P762" s="51"/>
      <c r="Q762" s="51"/>
      <c r="R762" s="51"/>
      <c r="S762" s="51"/>
      <c r="T762" s="51"/>
      <c r="U762" s="51"/>
      <c r="V762" s="51"/>
      <c r="W762" s="51"/>
      <c r="X762" s="51"/>
      <c r="Y762" s="51"/>
      <c r="Z762" s="51"/>
      <c r="AA762" s="51"/>
      <c r="AB762" s="51"/>
    </row>
    <row r="763" customFormat="false" ht="15.75" hidden="false" customHeight="false" outlineLevel="0" collapsed="false">
      <c r="A763" s="51"/>
      <c r="B763" s="51"/>
      <c r="C763" s="6"/>
      <c r="D763" s="49"/>
      <c r="E763" s="51"/>
      <c r="F763" s="6"/>
      <c r="G763" s="6"/>
      <c r="H763" s="6"/>
      <c r="I763" s="6"/>
      <c r="J763" s="6"/>
      <c r="K763" s="51"/>
      <c r="L763" s="51"/>
      <c r="M763" s="51"/>
      <c r="N763" s="51"/>
      <c r="O763" s="51"/>
      <c r="P763" s="51"/>
      <c r="Q763" s="51"/>
      <c r="R763" s="51"/>
      <c r="S763" s="51"/>
      <c r="T763" s="51"/>
      <c r="U763" s="51"/>
      <c r="V763" s="51"/>
      <c r="W763" s="51"/>
      <c r="X763" s="51"/>
      <c r="Y763" s="51"/>
      <c r="Z763" s="51"/>
      <c r="AA763" s="51"/>
      <c r="AB763" s="51"/>
    </row>
    <row r="764" customFormat="false" ht="15.75" hidden="false" customHeight="false" outlineLevel="0" collapsed="false">
      <c r="A764" s="51"/>
      <c r="B764" s="51"/>
      <c r="C764" s="6"/>
      <c r="D764" s="49"/>
      <c r="E764" s="51"/>
      <c r="F764" s="6"/>
      <c r="G764" s="6"/>
      <c r="H764" s="6"/>
      <c r="I764" s="6"/>
      <c r="J764" s="6"/>
      <c r="K764" s="51"/>
      <c r="L764" s="51"/>
      <c r="M764" s="51"/>
      <c r="N764" s="51"/>
      <c r="O764" s="51"/>
      <c r="P764" s="51"/>
      <c r="Q764" s="51"/>
      <c r="R764" s="51"/>
      <c r="S764" s="51"/>
      <c r="T764" s="51"/>
      <c r="U764" s="51"/>
      <c r="V764" s="51"/>
      <c r="W764" s="51"/>
      <c r="X764" s="51"/>
      <c r="Y764" s="51"/>
      <c r="Z764" s="51"/>
      <c r="AA764" s="51"/>
      <c r="AB764" s="51"/>
    </row>
    <row r="765" customFormat="false" ht="15.75" hidden="false" customHeight="false" outlineLevel="0" collapsed="false">
      <c r="A765" s="51"/>
      <c r="B765" s="51"/>
      <c r="C765" s="6"/>
      <c r="D765" s="49"/>
      <c r="E765" s="51"/>
      <c r="F765" s="6"/>
      <c r="G765" s="6"/>
      <c r="H765" s="6"/>
      <c r="I765" s="6"/>
      <c r="J765" s="6"/>
      <c r="K765" s="51"/>
      <c r="L765" s="51"/>
      <c r="M765" s="51"/>
      <c r="N765" s="51"/>
      <c r="O765" s="51"/>
      <c r="P765" s="51"/>
      <c r="Q765" s="51"/>
      <c r="R765" s="51"/>
      <c r="S765" s="51"/>
      <c r="T765" s="51"/>
      <c r="U765" s="51"/>
      <c r="V765" s="51"/>
      <c r="W765" s="51"/>
      <c r="X765" s="51"/>
      <c r="Y765" s="51"/>
      <c r="Z765" s="51"/>
      <c r="AA765" s="51"/>
      <c r="AB765" s="51"/>
    </row>
    <row r="766" customFormat="false" ht="15.75" hidden="false" customHeight="false" outlineLevel="0" collapsed="false">
      <c r="A766" s="51"/>
      <c r="B766" s="51"/>
      <c r="C766" s="6"/>
      <c r="D766" s="49"/>
      <c r="E766" s="51"/>
      <c r="F766" s="6"/>
      <c r="G766" s="6"/>
      <c r="H766" s="6"/>
      <c r="I766" s="6"/>
      <c r="J766" s="6"/>
      <c r="K766" s="51"/>
      <c r="L766" s="51"/>
      <c r="M766" s="51"/>
      <c r="N766" s="51"/>
      <c r="O766" s="51"/>
      <c r="P766" s="51"/>
      <c r="Q766" s="51"/>
      <c r="R766" s="51"/>
      <c r="S766" s="51"/>
      <c r="T766" s="51"/>
      <c r="U766" s="51"/>
      <c r="V766" s="51"/>
      <c r="W766" s="51"/>
      <c r="X766" s="51"/>
      <c r="Y766" s="51"/>
      <c r="Z766" s="51"/>
      <c r="AA766" s="51"/>
      <c r="AB766" s="51"/>
    </row>
    <row r="767" customFormat="false" ht="15.75" hidden="false" customHeight="false" outlineLevel="0" collapsed="false">
      <c r="A767" s="51"/>
      <c r="B767" s="51"/>
      <c r="C767" s="6"/>
      <c r="D767" s="49"/>
      <c r="E767" s="51"/>
      <c r="F767" s="6"/>
      <c r="G767" s="6"/>
      <c r="H767" s="6"/>
      <c r="I767" s="6"/>
      <c r="J767" s="6"/>
      <c r="K767" s="51"/>
      <c r="L767" s="51"/>
      <c r="M767" s="51"/>
      <c r="N767" s="51"/>
      <c r="O767" s="51"/>
      <c r="P767" s="51"/>
      <c r="Q767" s="51"/>
      <c r="R767" s="51"/>
      <c r="S767" s="51"/>
      <c r="T767" s="51"/>
      <c r="U767" s="51"/>
      <c r="V767" s="51"/>
      <c r="W767" s="51"/>
      <c r="X767" s="51"/>
      <c r="Y767" s="51"/>
      <c r="Z767" s="51"/>
      <c r="AA767" s="51"/>
      <c r="AB767" s="51"/>
    </row>
    <row r="768" customFormat="false" ht="15.75" hidden="false" customHeight="false" outlineLevel="0" collapsed="false">
      <c r="A768" s="51"/>
      <c r="B768" s="51"/>
      <c r="C768" s="6"/>
      <c r="D768" s="49"/>
      <c r="E768" s="51"/>
      <c r="F768" s="6"/>
      <c r="G768" s="6"/>
      <c r="H768" s="6"/>
      <c r="I768" s="6"/>
      <c r="J768" s="6"/>
      <c r="K768" s="51"/>
      <c r="L768" s="51"/>
      <c r="M768" s="51"/>
      <c r="N768" s="51"/>
      <c r="O768" s="51"/>
      <c r="P768" s="51"/>
      <c r="Q768" s="51"/>
      <c r="R768" s="51"/>
      <c r="S768" s="51"/>
      <c r="T768" s="51"/>
      <c r="U768" s="51"/>
      <c r="V768" s="51"/>
      <c r="W768" s="51"/>
      <c r="X768" s="51"/>
      <c r="Y768" s="51"/>
      <c r="Z768" s="51"/>
      <c r="AA768" s="51"/>
      <c r="AB768" s="51"/>
    </row>
    <row r="769" customFormat="false" ht="15.75" hidden="false" customHeight="false" outlineLevel="0" collapsed="false">
      <c r="A769" s="51"/>
      <c r="B769" s="51"/>
      <c r="C769" s="6"/>
      <c r="D769" s="49"/>
      <c r="E769" s="51"/>
      <c r="F769" s="6"/>
      <c r="G769" s="6"/>
      <c r="H769" s="6"/>
      <c r="I769" s="6"/>
      <c r="J769" s="6"/>
      <c r="K769" s="51"/>
      <c r="L769" s="51"/>
      <c r="M769" s="51"/>
      <c r="N769" s="51"/>
      <c r="O769" s="51"/>
      <c r="P769" s="51"/>
      <c r="Q769" s="51"/>
      <c r="R769" s="51"/>
      <c r="S769" s="51"/>
      <c r="T769" s="51"/>
      <c r="U769" s="51"/>
      <c r="V769" s="51"/>
      <c r="W769" s="51"/>
      <c r="X769" s="51"/>
      <c r="Y769" s="51"/>
      <c r="Z769" s="51"/>
      <c r="AA769" s="51"/>
      <c r="AB769" s="51"/>
    </row>
    <row r="770" customFormat="false" ht="15.75" hidden="false" customHeight="false" outlineLevel="0" collapsed="false">
      <c r="A770" s="51"/>
      <c r="B770" s="51"/>
      <c r="C770" s="6"/>
      <c r="D770" s="49"/>
      <c r="E770" s="51"/>
      <c r="F770" s="6"/>
      <c r="G770" s="6"/>
      <c r="H770" s="6"/>
      <c r="I770" s="6"/>
      <c r="J770" s="6"/>
      <c r="K770" s="51"/>
      <c r="L770" s="51"/>
      <c r="M770" s="51"/>
      <c r="N770" s="51"/>
      <c r="O770" s="51"/>
      <c r="P770" s="51"/>
      <c r="Q770" s="51"/>
      <c r="R770" s="51"/>
      <c r="S770" s="51"/>
      <c r="T770" s="51"/>
      <c r="U770" s="51"/>
      <c r="V770" s="51"/>
      <c r="W770" s="51"/>
      <c r="X770" s="51"/>
      <c r="Y770" s="51"/>
      <c r="Z770" s="51"/>
      <c r="AA770" s="51"/>
      <c r="AB770" s="51"/>
    </row>
    <row r="771" customFormat="false" ht="15.75" hidden="false" customHeight="false" outlineLevel="0" collapsed="false">
      <c r="A771" s="51"/>
      <c r="B771" s="51"/>
      <c r="C771" s="6"/>
      <c r="D771" s="49"/>
      <c r="E771" s="51"/>
      <c r="F771" s="6"/>
      <c r="G771" s="6"/>
      <c r="H771" s="6"/>
      <c r="I771" s="6"/>
      <c r="J771" s="6"/>
      <c r="K771" s="51"/>
      <c r="L771" s="51"/>
      <c r="M771" s="51"/>
      <c r="N771" s="51"/>
      <c r="O771" s="51"/>
      <c r="P771" s="51"/>
      <c r="Q771" s="51"/>
      <c r="R771" s="51"/>
      <c r="S771" s="51"/>
      <c r="T771" s="51"/>
      <c r="U771" s="51"/>
      <c r="V771" s="51"/>
      <c r="W771" s="51"/>
      <c r="X771" s="51"/>
      <c r="Y771" s="51"/>
      <c r="Z771" s="51"/>
      <c r="AA771" s="51"/>
      <c r="AB771" s="51"/>
    </row>
    <row r="772" customFormat="false" ht="15.75" hidden="false" customHeight="false" outlineLevel="0" collapsed="false">
      <c r="A772" s="51"/>
      <c r="B772" s="51"/>
      <c r="C772" s="6"/>
      <c r="D772" s="49"/>
      <c r="E772" s="51"/>
      <c r="F772" s="6"/>
      <c r="G772" s="6"/>
      <c r="H772" s="6"/>
      <c r="I772" s="6"/>
      <c r="J772" s="6"/>
      <c r="K772" s="51"/>
      <c r="L772" s="51"/>
      <c r="M772" s="51"/>
      <c r="N772" s="51"/>
      <c r="O772" s="51"/>
      <c r="P772" s="51"/>
      <c r="Q772" s="51"/>
      <c r="R772" s="51"/>
      <c r="S772" s="51"/>
      <c r="T772" s="51"/>
      <c r="U772" s="51"/>
      <c r="V772" s="51"/>
      <c r="W772" s="51"/>
      <c r="X772" s="51"/>
      <c r="Y772" s="51"/>
      <c r="Z772" s="51"/>
      <c r="AA772" s="51"/>
      <c r="AB772" s="51"/>
    </row>
    <row r="773" customFormat="false" ht="15.75" hidden="false" customHeight="false" outlineLevel="0" collapsed="false">
      <c r="A773" s="51"/>
      <c r="B773" s="51"/>
      <c r="C773" s="6"/>
      <c r="D773" s="49"/>
      <c r="E773" s="51"/>
      <c r="F773" s="6"/>
      <c r="G773" s="6"/>
      <c r="H773" s="6"/>
      <c r="I773" s="6"/>
      <c r="J773" s="6"/>
      <c r="K773" s="51"/>
      <c r="L773" s="51"/>
      <c r="M773" s="51"/>
      <c r="N773" s="51"/>
      <c r="O773" s="51"/>
      <c r="P773" s="51"/>
      <c r="Q773" s="51"/>
      <c r="R773" s="51"/>
      <c r="S773" s="51"/>
      <c r="T773" s="51"/>
      <c r="U773" s="51"/>
      <c r="V773" s="51"/>
      <c r="W773" s="51"/>
      <c r="X773" s="51"/>
      <c r="Y773" s="51"/>
      <c r="Z773" s="51"/>
      <c r="AA773" s="51"/>
      <c r="AB773" s="51"/>
    </row>
    <row r="774" customFormat="false" ht="15.75" hidden="false" customHeight="false" outlineLevel="0" collapsed="false">
      <c r="A774" s="51"/>
      <c r="B774" s="51"/>
      <c r="C774" s="6"/>
      <c r="D774" s="49"/>
      <c r="E774" s="51"/>
      <c r="F774" s="6"/>
      <c r="G774" s="6"/>
      <c r="H774" s="6"/>
      <c r="I774" s="6"/>
      <c r="J774" s="6"/>
      <c r="K774" s="51"/>
      <c r="L774" s="51"/>
      <c r="M774" s="51"/>
      <c r="N774" s="51"/>
      <c r="O774" s="51"/>
      <c r="P774" s="51"/>
      <c r="Q774" s="51"/>
      <c r="R774" s="51"/>
      <c r="S774" s="51"/>
      <c r="T774" s="51"/>
      <c r="U774" s="51"/>
      <c r="V774" s="51"/>
      <c r="W774" s="51"/>
      <c r="X774" s="51"/>
      <c r="Y774" s="51"/>
      <c r="Z774" s="51"/>
      <c r="AA774" s="51"/>
      <c r="AB774" s="51"/>
    </row>
    <row r="775" customFormat="false" ht="15.75" hidden="false" customHeight="false" outlineLevel="0" collapsed="false">
      <c r="A775" s="51"/>
      <c r="B775" s="51"/>
      <c r="C775" s="6"/>
      <c r="D775" s="49"/>
      <c r="E775" s="51"/>
      <c r="F775" s="6"/>
      <c r="G775" s="6"/>
      <c r="H775" s="6"/>
      <c r="I775" s="6"/>
      <c r="J775" s="6"/>
      <c r="K775" s="51"/>
      <c r="L775" s="51"/>
      <c r="M775" s="51"/>
      <c r="N775" s="51"/>
      <c r="O775" s="51"/>
      <c r="P775" s="51"/>
      <c r="Q775" s="51"/>
      <c r="R775" s="51"/>
      <c r="S775" s="51"/>
      <c r="T775" s="51"/>
      <c r="U775" s="51"/>
      <c r="V775" s="51"/>
      <c r="W775" s="51"/>
      <c r="X775" s="51"/>
      <c r="Y775" s="51"/>
      <c r="Z775" s="51"/>
      <c r="AA775" s="51"/>
      <c r="AB775" s="51"/>
    </row>
    <row r="776" customFormat="false" ht="15.75" hidden="false" customHeight="false" outlineLevel="0" collapsed="false">
      <c r="A776" s="51"/>
      <c r="B776" s="51"/>
      <c r="C776" s="6"/>
      <c r="D776" s="49"/>
      <c r="E776" s="51"/>
      <c r="F776" s="6"/>
      <c r="G776" s="6"/>
      <c r="H776" s="6"/>
      <c r="I776" s="6"/>
      <c r="J776" s="6"/>
      <c r="K776" s="51"/>
      <c r="L776" s="51"/>
      <c r="M776" s="51"/>
      <c r="N776" s="51"/>
      <c r="O776" s="51"/>
      <c r="P776" s="51"/>
      <c r="Q776" s="51"/>
      <c r="R776" s="51"/>
      <c r="S776" s="51"/>
      <c r="T776" s="51"/>
      <c r="U776" s="51"/>
      <c r="V776" s="51"/>
      <c r="W776" s="51"/>
      <c r="X776" s="51"/>
      <c r="Y776" s="51"/>
      <c r="Z776" s="51"/>
      <c r="AA776" s="51"/>
      <c r="AB776" s="51"/>
    </row>
    <row r="777" customFormat="false" ht="15.75" hidden="false" customHeight="false" outlineLevel="0" collapsed="false">
      <c r="A777" s="51"/>
      <c r="B777" s="51"/>
      <c r="C777" s="6"/>
      <c r="D777" s="49"/>
      <c r="E777" s="51"/>
      <c r="F777" s="6"/>
      <c r="G777" s="6"/>
      <c r="H777" s="6"/>
      <c r="I777" s="6"/>
      <c r="J777" s="6"/>
      <c r="K777" s="51"/>
      <c r="L777" s="51"/>
      <c r="M777" s="51"/>
      <c r="N777" s="51"/>
      <c r="O777" s="51"/>
      <c r="P777" s="51"/>
      <c r="Q777" s="51"/>
      <c r="R777" s="51"/>
      <c r="S777" s="51"/>
      <c r="T777" s="51"/>
      <c r="U777" s="51"/>
      <c r="V777" s="51"/>
      <c r="W777" s="51"/>
      <c r="X777" s="51"/>
      <c r="Y777" s="51"/>
      <c r="Z777" s="51"/>
      <c r="AA777" s="51"/>
      <c r="AB777" s="51"/>
    </row>
    <row r="778" customFormat="false" ht="15.75" hidden="false" customHeight="false" outlineLevel="0" collapsed="false">
      <c r="A778" s="51"/>
      <c r="B778" s="51"/>
      <c r="C778" s="6"/>
      <c r="D778" s="49"/>
      <c r="E778" s="51"/>
      <c r="F778" s="6"/>
      <c r="G778" s="6"/>
      <c r="H778" s="6"/>
      <c r="I778" s="6"/>
      <c r="J778" s="6"/>
      <c r="K778" s="51"/>
      <c r="L778" s="51"/>
      <c r="M778" s="51"/>
      <c r="N778" s="51"/>
      <c r="O778" s="51"/>
      <c r="P778" s="51"/>
      <c r="Q778" s="51"/>
      <c r="R778" s="51"/>
      <c r="S778" s="51"/>
      <c r="T778" s="51"/>
      <c r="U778" s="51"/>
      <c r="V778" s="51"/>
      <c r="W778" s="51"/>
      <c r="X778" s="51"/>
      <c r="Y778" s="51"/>
      <c r="Z778" s="51"/>
      <c r="AA778" s="51"/>
      <c r="AB778" s="51"/>
    </row>
    <row r="779" customFormat="false" ht="15.75" hidden="false" customHeight="false" outlineLevel="0" collapsed="false">
      <c r="A779" s="51"/>
      <c r="B779" s="51"/>
      <c r="C779" s="6"/>
      <c r="D779" s="49"/>
      <c r="E779" s="51"/>
      <c r="F779" s="6"/>
      <c r="G779" s="6"/>
      <c r="H779" s="6"/>
      <c r="I779" s="6"/>
      <c r="J779" s="6"/>
      <c r="K779" s="51"/>
      <c r="L779" s="51"/>
      <c r="M779" s="51"/>
      <c r="N779" s="51"/>
      <c r="O779" s="51"/>
      <c r="P779" s="51"/>
      <c r="Q779" s="51"/>
      <c r="R779" s="51"/>
      <c r="S779" s="51"/>
      <c r="T779" s="51"/>
      <c r="U779" s="51"/>
      <c r="V779" s="51"/>
      <c r="W779" s="51"/>
      <c r="X779" s="51"/>
      <c r="Y779" s="51"/>
      <c r="Z779" s="51"/>
      <c r="AA779" s="51"/>
      <c r="AB779" s="51"/>
    </row>
    <row r="780" customFormat="false" ht="15.75" hidden="false" customHeight="false" outlineLevel="0" collapsed="false">
      <c r="A780" s="51"/>
      <c r="B780" s="51"/>
      <c r="C780" s="6"/>
      <c r="D780" s="49"/>
      <c r="E780" s="51"/>
      <c r="F780" s="6"/>
      <c r="G780" s="6"/>
      <c r="H780" s="6"/>
      <c r="I780" s="6"/>
      <c r="J780" s="6"/>
      <c r="K780" s="51"/>
      <c r="L780" s="51"/>
      <c r="M780" s="51"/>
      <c r="N780" s="51"/>
      <c r="O780" s="51"/>
      <c r="P780" s="51"/>
      <c r="Q780" s="51"/>
      <c r="R780" s="51"/>
      <c r="S780" s="51"/>
      <c r="T780" s="51"/>
      <c r="U780" s="51"/>
      <c r="V780" s="51"/>
      <c r="W780" s="51"/>
      <c r="X780" s="51"/>
      <c r="Y780" s="51"/>
      <c r="Z780" s="51"/>
      <c r="AA780" s="51"/>
      <c r="AB780" s="51"/>
    </row>
    <row r="781" customFormat="false" ht="15.75" hidden="false" customHeight="false" outlineLevel="0" collapsed="false">
      <c r="A781" s="51"/>
      <c r="B781" s="51"/>
      <c r="C781" s="6"/>
      <c r="D781" s="49"/>
      <c r="E781" s="51"/>
      <c r="F781" s="6"/>
      <c r="G781" s="6"/>
      <c r="H781" s="6"/>
      <c r="I781" s="6"/>
      <c r="J781" s="6"/>
      <c r="K781" s="51"/>
      <c r="L781" s="51"/>
      <c r="M781" s="51"/>
      <c r="N781" s="51"/>
      <c r="O781" s="51"/>
      <c r="P781" s="51"/>
      <c r="Q781" s="51"/>
      <c r="R781" s="51"/>
      <c r="S781" s="51"/>
      <c r="T781" s="51"/>
      <c r="U781" s="51"/>
      <c r="V781" s="51"/>
      <c r="W781" s="51"/>
      <c r="X781" s="51"/>
      <c r="Y781" s="51"/>
      <c r="Z781" s="51"/>
      <c r="AA781" s="51"/>
      <c r="AB781" s="51"/>
    </row>
    <row r="782" customFormat="false" ht="15.75" hidden="false" customHeight="false" outlineLevel="0" collapsed="false">
      <c r="A782" s="51"/>
      <c r="B782" s="51"/>
      <c r="C782" s="6"/>
      <c r="D782" s="49"/>
      <c r="E782" s="51"/>
      <c r="F782" s="6"/>
      <c r="G782" s="6"/>
      <c r="H782" s="6"/>
      <c r="I782" s="6"/>
      <c r="J782" s="6"/>
      <c r="K782" s="51"/>
      <c r="L782" s="51"/>
      <c r="M782" s="51"/>
      <c r="N782" s="51"/>
      <c r="O782" s="51"/>
      <c r="P782" s="51"/>
      <c r="Q782" s="51"/>
      <c r="R782" s="51"/>
      <c r="S782" s="51"/>
      <c r="T782" s="51"/>
      <c r="U782" s="51"/>
      <c r="V782" s="51"/>
      <c r="W782" s="51"/>
      <c r="X782" s="51"/>
      <c r="Y782" s="51"/>
      <c r="Z782" s="51"/>
      <c r="AA782" s="51"/>
      <c r="AB782" s="51"/>
    </row>
    <row r="783" customFormat="false" ht="15.75" hidden="false" customHeight="false" outlineLevel="0" collapsed="false">
      <c r="A783" s="51"/>
      <c r="B783" s="51"/>
      <c r="C783" s="6"/>
      <c r="D783" s="49"/>
      <c r="E783" s="51"/>
      <c r="F783" s="6"/>
      <c r="G783" s="6"/>
      <c r="H783" s="6"/>
      <c r="I783" s="6"/>
      <c r="J783" s="6"/>
      <c r="K783" s="51"/>
      <c r="L783" s="51"/>
      <c r="M783" s="51"/>
      <c r="N783" s="51"/>
      <c r="O783" s="51"/>
      <c r="P783" s="51"/>
      <c r="Q783" s="51"/>
      <c r="R783" s="51"/>
      <c r="S783" s="51"/>
      <c r="T783" s="51"/>
      <c r="U783" s="51"/>
      <c r="V783" s="51"/>
      <c r="W783" s="51"/>
      <c r="X783" s="51"/>
      <c r="Y783" s="51"/>
      <c r="Z783" s="51"/>
      <c r="AA783" s="51"/>
      <c r="AB783" s="51"/>
    </row>
    <row r="784" customFormat="false" ht="15.75" hidden="false" customHeight="false" outlineLevel="0" collapsed="false">
      <c r="A784" s="51"/>
      <c r="B784" s="51"/>
      <c r="C784" s="6"/>
      <c r="D784" s="49"/>
      <c r="E784" s="51"/>
      <c r="F784" s="6"/>
      <c r="G784" s="6"/>
      <c r="H784" s="6"/>
      <c r="I784" s="6"/>
      <c r="J784" s="6"/>
      <c r="K784" s="51"/>
      <c r="L784" s="51"/>
      <c r="M784" s="51"/>
      <c r="N784" s="51"/>
      <c r="O784" s="51"/>
      <c r="P784" s="51"/>
      <c r="Q784" s="51"/>
      <c r="R784" s="51"/>
      <c r="S784" s="51"/>
      <c r="T784" s="51"/>
      <c r="U784" s="51"/>
      <c r="V784" s="51"/>
      <c r="W784" s="51"/>
      <c r="X784" s="51"/>
      <c r="Y784" s="51"/>
      <c r="Z784" s="51"/>
      <c r="AA784" s="51"/>
      <c r="AB784" s="51"/>
    </row>
    <row r="785" customFormat="false" ht="15.75" hidden="false" customHeight="false" outlineLevel="0" collapsed="false">
      <c r="A785" s="51"/>
      <c r="B785" s="51"/>
      <c r="C785" s="6"/>
      <c r="D785" s="49"/>
      <c r="E785" s="51"/>
      <c r="F785" s="6"/>
      <c r="G785" s="6"/>
      <c r="H785" s="6"/>
      <c r="I785" s="6"/>
      <c r="J785" s="6"/>
      <c r="K785" s="51"/>
      <c r="L785" s="51"/>
      <c r="M785" s="51"/>
      <c r="N785" s="51"/>
      <c r="O785" s="51"/>
      <c r="P785" s="51"/>
      <c r="Q785" s="51"/>
      <c r="R785" s="51"/>
      <c r="S785" s="51"/>
      <c r="T785" s="51"/>
      <c r="U785" s="51"/>
      <c r="V785" s="51"/>
      <c r="W785" s="51"/>
      <c r="X785" s="51"/>
      <c r="Y785" s="51"/>
      <c r="Z785" s="51"/>
      <c r="AA785" s="51"/>
      <c r="AB785" s="51"/>
    </row>
    <row r="786" customFormat="false" ht="15.75" hidden="false" customHeight="false" outlineLevel="0" collapsed="false">
      <c r="A786" s="51"/>
      <c r="B786" s="51"/>
      <c r="C786" s="6"/>
      <c r="D786" s="49"/>
      <c r="E786" s="51"/>
      <c r="F786" s="6"/>
      <c r="G786" s="6"/>
      <c r="H786" s="6"/>
      <c r="I786" s="6"/>
      <c r="J786" s="6"/>
      <c r="K786" s="51"/>
      <c r="L786" s="51"/>
      <c r="M786" s="51"/>
      <c r="N786" s="51"/>
      <c r="O786" s="51"/>
      <c r="P786" s="51"/>
      <c r="Q786" s="51"/>
      <c r="R786" s="51"/>
      <c r="S786" s="51"/>
      <c r="T786" s="51"/>
      <c r="U786" s="51"/>
      <c r="V786" s="51"/>
      <c r="W786" s="51"/>
      <c r="X786" s="51"/>
      <c r="Y786" s="51"/>
      <c r="Z786" s="51"/>
      <c r="AA786" s="51"/>
      <c r="AB786" s="51"/>
    </row>
    <row r="787" customFormat="false" ht="15.75" hidden="false" customHeight="false" outlineLevel="0" collapsed="false">
      <c r="A787" s="51"/>
      <c r="B787" s="51"/>
      <c r="C787" s="6"/>
      <c r="D787" s="49"/>
      <c r="E787" s="51"/>
      <c r="F787" s="6"/>
      <c r="G787" s="6"/>
      <c r="H787" s="6"/>
      <c r="I787" s="6"/>
      <c r="J787" s="6"/>
      <c r="K787" s="51"/>
      <c r="L787" s="51"/>
      <c r="M787" s="51"/>
      <c r="N787" s="51"/>
      <c r="O787" s="51"/>
      <c r="P787" s="51"/>
      <c r="Q787" s="51"/>
      <c r="R787" s="51"/>
      <c r="S787" s="51"/>
      <c r="T787" s="51"/>
      <c r="U787" s="51"/>
      <c r="V787" s="51"/>
      <c r="W787" s="51"/>
      <c r="X787" s="51"/>
      <c r="Y787" s="51"/>
      <c r="Z787" s="51"/>
      <c r="AA787" s="51"/>
      <c r="AB787" s="51"/>
    </row>
    <row r="788" customFormat="false" ht="15.75" hidden="false" customHeight="false" outlineLevel="0" collapsed="false">
      <c r="A788" s="51"/>
      <c r="B788" s="51"/>
      <c r="C788" s="6"/>
      <c r="D788" s="49"/>
      <c r="E788" s="51"/>
      <c r="F788" s="6"/>
      <c r="G788" s="6"/>
      <c r="H788" s="6"/>
      <c r="I788" s="6"/>
      <c r="J788" s="6"/>
      <c r="K788" s="51"/>
      <c r="L788" s="51"/>
      <c r="M788" s="51"/>
      <c r="N788" s="51"/>
      <c r="O788" s="51"/>
      <c r="P788" s="51"/>
      <c r="Q788" s="51"/>
      <c r="R788" s="51"/>
      <c r="S788" s="51"/>
      <c r="T788" s="51"/>
      <c r="U788" s="51"/>
      <c r="V788" s="51"/>
      <c r="W788" s="51"/>
      <c r="X788" s="51"/>
      <c r="Y788" s="51"/>
      <c r="Z788" s="51"/>
      <c r="AA788" s="51"/>
      <c r="AB788" s="51"/>
    </row>
    <row r="789" customFormat="false" ht="15.75" hidden="false" customHeight="false" outlineLevel="0" collapsed="false">
      <c r="A789" s="51"/>
      <c r="B789" s="51"/>
      <c r="C789" s="6"/>
      <c r="D789" s="49"/>
      <c r="E789" s="51"/>
      <c r="F789" s="6"/>
      <c r="G789" s="6"/>
      <c r="H789" s="6"/>
      <c r="I789" s="6"/>
      <c r="J789" s="6"/>
      <c r="K789" s="51"/>
      <c r="L789" s="51"/>
      <c r="M789" s="51"/>
      <c r="N789" s="51"/>
      <c r="O789" s="51"/>
      <c r="P789" s="51"/>
      <c r="Q789" s="51"/>
      <c r="R789" s="51"/>
      <c r="S789" s="51"/>
      <c r="T789" s="51"/>
      <c r="U789" s="51"/>
      <c r="V789" s="51"/>
      <c r="W789" s="51"/>
      <c r="X789" s="51"/>
      <c r="Y789" s="51"/>
      <c r="Z789" s="51"/>
      <c r="AA789" s="51"/>
      <c r="AB789" s="51"/>
    </row>
    <row r="790" customFormat="false" ht="15.75" hidden="false" customHeight="false" outlineLevel="0" collapsed="false">
      <c r="A790" s="51"/>
      <c r="B790" s="51"/>
      <c r="C790" s="6"/>
      <c r="D790" s="49"/>
      <c r="E790" s="51"/>
      <c r="F790" s="6"/>
      <c r="G790" s="6"/>
      <c r="H790" s="6"/>
      <c r="I790" s="6"/>
      <c r="J790" s="6"/>
      <c r="K790" s="51"/>
      <c r="L790" s="51"/>
      <c r="M790" s="51"/>
      <c r="N790" s="51"/>
      <c r="O790" s="51"/>
      <c r="P790" s="51"/>
      <c r="Q790" s="51"/>
      <c r="R790" s="51"/>
      <c r="S790" s="51"/>
      <c r="T790" s="51"/>
      <c r="U790" s="51"/>
      <c r="V790" s="51"/>
      <c r="W790" s="51"/>
      <c r="X790" s="51"/>
      <c r="Y790" s="51"/>
      <c r="Z790" s="51"/>
      <c r="AA790" s="51"/>
      <c r="AB790" s="51"/>
    </row>
    <row r="791" customFormat="false" ht="15.75" hidden="false" customHeight="false" outlineLevel="0" collapsed="false">
      <c r="A791" s="51"/>
      <c r="B791" s="51"/>
      <c r="C791" s="6"/>
      <c r="D791" s="49"/>
      <c r="E791" s="51"/>
      <c r="F791" s="6"/>
      <c r="G791" s="6"/>
      <c r="H791" s="6"/>
      <c r="I791" s="6"/>
      <c r="J791" s="6"/>
      <c r="K791" s="51"/>
      <c r="L791" s="51"/>
      <c r="M791" s="51"/>
      <c r="N791" s="51"/>
      <c r="O791" s="51"/>
      <c r="P791" s="51"/>
      <c r="Q791" s="51"/>
      <c r="R791" s="51"/>
      <c r="S791" s="51"/>
      <c r="T791" s="51"/>
      <c r="U791" s="51"/>
      <c r="V791" s="51"/>
      <c r="W791" s="51"/>
      <c r="X791" s="51"/>
      <c r="Y791" s="51"/>
      <c r="Z791" s="51"/>
      <c r="AA791" s="51"/>
      <c r="AB791" s="51"/>
    </row>
    <row r="792" customFormat="false" ht="15.75" hidden="false" customHeight="false" outlineLevel="0" collapsed="false">
      <c r="A792" s="51"/>
      <c r="B792" s="51"/>
      <c r="C792" s="6"/>
      <c r="D792" s="49"/>
      <c r="E792" s="51"/>
      <c r="F792" s="6"/>
      <c r="G792" s="6"/>
      <c r="H792" s="6"/>
      <c r="I792" s="6"/>
      <c r="J792" s="6"/>
      <c r="K792" s="51"/>
      <c r="L792" s="51"/>
      <c r="M792" s="51"/>
      <c r="N792" s="51"/>
      <c r="O792" s="51"/>
      <c r="P792" s="51"/>
      <c r="Q792" s="51"/>
      <c r="R792" s="51"/>
      <c r="S792" s="51"/>
      <c r="T792" s="51"/>
      <c r="U792" s="51"/>
      <c r="V792" s="51"/>
      <c r="W792" s="51"/>
      <c r="X792" s="51"/>
      <c r="Y792" s="51"/>
      <c r="Z792" s="51"/>
      <c r="AA792" s="51"/>
      <c r="AB792" s="51"/>
    </row>
    <row r="793" customFormat="false" ht="15.75" hidden="false" customHeight="false" outlineLevel="0" collapsed="false">
      <c r="A793" s="51"/>
      <c r="B793" s="51"/>
      <c r="C793" s="6"/>
      <c r="D793" s="49"/>
      <c r="E793" s="51"/>
      <c r="F793" s="6"/>
      <c r="G793" s="6"/>
      <c r="H793" s="6"/>
      <c r="I793" s="6"/>
      <c r="J793" s="6"/>
      <c r="K793" s="51"/>
      <c r="L793" s="51"/>
      <c r="M793" s="51"/>
      <c r="N793" s="51"/>
      <c r="O793" s="51"/>
      <c r="P793" s="51"/>
      <c r="Q793" s="51"/>
      <c r="R793" s="51"/>
      <c r="S793" s="51"/>
      <c r="T793" s="51"/>
      <c r="U793" s="51"/>
      <c r="V793" s="51"/>
      <c r="W793" s="51"/>
      <c r="X793" s="51"/>
      <c r="Y793" s="51"/>
      <c r="Z793" s="51"/>
      <c r="AA793" s="51"/>
      <c r="AB793" s="51"/>
    </row>
    <row r="794" customFormat="false" ht="15.75" hidden="false" customHeight="false" outlineLevel="0" collapsed="false">
      <c r="A794" s="51"/>
      <c r="B794" s="51"/>
      <c r="C794" s="6"/>
      <c r="D794" s="49"/>
      <c r="E794" s="51"/>
      <c r="F794" s="6"/>
      <c r="G794" s="6"/>
      <c r="H794" s="6"/>
      <c r="I794" s="6"/>
      <c r="J794" s="6"/>
      <c r="K794" s="51"/>
      <c r="L794" s="51"/>
      <c r="M794" s="51"/>
      <c r="N794" s="51"/>
      <c r="O794" s="51"/>
      <c r="P794" s="51"/>
      <c r="Q794" s="51"/>
      <c r="R794" s="51"/>
      <c r="S794" s="51"/>
      <c r="T794" s="51"/>
      <c r="U794" s="51"/>
      <c r="V794" s="51"/>
      <c r="W794" s="51"/>
      <c r="X794" s="51"/>
      <c r="Y794" s="51"/>
      <c r="Z794" s="51"/>
      <c r="AA794" s="51"/>
      <c r="AB794" s="51"/>
    </row>
    <row r="795" customFormat="false" ht="15.75" hidden="false" customHeight="false" outlineLevel="0" collapsed="false">
      <c r="A795" s="51"/>
      <c r="B795" s="51"/>
      <c r="C795" s="6"/>
      <c r="D795" s="49"/>
      <c r="E795" s="51"/>
      <c r="F795" s="6"/>
      <c r="G795" s="6"/>
      <c r="H795" s="6"/>
      <c r="I795" s="6"/>
      <c r="J795" s="6"/>
      <c r="K795" s="51"/>
      <c r="L795" s="51"/>
      <c r="M795" s="51"/>
      <c r="N795" s="51"/>
      <c r="O795" s="51"/>
      <c r="P795" s="51"/>
      <c r="Q795" s="51"/>
      <c r="R795" s="51"/>
      <c r="S795" s="51"/>
      <c r="T795" s="51"/>
      <c r="U795" s="51"/>
      <c r="V795" s="51"/>
      <c r="W795" s="51"/>
      <c r="X795" s="51"/>
      <c r="Y795" s="51"/>
      <c r="Z795" s="51"/>
      <c r="AA795" s="51"/>
      <c r="AB795" s="51"/>
    </row>
    <row r="796" customFormat="false" ht="15.75" hidden="false" customHeight="false" outlineLevel="0" collapsed="false">
      <c r="A796" s="51"/>
      <c r="B796" s="51"/>
      <c r="C796" s="6"/>
      <c r="D796" s="49"/>
      <c r="E796" s="51"/>
      <c r="F796" s="6"/>
      <c r="G796" s="6"/>
      <c r="H796" s="6"/>
      <c r="I796" s="6"/>
      <c r="J796" s="6"/>
      <c r="K796" s="51"/>
      <c r="L796" s="51"/>
      <c r="M796" s="51"/>
      <c r="N796" s="51"/>
      <c r="O796" s="51"/>
      <c r="P796" s="51"/>
      <c r="Q796" s="51"/>
      <c r="R796" s="51"/>
      <c r="S796" s="51"/>
      <c r="T796" s="51"/>
      <c r="U796" s="51"/>
      <c r="V796" s="51"/>
      <c r="W796" s="51"/>
      <c r="X796" s="51"/>
      <c r="Y796" s="51"/>
      <c r="Z796" s="51"/>
      <c r="AA796" s="51"/>
      <c r="AB796" s="51"/>
    </row>
    <row r="797" customFormat="false" ht="15.75" hidden="false" customHeight="false" outlineLevel="0" collapsed="false">
      <c r="A797" s="51"/>
      <c r="B797" s="51"/>
      <c r="C797" s="6"/>
      <c r="D797" s="49"/>
      <c r="E797" s="51"/>
      <c r="F797" s="6"/>
      <c r="G797" s="6"/>
      <c r="H797" s="6"/>
      <c r="I797" s="6"/>
      <c r="J797" s="6"/>
      <c r="K797" s="51"/>
      <c r="L797" s="51"/>
      <c r="M797" s="51"/>
      <c r="N797" s="51"/>
      <c r="O797" s="51"/>
      <c r="P797" s="51"/>
      <c r="Q797" s="51"/>
      <c r="R797" s="51"/>
      <c r="S797" s="51"/>
      <c r="T797" s="51"/>
      <c r="U797" s="51"/>
      <c r="V797" s="51"/>
      <c r="W797" s="51"/>
      <c r="X797" s="51"/>
      <c r="Y797" s="51"/>
      <c r="Z797" s="51"/>
      <c r="AA797" s="51"/>
      <c r="AB797" s="51"/>
    </row>
    <row r="798" customFormat="false" ht="15.75" hidden="false" customHeight="false" outlineLevel="0" collapsed="false">
      <c r="A798" s="51"/>
      <c r="B798" s="51"/>
      <c r="C798" s="6"/>
      <c r="D798" s="49"/>
      <c r="E798" s="51"/>
      <c r="F798" s="6"/>
      <c r="G798" s="6"/>
      <c r="H798" s="6"/>
      <c r="I798" s="6"/>
      <c r="J798" s="6"/>
      <c r="K798" s="51"/>
      <c r="L798" s="51"/>
      <c r="M798" s="51"/>
      <c r="N798" s="51"/>
      <c r="O798" s="51"/>
      <c r="P798" s="51"/>
      <c r="Q798" s="51"/>
      <c r="R798" s="51"/>
      <c r="S798" s="51"/>
      <c r="T798" s="51"/>
      <c r="U798" s="51"/>
      <c r="V798" s="51"/>
      <c r="W798" s="51"/>
      <c r="X798" s="51"/>
      <c r="Y798" s="51"/>
      <c r="Z798" s="51"/>
      <c r="AA798" s="51"/>
      <c r="AB798" s="51"/>
    </row>
    <row r="799" customFormat="false" ht="15.75" hidden="false" customHeight="false" outlineLevel="0" collapsed="false">
      <c r="A799" s="51"/>
      <c r="B799" s="51"/>
      <c r="C799" s="6"/>
      <c r="D799" s="49"/>
      <c r="E799" s="51"/>
      <c r="F799" s="6"/>
      <c r="G799" s="6"/>
      <c r="H799" s="6"/>
      <c r="I799" s="6"/>
      <c r="J799" s="6"/>
      <c r="K799" s="51"/>
      <c r="L799" s="51"/>
      <c r="M799" s="51"/>
      <c r="N799" s="51"/>
      <c r="O799" s="51"/>
      <c r="P799" s="51"/>
      <c r="Q799" s="51"/>
      <c r="R799" s="51"/>
      <c r="S799" s="51"/>
      <c r="T799" s="51"/>
      <c r="U799" s="51"/>
      <c r="V799" s="51"/>
      <c r="W799" s="51"/>
      <c r="X799" s="51"/>
      <c r="Y799" s="51"/>
      <c r="Z799" s="51"/>
      <c r="AA799" s="51"/>
      <c r="AB799" s="51"/>
    </row>
    <row r="800" customFormat="false" ht="15.75" hidden="false" customHeight="false" outlineLevel="0" collapsed="false">
      <c r="A800" s="51"/>
      <c r="B800" s="51"/>
      <c r="C800" s="6"/>
      <c r="D800" s="49"/>
      <c r="E800" s="51"/>
      <c r="F800" s="6"/>
      <c r="G800" s="6"/>
      <c r="H800" s="6"/>
      <c r="I800" s="6"/>
      <c r="J800" s="6"/>
      <c r="K800" s="51"/>
      <c r="L800" s="51"/>
      <c r="M800" s="51"/>
      <c r="N800" s="51"/>
      <c r="O800" s="51"/>
      <c r="P800" s="51"/>
      <c r="Q800" s="51"/>
      <c r="R800" s="51"/>
      <c r="S800" s="51"/>
      <c r="T800" s="51"/>
      <c r="U800" s="51"/>
      <c r="V800" s="51"/>
      <c r="W800" s="51"/>
      <c r="X800" s="51"/>
      <c r="Y800" s="51"/>
      <c r="Z800" s="51"/>
      <c r="AA800" s="51"/>
      <c r="AB800" s="51"/>
    </row>
    <row r="801" customFormat="false" ht="15.75" hidden="false" customHeight="false" outlineLevel="0" collapsed="false">
      <c r="A801" s="51"/>
      <c r="B801" s="51"/>
      <c r="C801" s="6"/>
      <c r="D801" s="49"/>
      <c r="E801" s="51"/>
      <c r="F801" s="6"/>
      <c r="G801" s="6"/>
      <c r="H801" s="6"/>
      <c r="I801" s="6"/>
      <c r="J801" s="6"/>
      <c r="K801" s="51"/>
      <c r="L801" s="51"/>
      <c r="M801" s="51"/>
      <c r="N801" s="51"/>
      <c r="O801" s="51"/>
      <c r="P801" s="51"/>
      <c r="Q801" s="51"/>
      <c r="R801" s="51"/>
      <c r="S801" s="51"/>
      <c r="T801" s="51"/>
      <c r="U801" s="51"/>
      <c r="V801" s="51"/>
      <c r="W801" s="51"/>
      <c r="X801" s="51"/>
      <c r="Y801" s="51"/>
      <c r="Z801" s="51"/>
      <c r="AA801" s="51"/>
      <c r="AB801" s="51"/>
    </row>
    <row r="802" customFormat="false" ht="15.75" hidden="false" customHeight="false" outlineLevel="0" collapsed="false">
      <c r="A802" s="51"/>
      <c r="B802" s="51"/>
      <c r="C802" s="6"/>
      <c r="D802" s="49"/>
      <c r="E802" s="51"/>
      <c r="F802" s="6"/>
      <c r="G802" s="6"/>
      <c r="H802" s="6"/>
      <c r="I802" s="6"/>
      <c r="J802" s="6"/>
      <c r="K802" s="51"/>
      <c r="L802" s="51"/>
      <c r="M802" s="51"/>
      <c r="N802" s="51"/>
      <c r="O802" s="51"/>
      <c r="P802" s="51"/>
      <c r="Q802" s="51"/>
      <c r="R802" s="51"/>
      <c r="S802" s="51"/>
      <c r="T802" s="51"/>
      <c r="U802" s="51"/>
      <c r="V802" s="51"/>
      <c r="W802" s="51"/>
      <c r="X802" s="51"/>
      <c r="Y802" s="51"/>
      <c r="Z802" s="51"/>
      <c r="AA802" s="51"/>
      <c r="AB802" s="51"/>
    </row>
    <row r="803" customFormat="false" ht="15.75" hidden="false" customHeight="false" outlineLevel="0" collapsed="false">
      <c r="A803" s="51"/>
      <c r="B803" s="51"/>
      <c r="C803" s="6"/>
      <c r="D803" s="49"/>
      <c r="E803" s="51"/>
      <c r="F803" s="6"/>
      <c r="G803" s="6"/>
      <c r="H803" s="6"/>
      <c r="I803" s="6"/>
      <c r="J803" s="6"/>
      <c r="K803" s="51"/>
      <c r="L803" s="51"/>
      <c r="M803" s="51"/>
      <c r="N803" s="51"/>
      <c r="O803" s="51"/>
      <c r="P803" s="51"/>
      <c r="Q803" s="51"/>
      <c r="R803" s="51"/>
      <c r="S803" s="51"/>
      <c r="T803" s="51"/>
      <c r="U803" s="51"/>
      <c r="V803" s="51"/>
      <c r="W803" s="51"/>
      <c r="X803" s="51"/>
      <c r="Y803" s="51"/>
      <c r="Z803" s="51"/>
      <c r="AA803" s="51"/>
      <c r="AB803" s="51"/>
    </row>
    <row r="804" customFormat="false" ht="15.75" hidden="false" customHeight="false" outlineLevel="0" collapsed="false">
      <c r="A804" s="51"/>
      <c r="B804" s="51"/>
      <c r="C804" s="6"/>
      <c r="D804" s="49"/>
      <c r="E804" s="51"/>
      <c r="F804" s="6"/>
      <c r="G804" s="6"/>
      <c r="H804" s="6"/>
      <c r="I804" s="6"/>
      <c r="J804" s="6"/>
      <c r="K804" s="51"/>
      <c r="L804" s="51"/>
      <c r="M804" s="51"/>
      <c r="N804" s="51"/>
      <c r="O804" s="51"/>
      <c r="P804" s="51"/>
      <c r="Q804" s="51"/>
      <c r="R804" s="51"/>
      <c r="S804" s="51"/>
      <c r="T804" s="51"/>
      <c r="U804" s="51"/>
      <c r="V804" s="51"/>
      <c r="W804" s="51"/>
      <c r="X804" s="51"/>
      <c r="Y804" s="51"/>
      <c r="Z804" s="51"/>
      <c r="AA804" s="51"/>
      <c r="AB804" s="51"/>
    </row>
    <row r="805" customFormat="false" ht="15.75" hidden="false" customHeight="false" outlineLevel="0" collapsed="false">
      <c r="A805" s="51"/>
      <c r="B805" s="51"/>
      <c r="C805" s="6"/>
      <c r="D805" s="49"/>
      <c r="E805" s="51"/>
      <c r="F805" s="6"/>
      <c r="G805" s="6"/>
      <c r="H805" s="6"/>
      <c r="I805" s="6"/>
      <c r="J805" s="6"/>
      <c r="K805" s="51"/>
      <c r="L805" s="51"/>
      <c r="M805" s="51"/>
      <c r="N805" s="51"/>
      <c r="O805" s="51"/>
      <c r="P805" s="51"/>
      <c r="Q805" s="51"/>
      <c r="R805" s="51"/>
      <c r="S805" s="51"/>
      <c r="T805" s="51"/>
      <c r="U805" s="51"/>
      <c r="V805" s="51"/>
      <c r="W805" s="51"/>
      <c r="X805" s="51"/>
      <c r="Y805" s="51"/>
      <c r="Z805" s="51"/>
      <c r="AA805" s="51"/>
      <c r="AB805" s="51"/>
    </row>
    <row r="806" customFormat="false" ht="15.75" hidden="false" customHeight="false" outlineLevel="0" collapsed="false">
      <c r="A806" s="51"/>
      <c r="B806" s="51"/>
      <c r="C806" s="6"/>
      <c r="D806" s="49"/>
      <c r="E806" s="51"/>
      <c r="F806" s="6"/>
      <c r="G806" s="6"/>
      <c r="H806" s="6"/>
      <c r="I806" s="6"/>
      <c r="J806" s="6"/>
      <c r="K806" s="51"/>
      <c r="L806" s="51"/>
      <c r="M806" s="51"/>
      <c r="N806" s="51"/>
      <c r="O806" s="51"/>
      <c r="P806" s="51"/>
      <c r="Q806" s="51"/>
      <c r="R806" s="51"/>
      <c r="S806" s="51"/>
      <c r="T806" s="51"/>
      <c r="U806" s="51"/>
      <c r="V806" s="51"/>
      <c r="W806" s="51"/>
      <c r="X806" s="51"/>
      <c r="Y806" s="51"/>
      <c r="Z806" s="51"/>
      <c r="AA806" s="51"/>
      <c r="AB806" s="51"/>
    </row>
    <row r="807" customFormat="false" ht="15.75" hidden="false" customHeight="false" outlineLevel="0" collapsed="false">
      <c r="A807" s="51"/>
      <c r="B807" s="51"/>
      <c r="C807" s="6"/>
      <c r="D807" s="49"/>
      <c r="E807" s="51"/>
      <c r="F807" s="6"/>
      <c r="G807" s="6"/>
      <c r="H807" s="6"/>
      <c r="I807" s="6"/>
      <c r="J807" s="6"/>
      <c r="K807" s="51"/>
      <c r="L807" s="51"/>
      <c r="M807" s="51"/>
      <c r="N807" s="51"/>
      <c r="O807" s="51"/>
      <c r="P807" s="51"/>
      <c r="Q807" s="51"/>
      <c r="R807" s="51"/>
      <c r="S807" s="51"/>
      <c r="T807" s="51"/>
      <c r="U807" s="51"/>
      <c r="V807" s="51"/>
      <c r="W807" s="51"/>
      <c r="X807" s="51"/>
      <c r="Y807" s="51"/>
      <c r="Z807" s="51"/>
      <c r="AA807" s="51"/>
      <c r="AB807" s="51"/>
    </row>
    <row r="808" customFormat="false" ht="15.75" hidden="false" customHeight="false" outlineLevel="0" collapsed="false">
      <c r="A808" s="51"/>
      <c r="B808" s="51"/>
      <c r="C808" s="6"/>
      <c r="D808" s="49"/>
      <c r="E808" s="51"/>
      <c r="F808" s="6"/>
      <c r="G808" s="6"/>
      <c r="H808" s="6"/>
      <c r="I808" s="6"/>
      <c r="J808" s="6"/>
      <c r="K808" s="51"/>
      <c r="L808" s="51"/>
      <c r="M808" s="51"/>
      <c r="N808" s="51"/>
      <c r="O808" s="51"/>
      <c r="P808" s="51"/>
      <c r="Q808" s="51"/>
      <c r="R808" s="51"/>
      <c r="S808" s="51"/>
      <c r="T808" s="51"/>
      <c r="U808" s="51"/>
      <c r="V808" s="51"/>
      <c r="W808" s="51"/>
      <c r="X808" s="51"/>
      <c r="Y808" s="51"/>
      <c r="Z808" s="51"/>
      <c r="AA808" s="51"/>
      <c r="AB808" s="51"/>
    </row>
    <row r="809" customFormat="false" ht="15.75" hidden="false" customHeight="false" outlineLevel="0" collapsed="false">
      <c r="A809" s="51"/>
      <c r="B809" s="51"/>
      <c r="C809" s="6"/>
      <c r="D809" s="49"/>
      <c r="E809" s="51"/>
      <c r="F809" s="6"/>
      <c r="G809" s="6"/>
      <c r="H809" s="6"/>
      <c r="I809" s="6"/>
      <c r="J809" s="6"/>
      <c r="K809" s="51"/>
      <c r="L809" s="51"/>
      <c r="M809" s="51"/>
      <c r="N809" s="51"/>
      <c r="O809" s="51"/>
      <c r="P809" s="51"/>
      <c r="Q809" s="51"/>
      <c r="R809" s="51"/>
      <c r="S809" s="51"/>
      <c r="T809" s="51"/>
      <c r="U809" s="51"/>
      <c r="V809" s="51"/>
      <c r="W809" s="51"/>
      <c r="X809" s="51"/>
      <c r="Y809" s="51"/>
      <c r="Z809" s="51"/>
      <c r="AA809" s="51"/>
      <c r="AB809" s="51"/>
    </row>
    <row r="810" customFormat="false" ht="15.75" hidden="false" customHeight="false" outlineLevel="0" collapsed="false">
      <c r="A810" s="51"/>
      <c r="B810" s="51"/>
      <c r="C810" s="6"/>
      <c r="D810" s="49"/>
      <c r="E810" s="51"/>
      <c r="F810" s="6"/>
      <c r="G810" s="6"/>
      <c r="H810" s="6"/>
      <c r="I810" s="6"/>
      <c r="J810" s="6"/>
      <c r="K810" s="51"/>
      <c r="L810" s="51"/>
      <c r="M810" s="51"/>
      <c r="N810" s="51"/>
      <c r="O810" s="51"/>
      <c r="P810" s="51"/>
      <c r="Q810" s="51"/>
      <c r="R810" s="51"/>
      <c r="S810" s="51"/>
      <c r="T810" s="51"/>
      <c r="U810" s="51"/>
      <c r="V810" s="51"/>
      <c r="W810" s="51"/>
      <c r="X810" s="51"/>
      <c r="Y810" s="51"/>
      <c r="Z810" s="51"/>
      <c r="AA810" s="51"/>
      <c r="AB810" s="51"/>
    </row>
    <row r="811" customFormat="false" ht="15.75" hidden="false" customHeight="false" outlineLevel="0" collapsed="false">
      <c r="A811" s="51"/>
      <c r="B811" s="51"/>
      <c r="C811" s="6"/>
      <c r="D811" s="49"/>
      <c r="E811" s="51"/>
      <c r="F811" s="6"/>
      <c r="G811" s="6"/>
      <c r="H811" s="6"/>
      <c r="I811" s="6"/>
      <c r="J811" s="6"/>
      <c r="K811" s="51"/>
      <c r="L811" s="51"/>
      <c r="M811" s="51"/>
      <c r="N811" s="51"/>
      <c r="O811" s="51"/>
      <c r="P811" s="51"/>
      <c r="Q811" s="51"/>
      <c r="R811" s="51"/>
      <c r="S811" s="51"/>
      <c r="T811" s="51"/>
      <c r="U811" s="51"/>
      <c r="V811" s="51"/>
      <c r="W811" s="51"/>
      <c r="X811" s="51"/>
      <c r="Y811" s="51"/>
      <c r="Z811" s="51"/>
      <c r="AA811" s="51"/>
      <c r="AB811" s="51"/>
    </row>
    <row r="812" customFormat="false" ht="15.75" hidden="false" customHeight="false" outlineLevel="0" collapsed="false">
      <c r="A812" s="51"/>
      <c r="B812" s="51"/>
      <c r="C812" s="6"/>
      <c r="D812" s="49"/>
      <c r="E812" s="51"/>
      <c r="F812" s="6"/>
      <c r="G812" s="6"/>
      <c r="H812" s="6"/>
      <c r="I812" s="6"/>
      <c r="J812" s="6"/>
      <c r="K812" s="51"/>
      <c r="L812" s="51"/>
      <c r="M812" s="51"/>
      <c r="N812" s="51"/>
      <c r="O812" s="51"/>
      <c r="P812" s="51"/>
      <c r="Q812" s="51"/>
      <c r="R812" s="51"/>
      <c r="S812" s="51"/>
      <c r="T812" s="51"/>
      <c r="U812" s="51"/>
      <c r="V812" s="51"/>
      <c r="W812" s="51"/>
      <c r="X812" s="51"/>
      <c r="Y812" s="51"/>
      <c r="Z812" s="51"/>
      <c r="AA812" s="51"/>
      <c r="AB812" s="51"/>
    </row>
    <row r="813" customFormat="false" ht="15.75" hidden="false" customHeight="false" outlineLevel="0" collapsed="false">
      <c r="A813" s="51"/>
      <c r="B813" s="51"/>
      <c r="C813" s="6"/>
      <c r="D813" s="49"/>
      <c r="E813" s="51"/>
      <c r="F813" s="6"/>
      <c r="G813" s="6"/>
      <c r="H813" s="6"/>
      <c r="I813" s="6"/>
      <c r="J813" s="6"/>
      <c r="K813" s="51"/>
      <c r="L813" s="51"/>
      <c r="M813" s="51"/>
      <c r="N813" s="51"/>
      <c r="O813" s="51"/>
      <c r="P813" s="51"/>
      <c r="Q813" s="51"/>
      <c r="R813" s="51"/>
      <c r="S813" s="51"/>
      <c r="T813" s="51"/>
      <c r="U813" s="51"/>
      <c r="V813" s="51"/>
      <c r="W813" s="51"/>
      <c r="X813" s="51"/>
      <c r="Y813" s="51"/>
      <c r="Z813" s="51"/>
      <c r="AA813" s="51"/>
      <c r="AB813" s="51"/>
    </row>
    <row r="814" customFormat="false" ht="15.75" hidden="false" customHeight="false" outlineLevel="0" collapsed="false">
      <c r="A814" s="51"/>
      <c r="B814" s="51"/>
      <c r="C814" s="6"/>
      <c r="D814" s="49"/>
      <c r="E814" s="51"/>
      <c r="F814" s="6"/>
      <c r="G814" s="6"/>
      <c r="H814" s="6"/>
      <c r="I814" s="6"/>
      <c r="J814" s="6"/>
      <c r="K814" s="51"/>
      <c r="L814" s="51"/>
      <c r="M814" s="51"/>
      <c r="N814" s="51"/>
      <c r="O814" s="51"/>
      <c r="P814" s="51"/>
      <c r="Q814" s="51"/>
      <c r="R814" s="51"/>
      <c r="S814" s="51"/>
      <c r="T814" s="51"/>
      <c r="U814" s="51"/>
      <c r="V814" s="51"/>
      <c r="W814" s="51"/>
      <c r="X814" s="51"/>
      <c r="Y814" s="51"/>
      <c r="Z814" s="51"/>
      <c r="AA814" s="51"/>
      <c r="AB814" s="51"/>
    </row>
    <row r="815" customFormat="false" ht="15.75" hidden="false" customHeight="false" outlineLevel="0" collapsed="false">
      <c r="A815" s="51"/>
      <c r="B815" s="51"/>
      <c r="C815" s="6"/>
      <c r="D815" s="49"/>
      <c r="E815" s="51"/>
      <c r="F815" s="6"/>
      <c r="G815" s="6"/>
      <c r="H815" s="6"/>
      <c r="I815" s="6"/>
      <c r="J815" s="6"/>
      <c r="K815" s="51"/>
      <c r="L815" s="51"/>
      <c r="M815" s="51"/>
      <c r="N815" s="51"/>
      <c r="O815" s="51"/>
      <c r="P815" s="51"/>
      <c r="Q815" s="51"/>
      <c r="R815" s="51"/>
      <c r="S815" s="51"/>
      <c r="T815" s="51"/>
      <c r="U815" s="51"/>
      <c r="V815" s="51"/>
      <c r="W815" s="51"/>
      <c r="X815" s="51"/>
      <c r="Y815" s="51"/>
      <c r="Z815" s="51"/>
      <c r="AA815" s="51"/>
      <c r="AB815" s="51"/>
    </row>
    <row r="816" customFormat="false" ht="15.75" hidden="false" customHeight="false" outlineLevel="0" collapsed="false">
      <c r="A816" s="51"/>
      <c r="B816" s="51"/>
      <c r="C816" s="6"/>
      <c r="D816" s="49"/>
      <c r="E816" s="51"/>
      <c r="F816" s="6"/>
      <c r="G816" s="6"/>
      <c r="H816" s="6"/>
      <c r="I816" s="6"/>
      <c r="J816" s="6"/>
      <c r="K816" s="51"/>
      <c r="L816" s="51"/>
      <c r="M816" s="51"/>
      <c r="N816" s="51"/>
      <c r="O816" s="51"/>
      <c r="P816" s="51"/>
      <c r="Q816" s="51"/>
      <c r="R816" s="51"/>
      <c r="S816" s="51"/>
      <c r="T816" s="51"/>
      <c r="U816" s="51"/>
      <c r="V816" s="51"/>
      <c r="W816" s="51"/>
      <c r="X816" s="51"/>
      <c r="Y816" s="51"/>
      <c r="Z816" s="51"/>
      <c r="AA816" s="51"/>
      <c r="AB816" s="51"/>
    </row>
    <row r="817" customFormat="false" ht="15.75" hidden="false" customHeight="false" outlineLevel="0" collapsed="false">
      <c r="A817" s="51"/>
      <c r="B817" s="51"/>
      <c r="C817" s="6"/>
      <c r="D817" s="49"/>
      <c r="E817" s="51"/>
      <c r="F817" s="6"/>
      <c r="G817" s="6"/>
      <c r="H817" s="6"/>
      <c r="I817" s="6"/>
      <c r="J817" s="6"/>
      <c r="K817" s="51"/>
      <c r="L817" s="51"/>
      <c r="M817" s="51"/>
      <c r="N817" s="51"/>
      <c r="O817" s="51"/>
      <c r="P817" s="51"/>
      <c r="Q817" s="51"/>
      <c r="R817" s="51"/>
      <c r="S817" s="51"/>
      <c r="T817" s="51"/>
      <c r="U817" s="51"/>
      <c r="V817" s="51"/>
      <c r="W817" s="51"/>
      <c r="X817" s="51"/>
      <c r="Y817" s="51"/>
      <c r="Z817" s="51"/>
      <c r="AA817" s="51"/>
      <c r="AB817" s="51"/>
    </row>
    <row r="818" customFormat="false" ht="15.75" hidden="false" customHeight="false" outlineLevel="0" collapsed="false">
      <c r="A818" s="51"/>
      <c r="B818" s="51"/>
      <c r="C818" s="6"/>
      <c r="D818" s="49"/>
      <c r="E818" s="51"/>
      <c r="F818" s="6"/>
      <c r="G818" s="6"/>
      <c r="H818" s="6"/>
      <c r="I818" s="6"/>
      <c r="J818" s="6"/>
      <c r="K818" s="51"/>
      <c r="L818" s="51"/>
      <c r="M818" s="51"/>
      <c r="N818" s="51"/>
      <c r="O818" s="51"/>
      <c r="P818" s="51"/>
      <c r="Q818" s="51"/>
      <c r="R818" s="51"/>
      <c r="S818" s="51"/>
      <c r="T818" s="51"/>
      <c r="U818" s="51"/>
      <c r="V818" s="51"/>
      <c r="W818" s="51"/>
      <c r="X818" s="51"/>
      <c r="Y818" s="51"/>
      <c r="Z818" s="51"/>
      <c r="AA818" s="51"/>
      <c r="AB818" s="51"/>
    </row>
    <row r="819" customFormat="false" ht="15.75" hidden="false" customHeight="false" outlineLevel="0" collapsed="false">
      <c r="A819" s="51"/>
      <c r="B819" s="51"/>
      <c r="C819" s="6"/>
      <c r="D819" s="49"/>
      <c r="E819" s="51"/>
      <c r="F819" s="6"/>
      <c r="G819" s="6"/>
      <c r="H819" s="6"/>
      <c r="I819" s="6"/>
      <c r="J819" s="6"/>
      <c r="K819" s="51"/>
      <c r="L819" s="51"/>
      <c r="M819" s="51"/>
      <c r="N819" s="51"/>
      <c r="O819" s="51"/>
      <c r="P819" s="51"/>
      <c r="Q819" s="51"/>
      <c r="R819" s="51"/>
      <c r="S819" s="51"/>
      <c r="T819" s="51"/>
      <c r="U819" s="51"/>
      <c r="V819" s="51"/>
      <c r="W819" s="51"/>
      <c r="X819" s="51"/>
      <c r="Y819" s="51"/>
      <c r="Z819" s="51"/>
      <c r="AA819" s="51"/>
      <c r="AB819" s="51"/>
    </row>
    <row r="820" customFormat="false" ht="15.75" hidden="false" customHeight="false" outlineLevel="0" collapsed="false">
      <c r="A820" s="51"/>
      <c r="B820" s="51"/>
      <c r="C820" s="6"/>
      <c r="D820" s="49"/>
      <c r="E820" s="51"/>
      <c r="F820" s="6"/>
      <c r="G820" s="6"/>
      <c r="H820" s="6"/>
      <c r="I820" s="6"/>
      <c r="J820" s="6"/>
      <c r="K820" s="51"/>
      <c r="L820" s="51"/>
      <c r="M820" s="51"/>
      <c r="N820" s="51"/>
      <c r="O820" s="51"/>
      <c r="P820" s="51"/>
      <c r="Q820" s="51"/>
      <c r="R820" s="51"/>
      <c r="S820" s="51"/>
      <c r="T820" s="51"/>
      <c r="U820" s="51"/>
      <c r="V820" s="51"/>
      <c r="W820" s="51"/>
      <c r="X820" s="51"/>
      <c r="Y820" s="51"/>
      <c r="Z820" s="51"/>
      <c r="AA820" s="51"/>
      <c r="AB820" s="51"/>
    </row>
    <row r="821" customFormat="false" ht="15.75" hidden="false" customHeight="false" outlineLevel="0" collapsed="false">
      <c r="A821" s="51"/>
      <c r="B821" s="51"/>
      <c r="C821" s="6"/>
      <c r="D821" s="49"/>
      <c r="E821" s="51"/>
      <c r="F821" s="6"/>
      <c r="G821" s="6"/>
      <c r="H821" s="6"/>
      <c r="I821" s="6"/>
      <c r="J821" s="6"/>
      <c r="K821" s="51"/>
      <c r="L821" s="51"/>
      <c r="M821" s="51"/>
      <c r="N821" s="51"/>
      <c r="O821" s="51"/>
      <c r="P821" s="51"/>
      <c r="Q821" s="51"/>
      <c r="R821" s="51"/>
      <c r="S821" s="51"/>
      <c r="T821" s="51"/>
      <c r="U821" s="51"/>
      <c r="V821" s="51"/>
      <c r="W821" s="51"/>
      <c r="X821" s="51"/>
      <c r="Y821" s="51"/>
      <c r="Z821" s="51"/>
      <c r="AA821" s="51"/>
      <c r="AB821" s="51"/>
    </row>
    <row r="822" customFormat="false" ht="15.75" hidden="false" customHeight="false" outlineLevel="0" collapsed="false">
      <c r="A822" s="51"/>
      <c r="B822" s="51"/>
      <c r="C822" s="6"/>
      <c r="D822" s="49"/>
      <c r="E822" s="51"/>
      <c r="F822" s="6"/>
      <c r="G822" s="6"/>
      <c r="H822" s="6"/>
      <c r="I822" s="6"/>
      <c r="J822" s="6"/>
      <c r="K822" s="51"/>
      <c r="L822" s="51"/>
      <c r="M822" s="51"/>
      <c r="N822" s="51"/>
      <c r="O822" s="51"/>
      <c r="P822" s="51"/>
      <c r="Q822" s="51"/>
      <c r="R822" s="51"/>
      <c r="S822" s="51"/>
      <c r="T822" s="51"/>
      <c r="U822" s="51"/>
      <c r="V822" s="51"/>
      <c r="W822" s="51"/>
      <c r="X822" s="51"/>
      <c r="Y822" s="51"/>
      <c r="Z822" s="51"/>
      <c r="AA822" s="51"/>
      <c r="AB822" s="51"/>
    </row>
    <row r="823" customFormat="false" ht="15.75" hidden="false" customHeight="false" outlineLevel="0" collapsed="false">
      <c r="A823" s="51"/>
      <c r="B823" s="51"/>
      <c r="C823" s="6"/>
      <c r="D823" s="49"/>
      <c r="E823" s="51"/>
      <c r="F823" s="6"/>
      <c r="G823" s="6"/>
      <c r="H823" s="6"/>
      <c r="I823" s="6"/>
      <c r="J823" s="6"/>
      <c r="K823" s="51"/>
      <c r="L823" s="51"/>
      <c r="M823" s="51"/>
      <c r="N823" s="51"/>
      <c r="O823" s="51"/>
      <c r="P823" s="51"/>
      <c r="Q823" s="51"/>
      <c r="R823" s="51"/>
      <c r="S823" s="51"/>
      <c r="T823" s="51"/>
      <c r="U823" s="51"/>
      <c r="V823" s="51"/>
      <c r="W823" s="51"/>
      <c r="X823" s="51"/>
      <c r="Y823" s="51"/>
      <c r="Z823" s="51"/>
      <c r="AA823" s="51"/>
      <c r="AB823" s="51"/>
    </row>
    <row r="824" customFormat="false" ht="15.75" hidden="false" customHeight="false" outlineLevel="0" collapsed="false">
      <c r="A824" s="51"/>
      <c r="B824" s="51"/>
      <c r="C824" s="6"/>
      <c r="D824" s="49"/>
      <c r="E824" s="51"/>
      <c r="F824" s="6"/>
      <c r="G824" s="6"/>
      <c r="H824" s="6"/>
      <c r="I824" s="6"/>
      <c r="J824" s="6"/>
      <c r="K824" s="51"/>
      <c r="L824" s="51"/>
      <c r="M824" s="51"/>
      <c r="N824" s="51"/>
      <c r="O824" s="51"/>
      <c r="P824" s="51"/>
      <c r="Q824" s="51"/>
      <c r="R824" s="51"/>
      <c r="S824" s="51"/>
      <c r="T824" s="51"/>
      <c r="U824" s="51"/>
      <c r="V824" s="51"/>
      <c r="W824" s="51"/>
      <c r="X824" s="51"/>
      <c r="Y824" s="51"/>
      <c r="Z824" s="51"/>
      <c r="AA824" s="51"/>
      <c r="AB824" s="51"/>
    </row>
    <row r="825" customFormat="false" ht="15.75" hidden="false" customHeight="false" outlineLevel="0" collapsed="false">
      <c r="A825" s="51"/>
      <c r="B825" s="51"/>
      <c r="C825" s="6"/>
      <c r="D825" s="49"/>
      <c r="E825" s="51"/>
      <c r="F825" s="6"/>
      <c r="G825" s="6"/>
      <c r="H825" s="6"/>
      <c r="I825" s="6"/>
      <c r="J825" s="6"/>
      <c r="K825" s="51"/>
      <c r="L825" s="51"/>
      <c r="M825" s="51"/>
      <c r="N825" s="51"/>
      <c r="O825" s="51"/>
      <c r="P825" s="51"/>
      <c r="Q825" s="51"/>
      <c r="R825" s="51"/>
      <c r="S825" s="51"/>
      <c r="T825" s="51"/>
      <c r="U825" s="51"/>
      <c r="V825" s="51"/>
      <c r="W825" s="51"/>
      <c r="X825" s="51"/>
      <c r="Y825" s="51"/>
      <c r="Z825" s="51"/>
      <c r="AA825" s="51"/>
      <c r="AB825" s="51"/>
    </row>
    <row r="826" customFormat="false" ht="15.75" hidden="false" customHeight="false" outlineLevel="0" collapsed="false">
      <c r="A826" s="51"/>
      <c r="B826" s="51"/>
      <c r="C826" s="6"/>
      <c r="D826" s="49"/>
      <c r="E826" s="51"/>
      <c r="F826" s="6"/>
      <c r="G826" s="6"/>
      <c r="H826" s="6"/>
      <c r="I826" s="6"/>
      <c r="J826" s="6"/>
      <c r="K826" s="51"/>
      <c r="L826" s="51"/>
      <c r="M826" s="51"/>
      <c r="N826" s="51"/>
      <c r="O826" s="51"/>
      <c r="P826" s="51"/>
      <c r="Q826" s="51"/>
      <c r="R826" s="51"/>
      <c r="S826" s="51"/>
      <c r="T826" s="51"/>
      <c r="U826" s="51"/>
      <c r="V826" s="51"/>
      <c r="W826" s="51"/>
      <c r="X826" s="51"/>
      <c r="Y826" s="51"/>
      <c r="Z826" s="51"/>
      <c r="AA826" s="51"/>
      <c r="AB826" s="51"/>
    </row>
    <row r="827" customFormat="false" ht="15.75" hidden="false" customHeight="false" outlineLevel="0" collapsed="false">
      <c r="A827" s="51"/>
      <c r="B827" s="51"/>
      <c r="C827" s="6"/>
      <c r="D827" s="49"/>
      <c r="E827" s="51"/>
      <c r="F827" s="6"/>
      <c r="G827" s="6"/>
      <c r="H827" s="6"/>
      <c r="I827" s="6"/>
      <c r="J827" s="6"/>
      <c r="K827" s="51"/>
      <c r="L827" s="51"/>
      <c r="M827" s="51"/>
      <c r="N827" s="51"/>
      <c r="O827" s="51"/>
      <c r="P827" s="51"/>
      <c r="Q827" s="51"/>
      <c r="R827" s="51"/>
      <c r="S827" s="51"/>
      <c r="T827" s="51"/>
      <c r="U827" s="51"/>
      <c r="V827" s="51"/>
      <c r="W827" s="51"/>
      <c r="X827" s="51"/>
      <c r="Y827" s="51"/>
      <c r="Z827" s="51"/>
      <c r="AA827" s="51"/>
      <c r="AB827" s="51"/>
    </row>
    <row r="828" customFormat="false" ht="15.75" hidden="false" customHeight="false" outlineLevel="0" collapsed="false">
      <c r="A828" s="51"/>
      <c r="B828" s="51"/>
      <c r="C828" s="6"/>
      <c r="D828" s="49"/>
      <c r="E828" s="51"/>
      <c r="F828" s="6"/>
      <c r="G828" s="6"/>
      <c r="H828" s="6"/>
      <c r="I828" s="6"/>
      <c r="J828" s="6"/>
      <c r="K828" s="51"/>
      <c r="L828" s="51"/>
      <c r="M828" s="51"/>
      <c r="N828" s="51"/>
      <c r="O828" s="51"/>
      <c r="P828" s="51"/>
      <c r="Q828" s="51"/>
      <c r="R828" s="51"/>
      <c r="S828" s="51"/>
      <c r="T828" s="51"/>
      <c r="U828" s="51"/>
      <c r="V828" s="51"/>
      <c r="W828" s="51"/>
      <c r="X828" s="51"/>
      <c r="Y828" s="51"/>
      <c r="Z828" s="51"/>
      <c r="AA828" s="51"/>
      <c r="AB828" s="51"/>
    </row>
    <row r="829" customFormat="false" ht="15.75" hidden="false" customHeight="false" outlineLevel="0" collapsed="false">
      <c r="A829" s="51"/>
      <c r="B829" s="51"/>
      <c r="C829" s="6"/>
      <c r="D829" s="49"/>
      <c r="E829" s="51"/>
      <c r="F829" s="6"/>
      <c r="G829" s="6"/>
      <c r="H829" s="6"/>
      <c r="I829" s="6"/>
      <c r="J829" s="6"/>
      <c r="K829" s="51"/>
      <c r="L829" s="51"/>
      <c r="M829" s="51"/>
      <c r="N829" s="51"/>
      <c r="O829" s="51"/>
      <c r="P829" s="51"/>
      <c r="Q829" s="51"/>
      <c r="R829" s="51"/>
      <c r="S829" s="51"/>
      <c r="T829" s="51"/>
      <c r="U829" s="51"/>
      <c r="V829" s="51"/>
      <c r="W829" s="51"/>
      <c r="X829" s="51"/>
      <c r="Y829" s="51"/>
      <c r="Z829" s="51"/>
      <c r="AA829" s="51"/>
      <c r="AB829" s="51"/>
    </row>
    <row r="830" customFormat="false" ht="15.75" hidden="false" customHeight="false" outlineLevel="0" collapsed="false">
      <c r="A830" s="51"/>
      <c r="B830" s="51"/>
      <c r="C830" s="6"/>
      <c r="D830" s="49"/>
      <c r="E830" s="51"/>
      <c r="F830" s="6"/>
      <c r="G830" s="6"/>
      <c r="H830" s="6"/>
      <c r="I830" s="6"/>
      <c r="J830" s="6"/>
      <c r="K830" s="51"/>
      <c r="L830" s="51"/>
      <c r="M830" s="51"/>
      <c r="N830" s="51"/>
      <c r="O830" s="51"/>
      <c r="P830" s="51"/>
      <c r="Q830" s="51"/>
      <c r="R830" s="51"/>
      <c r="S830" s="51"/>
      <c r="T830" s="51"/>
      <c r="U830" s="51"/>
      <c r="V830" s="51"/>
      <c r="W830" s="51"/>
      <c r="X830" s="51"/>
      <c r="Y830" s="51"/>
      <c r="Z830" s="51"/>
      <c r="AA830" s="51"/>
      <c r="AB830" s="51"/>
    </row>
    <row r="831" customFormat="false" ht="15.75" hidden="false" customHeight="false" outlineLevel="0" collapsed="false">
      <c r="A831" s="51"/>
      <c r="B831" s="51"/>
      <c r="C831" s="6"/>
      <c r="D831" s="49"/>
      <c r="E831" s="51"/>
      <c r="F831" s="6"/>
      <c r="G831" s="6"/>
      <c r="H831" s="6"/>
      <c r="I831" s="6"/>
      <c r="J831" s="6"/>
      <c r="K831" s="51"/>
      <c r="L831" s="51"/>
      <c r="M831" s="51"/>
      <c r="N831" s="51"/>
      <c r="O831" s="51"/>
      <c r="P831" s="51"/>
      <c r="Q831" s="51"/>
      <c r="R831" s="51"/>
      <c r="S831" s="51"/>
      <c r="T831" s="51"/>
      <c r="U831" s="51"/>
      <c r="V831" s="51"/>
      <c r="W831" s="51"/>
      <c r="X831" s="51"/>
      <c r="Y831" s="51"/>
      <c r="Z831" s="51"/>
      <c r="AA831" s="51"/>
      <c r="AB831" s="51"/>
    </row>
    <row r="832" customFormat="false" ht="15.75" hidden="false" customHeight="false" outlineLevel="0" collapsed="false">
      <c r="A832" s="51"/>
      <c r="B832" s="51"/>
      <c r="C832" s="6"/>
      <c r="D832" s="49"/>
      <c r="E832" s="51"/>
      <c r="F832" s="6"/>
      <c r="G832" s="6"/>
      <c r="H832" s="6"/>
      <c r="I832" s="6"/>
      <c r="J832" s="6"/>
      <c r="K832" s="51"/>
      <c r="L832" s="51"/>
      <c r="M832" s="51"/>
      <c r="N832" s="51"/>
      <c r="O832" s="51"/>
      <c r="P832" s="51"/>
      <c r="Q832" s="51"/>
      <c r="R832" s="51"/>
      <c r="S832" s="51"/>
      <c r="T832" s="51"/>
      <c r="U832" s="51"/>
      <c r="V832" s="51"/>
      <c r="W832" s="51"/>
      <c r="X832" s="51"/>
      <c r="Y832" s="51"/>
      <c r="Z832" s="51"/>
      <c r="AA832" s="51"/>
      <c r="AB832" s="51"/>
    </row>
    <row r="833" customFormat="false" ht="15.75" hidden="false" customHeight="false" outlineLevel="0" collapsed="false">
      <c r="A833" s="51"/>
      <c r="B833" s="51"/>
      <c r="C833" s="6"/>
      <c r="D833" s="49"/>
      <c r="E833" s="51"/>
      <c r="F833" s="6"/>
      <c r="G833" s="6"/>
      <c r="H833" s="6"/>
      <c r="I833" s="6"/>
      <c r="J833" s="6"/>
      <c r="K833" s="51"/>
      <c r="L833" s="51"/>
      <c r="M833" s="51"/>
      <c r="N833" s="51"/>
      <c r="O833" s="51"/>
      <c r="P833" s="51"/>
      <c r="Q833" s="51"/>
      <c r="R833" s="51"/>
      <c r="S833" s="51"/>
      <c r="T833" s="51"/>
      <c r="U833" s="51"/>
      <c r="V833" s="51"/>
      <c r="W833" s="51"/>
      <c r="X833" s="51"/>
      <c r="Y833" s="51"/>
      <c r="Z833" s="51"/>
      <c r="AA833" s="51"/>
      <c r="AB833" s="51"/>
    </row>
    <row r="834" customFormat="false" ht="15.75" hidden="false" customHeight="false" outlineLevel="0" collapsed="false">
      <c r="A834" s="51"/>
      <c r="B834" s="51"/>
      <c r="C834" s="6"/>
      <c r="D834" s="49"/>
      <c r="E834" s="51"/>
      <c r="F834" s="6"/>
      <c r="G834" s="6"/>
      <c r="H834" s="6"/>
      <c r="I834" s="6"/>
      <c r="J834" s="6"/>
      <c r="K834" s="51"/>
      <c r="L834" s="51"/>
      <c r="M834" s="51"/>
      <c r="N834" s="51"/>
      <c r="O834" s="51"/>
      <c r="P834" s="51"/>
      <c r="Q834" s="51"/>
      <c r="R834" s="51"/>
      <c r="S834" s="51"/>
      <c r="T834" s="51"/>
      <c r="U834" s="51"/>
      <c r="V834" s="51"/>
      <c r="W834" s="51"/>
      <c r="X834" s="51"/>
      <c r="Y834" s="51"/>
      <c r="Z834" s="51"/>
      <c r="AA834" s="51"/>
      <c r="AB834" s="51"/>
    </row>
    <row r="835" customFormat="false" ht="15.75" hidden="false" customHeight="false" outlineLevel="0" collapsed="false">
      <c r="A835" s="51"/>
      <c r="B835" s="51"/>
      <c r="C835" s="6"/>
      <c r="D835" s="49"/>
      <c r="E835" s="51"/>
      <c r="F835" s="6"/>
      <c r="G835" s="6"/>
      <c r="H835" s="6"/>
      <c r="I835" s="6"/>
      <c r="J835" s="6"/>
      <c r="K835" s="51"/>
      <c r="L835" s="51"/>
      <c r="M835" s="51"/>
      <c r="N835" s="51"/>
      <c r="O835" s="51"/>
      <c r="P835" s="51"/>
      <c r="Q835" s="51"/>
      <c r="R835" s="51"/>
      <c r="S835" s="51"/>
      <c r="T835" s="51"/>
      <c r="U835" s="51"/>
      <c r="V835" s="51"/>
      <c r="W835" s="51"/>
      <c r="X835" s="51"/>
      <c r="Y835" s="51"/>
      <c r="Z835" s="51"/>
      <c r="AA835" s="51"/>
      <c r="AB835" s="51"/>
    </row>
    <row r="836" customFormat="false" ht="15.75" hidden="false" customHeight="false" outlineLevel="0" collapsed="false">
      <c r="A836" s="51"/>
      <c r="B836" s="51"/>
      <c r="C836" s="6"/>
      <c r="D836" s="49"/>
      <c r="E836" s="51"/>
      <c r="F836" s="6"/>
      <c r="G836" s="6"/>
      <c r="H836" s="6"/>
      <c r="I836" s="6"/>
      <c r="J836" s="6"/>
      <c r="K836" s="51"/>
      <c r="L836" s="51"/>
      <c r="M836" s="51"/>
      <c r="N836" s="51"/>
      <c r="O836" s="51"/>
      <c r="P836" s="51"/>
      <c r="Q836" s="51"/>
      <c r="R836" s="51"/>
      <c r="S836" s="51"/>
      <c r="T836" s="51"/>
      <c r="U836" s="51"/>
      <c r="V836" s="51"/>
      <c r="W836" s="51"/>
      <c r="X836" s="51"/>
      <c r="Y836" s="51"/>
      <c r="Z836" s="51"/>
      <c r="AA836" s="51"/>
      <c r="AB836" s="51"/>
    </row>
    <row r="837" customFormat="false" ht="15.75" hidden="false" customHeight="false" outlineLevel="0" collapsed="false">
      <c r="A837" s="51"/>
      <c r="B837" s="51"/>
      <c r="C837" s="6"/>
      <c r="D837" s="49"/>
      <c r="E837" s="51"/>
      <c r="F837" s="6"/>
      <c r="G837" s="6"/>
      <c r="H837" s="6"/>
      <c r="I837" s="6"/>
      <c r="J837" s="6"/>
      <c r="K837" s="51"/>
      <c r="L837" s="51"/>
      <c r="M837" s="51"/>
      <c r="N837" s="51"/>
      <c r="O837" s="51"/>
      <c r="P837" s="51"/>
      <c r="Q837" s="51"/>
      <c r="R837" s="51"/>
      <c r="S837" s="51"/>
      <c r="T837" s="51"/>
      <c r="U837" s="51"/>
      <c r="V837" s="51"/>
      <c r="W837" s="51"/>
      <c r="X837" s="51"/>
      <c r="Y837" s="51"/>
      <c r="Z837" s="51"/>
      <c r="AA837" s="51"/>
      <c r="AB837" s="51"/>
    </row>
    <row r="838" customFormat="false" ht="15.75" hidden="false" customHeight="false" outlineLevel="0" collapsed="false">
      <c r="A838" s="51"/>
      <c r="B838" s="51"/>
      <c r="C838" s="6"/>
      <c r="D838" s="49"/>
      <c r="E838" s="51"/>
      <c r="F838" s="6"/>
      <c r="G838" s="6"/>
      <c r="H838" s="6"/>
      <c r="I838" s="6"/>
      <c r="J838" s="6"/>
      <c r="K838" s="51"/>
      <c r="L838" s="51"/>
      <c r="M838" s="51"/>
      <c r="N838" s="51"/>
      <c r="O838" s="51"/>
      <c r="P838" s="51"/>
      <c r="Q838" s="51"/>
      <c r="R838" s="51"/>
      <c r="S838" s="51"/>
      <c r="T838" s="51"/>
      <c r="U838" s="51"/>
      <c r="V838" s="51"/>
      <c r="W838" s="51"/>
      <c r="X838" s="51"/>
      <c r="Y838" s="51"/>
      <c r="Z838" s="51"/>
      <c r="AA838" s="51"/>
      <c r="AB838" s="51"/>
    </row>
    <row r="839" customFormat="false" ht="15.75" hidden="false" customHeight="false" outlineLevel="0" collapsed="false">
      <c r="A839" s="51"/>
      <c r="B839" s="51"/>
      <c r="C839" s="6"/>
      <c r="D839" s="49"/>
      <c r="E839" s="51"/>
      <c r="F839" s="6"/>
      <c r="G839" s="6"/>
      <c r="H839" s="6"/>
      <c r="I839" s="6"/>
      <c r="J839" s="6"/>
      <c r="K839" s="51"/>
      <c r="L839" s="51"/>
      <c r="M839" s="51"/>
      <c r="N839" s="51"/>
      <c r="O839" s="51"/>
      <c r="P839" s="51"/>
      <c r="Q839" s="51"/>
      <c r="R839" s="51"/>
      <c r="S839" s="51"/>
      <c r="T839" s="51"/>
      <c r="U839" s="51"/>
      <c r="V839" s="51"/>
      <c r="W839" s="51"/>
      <c r="X839" s="51"/>
      <c r="Y839" s="51"/>
      <c r="Z839" s="51"/>
      <c r="AA839" s="51"/>
      <c r="AB839" s="51"/>
    </row>
    <row r="840" customFormat="false" ht="15.75" hidden="false" customHeight="false" outlineLevel="0" collapsed="false">
      <c r="A840" s="51"/>
      <c r="B840" s="51"/>
      <c r="C840" s="6"/>
      <c r="D840" s="49"/>
      <c r="E840" s="51"/>
      <c r="F840" s="6"/>
      <c r="G840" s="6"/>
      <c r="H840" s="6"/>
      <c r="I840" s="6"/>
      <c r="J840" s="6"/>
      <c r="K840" s="51"/>
      <c r="L840" s="51"/>
      <c r="M840" s="51"/>
      <c r="N840" s="51"/>
      <c r="O840" s="51"/>
      <c r="P840" s="51"/>
      <c r="Q840" s="51"/>
      <c r="R840" s="51"/>
      <c r="S840" s="51"/>
      <c r="T840" s="51"/>
      <c r="U840" s="51"/>
      <c r="V840" s="51"/>
      <c r="W840" s="51"/>
      <c r="X840" s="51"/>
      <c r="Y840" s="51"/>
      <c r="Z840" s="51"/>
      <c r="AA840" s="51"/>
      <c r="AB840" s="51"/>
    </row>
    <row r="841" customFormat="false" ht="15.75" hidden="false" customHeight="false" outlineLevel="0" collapsed="false">
      <c r="A841" s="51"/>
      <c r="B841" s="51"/>
      <c r="C841" s="6"/>
      <c r="D841" s="49"/>
      <c r="E841" s="51"/>
      <c r="F841" s="6"/>
      <c r="G841" s="6"/>
      <c r="H841" s="6"/>
      <c r="I841" s="6"/>
      <c r="J841" s="6"/>
      <c r="K841" s="51"/>
      <c r="L841" s="51"/>
      <c r="M841" s="51"/>
      <c r="N841" s="51"/>
      <c r="O841" s="51"/>
      <c r="P841" s="51"/>
      <c r="Q841" s="51"/>
      <c r="R841" s="51"/>
      <c r="S841" s="51"/>
      <c r="T841" s="51"/>
      <c r="U841" s="51"/>
      <c r="V841" s="51"/>
      <c r="W841" s="51"/>
      <c r="X841" s="51"/>
      <c r="Y841" s="51"/>
      <c r="Z841" s="51"/>
      <c r="AA841" s="51"/>
      <c r="AB841" s="51"/>
    </row>
    <row r="842" customFormat="false" ht="15.75" hidden="false" customHeight="false" outlineLevel="0" collapsed="false">
      <c r="A842" s="51"/>
      <c r="B842" s="51"/>
      <c r="C842" s="6"/>
      <c r="D842" s="49"/>
      <c r="E842" s="51"/>
      <c r="F842" s="6"/>
      <c r="G842" s="6"/>
      <c r="H842" s="6"/>
      <c r="I842" s="6"/>
      <c r="J842" s="6"/>
      <c r="K842" s="51"/>
      <c r="L842" s="51"/>
      <c r="M842" s="51"/>
      <c r="N842" s="51"/>
      <c r="O842" s="51"/>
      <c r="P842" s="51"/>
      <c r="Q842" s="51"/>
      <c r="R842" s="51"/>
      <c r="S842" s="51"/>
      <c r="T842" s="51"/>
      <c r="U842" s="51"/>
      <c r="V842" s="51"/>
      <c r="W842" s="51"/>
      <c r="X842" s="51"/>
      <c r="Y842" s="51"/>
      <c r="Z842" s="51"/>
      <c r="AA842" s="51"/>
      <c r="AB842" s="51"/>
    </row>
    <row r="843" customFormat="false" ht="15.75" hidden="false" customHeight="false" outlineLevel="0" collapsed="false">
      <c r="A843" s="51"/>
      <c r="B843" s="51"/>
      <c r="C843" s="6"/>
      <c r="D843" s="49"/>
      <c r="E843" s="51"/>
      <c r="F843" s="6"/>
      <c r="G843" s="6"/>
      <c r="H843" s="6"/>
      <c r="I843" s="6"/>
      <c r="J843" s="6"/>
      <c r="K843" s="51"/>
      <c r="L843" s="51"/>
      <c r="M843" s="51"/>
      <c r="N843" s="51"/>
      <c r="O843" s="51"/>
      <c r="P843" s="51"/>
      <c r="Q843" s="51"/>
      <c r="R843" s="51"/>
      <c r="S843" s="51"/>
      <c r="T843" s="51"/>
      <c r="U843" s="51"/>
      <c r="V843" s="51"/>
      <c r="W843" s="51"/>
      <c r="X843" s="51"/>
      <c r="Y843" s="51"/>
      <c r="Z843" s="51"/>
      <c r="AA843" s="51"/>
      <c r="AB843" s="51"/>
    </row>
    <row r="844" customFormat="false" ht="15.75" hidden="false" customHeight="false" outlineLevel="0" collapsed="false">
      <c r="A844" s="51"/>
      <c r="B844" s="51"/>
      <c r="C844" s="6"/>
      <c r="D844" s="49"/>
      <c r="E844" s="51"/>
      <c r="F844" s="6"/>
      <c r="G844" s="6"/>
      <c r="H844" s="6"/>
      <c r="I844" s="6"/>
      <c r="J844" s="6"/>
      <c r="K844" s="51"/>
      <c r="L844" s="51"/>
      <c r="M844" s="51"/>
      <c r="N844" s="51"/>
      <c r="O844" s="51"/>
      <c r="P844" s="51"/>
      <c r="Q844" s="51"/>
      <c r="R844" s="51"/>
      <c r="S844" s="51"/>
      <c r="T844" s="51"/>
      <c r="U844" s="51"/>
      <c r="V844" s="51"/>
      <c r="W844" s="51"/>
      <c r="X844" s="51"/>
      <c r="Y844" s="51"/>
      <c r="Z844" s="51"/>
      <c r="AA844" s="51"/>
      <c r="AB844" s="51"/>
    </row>
    <row r="845" customFormat="false" ht="15.75" hidden="false" customHeight="false" outlineLevel="0" collapsed="false">
      <c r="A845" s="51"/>
      <c r="B845" s="51"/>
      <c r="C845" s="6"/>
      <c r="D845" s="49"/>
      <c r="E845" s="51"/>
      <c r="F845" s="6"/>
      <c r="G845" s="6"/>
      <c r="H845" s="6"/>
      <c r="I845" s="6"/>
      <c r="J845" s="6"/>
      <c r="K845" s="51"/>
      <c r="L845" s="51"/>
      <c r="M845" s="51"/>
      <c r="N845" s="51"/>
      <c r="O845" s="51"/>
      <c r="P845" s="51"/>
      <c r="Q845" s="51"/>
      <c r="R845" s="51"/>
      <c r="S845" s="51"/>
      <c r="T845" s="51"/>
      <c r="U845" s="51"/>
      <c r="V845" s="51"/>
      <c r="W845" s="51"/>
      <c r="X845" s="51"/>
      <c r="Y845" s="51"/>
      <c r="Z845" s="51"/>
      <c r="AA845" s="51"/>
      <c r="AB845" s="51"/>
    </row>
    <row r="846" customFormat="false" ht="15.75" hidden="false" customHeight="false" outlineLevel="0" collapsed="false">
      <c r="A846" s="51"/>
      <c r="B846" s="51"/>
      <c r="C846" s="6"/>
      <c r="D846" s="49"/>
      <c r="E846" s="51"/>
      <c r="F846" s="6"/>
      <c r="G846" s="6"/>
      <c r="H846" s="6"/>
      <c r="I846" s="6"/>
      <c r="J846" s="6"/>
      <c r="K846" s="51"/>
      <c r="L846" s="51"/>
      <c r="M846" s="51"/>
      <c r="N846" s="51"/>
      <c r="O846" s="51"/>
      <c r="P846" s="51"/>
      <c r="Q846" s="51"/>
      <c r="R846" s="51"/>
      <c r="S846" s="51"/>
      <c r="T846" s="51"/>
      <c r="U846" s="51"/>
      <c r="V846" s="51"/>
      <c r="W846" s="51"/>
      <c r="X846" s="51"/>
      <c r="Y846" s="51"/>
      <c r="Z846" s="51"/>
      <c r="AA846" s="51"/>
      <c r="AB846" s="51"/>
    </row>
    <row r="847" customFormat="false" ht="15.75" hidden="false" customHeight="false" outlineLevel="0" collapsed="false">
      <c r="A847" s="51"/>
      <c r="B847" s="51"/>
      <c r="C847" s="6"/>
      <c r="D847" s="49"/>
      <c r="E847" s="51"/>
      <c r="F847" s="6"/>
      <c r="G847" s="6"/>
      <c r="H847" s="6"/>
      <c r="I847" s="6"/>
      <c r="J847" s="6"/>
      <c r="K847" s="51"/>
      <c r="L847" s="51"/>
      <c r="M847" s="51"/>
      <c r="N847" s="51"/>
      <c r="O847" s="51"/>
      <c r="P847" s="51"/>
      <c r="Q847" s="51"/>
      <c r="R847" s="51"/>
      <c r="S847" s="51"/>
      <c r="T847" s="51"/>
      <c r="U847" s="51"/>
      <c r="V847" s="51"/>
      <c r="W847" s="51"/>
      <c r="X847" s="51"/>
      <c r="Y847" s="51"/>
      <c r="Z847" s="51"/>
      <c r="AA847" s="51"/>
      <c r="AB847" s="51"/>
    </row>
    <row r="848" customFormat="false" ht="15.75" hidden="false" customHeight="false" outlineLevel="0" collapsed="false">
      <c r="A848" s="51"/>
      <c r="B848" s="51"/>
      <c r="C848" s="6"/>
      <c r="D848" s="49"/>
      <c r="E848" s="51"/>
      <c r="F848" s="6"/>
      <c r="G848" s="6"/>
      <c r="H848" s="6"/>
      <c r="I848" s="6"/>
      <c r="J848" s="6"/>
      <c r="K848" s="51"/>
      <c r="L848" s="51"/>
      <c r="M848" s="51"/>
      <c r="N848" s="51"/>
      <c r="O848" s="51"/>
      <c r="P848" s="51"/>
      <c r="Q848" s="51"/>
      <c r="R848" s="51"/>
      <c r="S848" s="51"/>
      <c r="T848" s="51"/>
      <c r="U848" s="51"/>
      <c r="V848" s="51"/>
      <c r="W848" s="51"/>
      <c r="X848" s="51"/>
      <c r="Y848" s="51"/>
      <c r="Z848" s="51"/>
      <c r="AA848" s="51"/>
      <c r="AB848" s="51"/>
    </row>
    <row r="849" customFormat="false" ht="15.75" hidden="false" customHeight="false" outlineLevel="0" collapsed="false">
      <c r="A849" s="51"/>
      <c r="B849" s="51"/>
      <c r="C849" s="6"/>
      <c r="D849" s="49"/>
      <c r="E849" s="51"/>
      <c r="F849" s="6"/>
      <c r="G849" s="6"/>
      <c r="H849" s="6"/>
      <c r="I849" s="6"/>
      <c r="J849" s="6"/>
      <c r="K849" s="51"/>
      <c r="L849" s="51"/>
      <c r="M849" s="51"/>
      <c r="N849" s="51"/>
      <c r="O849" s="51"/>
      <c r="P849" s="51"/>
      <c r="Q849" s="51"/>
      <c r="R849" s="51"/>
      <c r="S849" s="51"/>
      <c r="T849" s="51"/>
      <c r="U849" s="51"/>
      <c r="V849" s="51"/>
      <c r="W849" s="51"/>
      <c r="X849" s="51"/>
      <c r="Y849" s="51"/>
      <c r="Z849" s="51"/>
      <c r="AA849" s="51"/>
      <c r="AB849" s="51"/>
    </row>
    <row r="850" customFormat="false" ht="15.75" hidden="false" customHeight="false" outlineLevel="0" collapsed="false">
      <c r="A850" s="51"/>
      <c r="B850" s="51"/>
      <c r="C850" s="6"/>
      <c r="D850" s="49"/>
      <c r="E850" s="51"/>
      <c r="F850" s="6"/>
      <c r="G850" s="6"/>
      <c r="H850" s="6"/>
      <c r="I850" s="6"/>
      <c r="J850" s="6"/>
      <c r="K850" s="51"/>
      <c r="L850" s="51"/>
      <c r="M850" s="51"/>
      <c r="N850" s="51"/>
      <c r="O850" s="51"/>
      <c r="P850" s="51"/>
      <c r="Q850" s="51"/>
      <c r="R850" s="51"/>
      <c r="S850" s="51"/>
      <c r="T850" s="51"/>
      <c r="U850" s="51"/>
      <c r="V850" s="51"/>
      <c r="W850" s="51"/>
      <c r="X850" s="51"/>
      <c r="Y850" s="51"/>
      <c r="Z850" s="51"/>
      <c r="AA850" s="51"/>
      <c r="AB850" s="51"/>
    </row>
    <row r="851" customFormat="false" ht="15.75" hidden="false" customHeight="false" outlineLevel="0" collapsed="false">
      <c r="A851" s="51"/>
      <c r="B851" s="51"/>
      <c r="C851" s="6"/>
      <c r="D851" s="49"/>
      <c r="E851" s="51"/>
      <c r="F851" s="6"/>
      <c r="G851" s="6"/>
      <c r="H851" s="6"/>
      <c r="I851" s="6"/>
      <c r="J851" s="6"/>
      <c r="K851" s="51"/>
      <c r="L851" s="51"/>
      <c r="M851" s="51"/>
      <c r="N851" s="51"/>
      <c r="O851" s="51"/>
      <c r="P851" s="51"/>
      <c r="Q851" s="51"/>
      <c r="R851" s="51"/>
      <c r="S851" s="51"/>
      <c r="T851" s="51"/>
      <c r="U851" s="51"/>
      <c r="V851" s="51"/>
      <c r="W851" s="51"/>
      <c r="X851" s="51"/>
      <c r="Y851" s="51"/>
      <c r="Z851" s="51"/>
      <c r="AA851" s="51"/>
      <c r="AB851" s="51"/>
    </row>
    <row r="852" customFormat="false" ht="15.75" hidden="false" customHeight="false" outlineLevel="0" collapsed="false">
      <c r="A852" s="51"/>
      <c r="B852" s="51"/>
      <c r="C852" s="6"/>
      <c r="D852" s="49"/>
      <c r="E852" s="51"/>
      <c r="F852" s="6"/>
      <c r="G852" s="6"/>
      <c r="H852" s="6"/>
      <c r="I852" s="6"/>
      <c r="J852" s="6"/>
      <c r="K852" s="51"/>
      <c r="L852" s="51"/>
      <c r="M852" s="51"/>
      <c r="N852" s="51"/>
      <c r="O852" s="51"/>
      <c r="P852" s="51"/>
      <c r="Q852" s="51"/>
      <c r="R852" s="51"/>
      <c r="S852" s="51"/>
      <c r="T852" s="51"/>
      <c r="U852" s="51"/>
      <c r="V852" s="51"/>
      <c r="W852" s="51"/>
      <c r="X852" s="51"/>
      <c r="Y852" s="51"/>
      <c r="Z852" s="51"/>
      <c r="AA852" s="51"/>
      <c r="AB852" s="51"/>
    </row>
    <row r="853" customFormat="false" ht="15.75" hidden="false" customHeight="false" outlineLevel="0" collapsed="false">
      <c r="A853" s="51"/>
      <c r="B853" s="51"/>
      <c r="C853" s="6"/>
      <c r="D853" s="49"/>
      <c r="E853" s="51"/>
      <c r="F853" s="6"/>
      <c r="G853" s="6"/>
      <c r="H853" s="6"/>
      <c r="I853" s="6"/>
      <c r="J853" s="6"/>
      <c r="K853" s="51"/>
      <c r="L853" s="51"/>
      <c r="M853" s="51"/>
      <c r="N853" s="51"/>
      <c r="O853" s="51"/>
      <c r="P853" s="51"/>
      <c r="Q853" s="51"/>
      <c r="R853" s="51"/>
      <c r="S853" s="51"/>
      <c r="T853" s="51"/>
      <c r="U853" s="51"/>
      <c r="V853" s="51"/>
      <c r="W853" s="51"/>
      <c r="X853" s="51"/>
      <c r="Y853" s="51"/>
      <c r="Z853" s="51"/>
      <c r="AA853" s="51"/>
      <c r="AB853" s="51"/>
    </row>
    <row r="854" customFormat="false" ht="15.75" hidden="false" customHeight="false" outlineLevel="0" collapsed="false">
      <c r="A854" s="51"/>
      <c r="B854" s="51"/>
      <c r="C854" s="6"/>
      <c r="D854" s="49"/>
      <c r="E854" s="51"/>
      <c r="F854" s="6"/>
      <c r="G854" s="6"/>
      <c r="H854" s="6"/>
      <c r="I854" s="6"/>
      <c r="J854" s="6"/>
      <c r="K854" s="51"/>
      <c r="L854" s="51"/>
      <c r="M854" s="51"/>
      <c r="N854" s="51"/>
      <c r="O854" s="51"/>
      <c r="P854" s="51"/>
      <c r="Q854" s="51"/>
      <c r="R854" s="51"/>
      <c r="S854" s="51"/>
      <c r="T854" s="51"/>
      <c r="U854" s="51"/>
      <c r="V854" s="51"/>
      <c r="W854" s="51"/>
      <c r="X854" s="51"/>
      <c r="Y854" s="51"/>
      <c r="Z854" s="51"/>
      <c r="AA854" s="51"/>
      <c r="AB854" s="51"/>
    </row>
    <row r="855" customFormat="false" ht="15.75" hidden="false" customHeight="false" outlineLevel="0" collapsed="false">
      <c r="A855" s="51"/>
      <c r="B855" s="51"/>
      <c r="C855" s="6"/>
      <c r="D855" s="49"/>
      <c r="E855" s="51"/>
      <c r="F855" s="6"/>
      <c r="G855" s="6"/>
      <c r="H855" s="6"/>
      <c r="I855" s="6"/>
      <c r="J855" s="6"/>
      <c r="K855" s="51"/>
      <c r="L855" s="51"/>
      <c r="M855" s="51"/>
      <c r="N855" s="51"/>
      <c r="O855" s="51"/>
      <c r="P855" s="51"/>
      <c r="Q855" s="51"/>
      <c r="R855" s="51"/>
      <c r="S855" s="51"/>
      <c r="T855" s="51"/>
      <c r="U855" s="51"/>
      <c r="V855" s="51"/>
      <c r="W855" s="51"/>
      <c r="X855" s="51"/>
      <c r="Y855" s="51"/>
      <c r="Z855" s="51"/>
      <c r="AA855" s="51"/>
      <c r="AB855" s="51"/>
    </row>
    <row r="856" customFormat="false" ht="15.75" hidden="false" customHeight="false" outlineLevel="0" collapsed="false">
      <c r="A856" s="51"/>
      <c r="B856" s="51"/>
      <c r="C856" s="6"/>
      <c r="D856" s="49"/>
      <c r="E856" s="51"/>
      <c r="F856" s="6"/>
      <c r="G856" s="6"/>
      <c r="H856" s="6"/>
      <c r="I856" s="6"/>
      <c r="J856" s="6"/>
      <c r="K856" s="51"/>
      <c r="L856" s="51"/>
      <c r="M856" s="51"/>
      <c r="N856" s="51"/>
      <c r="O856" s="51"/>
      <c r="P856" s="51"/>
      <c r="Q856" s="51"/>
      <c r="R856" s="51"/>
      <c r="S856" s="51"/>
      <c r="T856" s="51"/>
      <c r="U856" s="51"/>
      <c r="V856" s="51"/>
      <c r="W856" s="51"/>
      <c r="X856" s="51"/>
      <c r="Y856" s="51"/>
      <c r="Z856" s="51"/>
      <c r="AA856" s="51"/>
      <c r="AB856" s="51"/>
    </row>
    <row r="857" customFormat="false" ht="15.75" hidden="false" customHeight="false" outlineLevel="0" collapsed="false">
      <c r="A857" s="51"/>
      <c r="B857" s="51"/>
      <c r="C857" s="6"/>
      <c r="D857" s="49"/>
      <c r="E857" s="51"/>
      <c r="F857" s="6"/>
      <c r="G857" s="6"/>
      <c r="H857" s="6"/>
      <c r="I857" s="6"/>
      <c r="J857" s="6"/>
      <c r="K857" s="51"/>
      <c r="L857" s="51"/>
      <c r="M857" s="51"/>
      <c r="N857" s="51"/>
      <c r="O857" s="51"/>
      <c r="P857" s="51"/>
      <c r="Q857" s="51"/>
      <c r="R857" s="51"/>
      <c r="S857" s="51"/>
      <c r="T857" s="51"/>
      <c r="U857" s="51"/>
      <c r="V857" s="51"/>
      <c r="W857" s="51"/>
      <c r="X857" s="51"/>
      <c r="Y857" s="51"/>
      <c r="Z857" s="51"/>
      <c r="AA857" s="51"/>
      <c r="AB857" s="51"/>
    </row>
    <row r="858" customFormat="false" ht="15.75" hidden="false" customHeight="false" outlineLevel="0" collapsed="false">
      <c r="A858" s="51"/>
      <c r="B858" s="51"/>
      <c r="C858" s="6"/>
      <c r="D858" s="49"/>
      <c r="E858" s="51"/>
      <c r="F858" s="6"/>
      <c r="G858" s="6"/>
      <c r="H858" s="6"/>
      <c r="I858" s="6"/>
      <c r="J858" s="6"/>
      <c r="K858" s="51"/>
      <c r="L858" s="51"/>
      <c r="M858" s="51"/>
      <c r="N858" s="51"/>
      <c r="O858" s="51"/>
      <c r="P858" s="51"/>
      <c r="Q858" s="51"/>
      <c r="R858" s="51"/>
      <c r="S858" s="51"/>
      <c r="T858" s="51"/>
      <c r="U858" s="51"/>
      <c r="V858" s="51"/>
      <c r="W858" s="51"/>
      <c r="X858" s="51"/>
      <c r="Y858" s="51"/>
      <c r="Z858" s="51"/>
      <c r="AA858" s="51"/>
      <c r="AB858" s="51"/>
    </row>
    <row r="859" customFormat="false" ht="15.75" hidden="false" customHeight="false" outlineLevel="0" collapsed="false">
      <c r="A859" s="51"/>
      <c r="B859" s="51"/>
      <c r="C859" s="6"/>
      <c r="D859" s="49"/>
      <c r="E859" s="51"/>
      <c r="F859" s="6"/>
      <c r="G859" s="6"/>
      <c r="H859" s="6"/>
      <c r="I859" s="6"/>
      <c r="J859" s="6"/>
      <c r="K859" s="51"/>
      <c r="L859" s="51"/>
      <c r="M859" s="51"/>
      <c r="N859" s="51"/>
      <c r="O859" s="51"/>
      <c r="P859" s="51"/>
      <c r="Q859" s="51"/>
      <c r="R859" s="51"/>
      <c r="S859" s="51"/>
      <c r="T859" s="51"/>
      <c r="U859" s="51"/>
      <c r="V859" s="51"/>
      <c r="W859" s="51"/>
      <c r="X859" s="51"/>
      <c r="Y859" s="51"/>
      <c r="Z859" s="51"/>
      <c r="AA859" s="51"/>
      <c r="AB859" s="51"/>
    </row>
    <row r="860" customFormat="false" ht="15.75" hidden="false" customHeight="false" outlineLevel="0" collapsed="false">
      <c r="A860" s="51"/>
      <c r="B860" s="51"/>
      <c r="C860" s="6"/>
      <c r="D860" s="49"/>
      <c r="E860" s="51"/>
      <c r="F860" s="6"/>
      <c r="G860" s="6"/>
      <c r="H860" s="6"/>
      <c r="I860" s="6"/>
      <c r="J860" s="6"/>
      <c r="K860" s="51"/>
      <c r="L860" s="51"/>
      <c r="M860" s="51"/>
      <c r="N860" s="51"/>
      <c r="O860" s="51"/>
      <c r="P860" s="51"/>
      <c r="Q860" s="51"/>
      <c r="R860" s="51"/>
      <c r="S860" s="51"/>
      <c r="T860" s="51"/>
      <c r="U860" s="51"/>
      <c r="V860" s="51"/>
      <c r="W860" s="51"/>
      <c r="X860" s="51"/>
      <c r="Y860" s="51"/>
      <c r="Z860" s="51"/>
      <c r="AA860" s="51"/>
      <c r="AB860" s="51"/>
    </row>
    <row r="861" customFormat="false" ht="15.75" hidden="false" customHeight="false" outlineLevel="0" collapsed="false">
      <c r="A861" s="51"/>
      <c r="B861" s="51"/>
      <c r="C861" s="6"/>
      <c r="D861" s="49"/>
      <c r="E861" s="51"/>
      <c r="F861" s="6"/>
      <c r="G861" s="6"/>
      <c r="H861" s="6"/>
      <c r="I861" s="6"/>
      <c r="J861" s="6"/>
      <c r="K861" s="51"/>
      <c r="L861" s="51"/>
      <c r="M861" s="51"/>
      <c r="N861" s="51"/>
      <c r="O861" s="51"/>
      <c r="P861" s="51"/>
      <c r="Q861" s="51"/>
      <c r="R861" s="51"/>
      <c r="S861" s="51"/>
      <c r="T861" s="51"/>
      <c r="U861" s="51"/>
      <c r="V861" s="51"/>
      <c r="W861" s="51"/>
      <c r="X861" s="51"/>
      <c r="Y861" s="51"/>
      <c r="Z861" s="51"/>
      <c r="AA861" s="51"/>
      <c r="AB861" s="51"/>
    </row>
    <row r="862" customFormat="false" ht="15.75" hidden="false" customHeight="false" outlineLevel="0" collapsed="false">
      <c r="A862" s="51"/>
      <c r="B862" s="51"/>
      <c r="C862" s="6"/>
      <c r="D862" s="49"/>
      <c r="E862" s="51"/>
      <c r="F862" s="6"/>
      <c r="G862" s="6"/>
      <c r="H862" s="6"/>
      <c r="I862" s="6"/>
      <c r="J862" s="6"/>
      <c r="K862" s="51"/>
      <c r="L862" s="51"/>
      <c r="M862" s="51"/>
      <c r="N862" s="51"/>
      <c r="O862" s="51"/>
      <c r="P862" s="51"/>
      <c r="Q862" s="51"/>
      <c r="R862" s="51"/>
      <c r="S862" s="51"/>
      <c r="T862" s="51"/>
      <c r="U862" s="51"/>
      <c r="V862" s="51"/>
      <c r="W862" s="51"/>
      <c r="X862" s="51"/>
      <c r="Y862" s="51"/>
      <c r="Z862" s="51"/>
      <c r="AA862" s="51"/>
      <c r="AB862" s="51"/>
    </row>
    <row r="863" customFormat="false" ht="15.75" hidden="false" customHeight="false" outlineLevel="0" collapsed="false">
      <c r="A863" s="51"/>
      <c r="B863" s="51"/>
      <c r="C863" s="6"/>
      <c r="D863" s="49"/>
      <c r="E863" s="51"/>
      <c r="F863" s="6"/>
      <c r="G863" s="6"/>
      <c r="H863" s="6"/>
      <c r="I863" s="6"/>
      <c r="J863" s="6"/>
      <c r="K863" s="51"/>
      <c r="L863" s="51"/>
      <c r="M863" s="51"/>
      <c r="N863" s="51"/>
      <c r="O863" s="51"/>
      <c r="P863" s="51"/>
      <c r="Q863" s="51"/>
      <c r="R863" s="51"/>
      <c r="S863" s="51"/>
      <c r="T863" s="51"/>
      <c r="U863" s="51"/>
      <c r="V863" s="51"/>
      <c r="W863" s="51"/>
      <c r="X863" s="51"/>
      <c r="Y863" s="51"/>
      <c r="Z863" s="51"/>
      <c r="AA863" s="51"/>
      <c r="AB863" s="51"/>
    </row>
    <row r="864" customFormat="false" ht="15.75" hidden="false" customHeight="false" outlineLevel="0" collapsed="false">
      <c r="A864" s="51"/>
      <c r="B864" s="51"/>
      <c r="C864" s="6"/>
      <c r="D864" s="49"/>
      <c r="E864" s="51"/>
      <c r="F864" s="6"/>
      <c r="G864" s="6"/>
      <c r="H864" s="6"/>
      <c r="I864" s="6"/>
      <c r="J864" s="6"/>
      <c r="K864" s="51"/>
      <c r="L864" s="51"/>
      <c r="M864" s="51"/>
      <c r="N864" s="51"/>
      <c r="O864" s="51"/>
      <c r="P864" s="51"/>
      <c r="Q864" s="51"/>
      <c r="R864" s="51"/>
      <c r="S864" s="51"/>
      <c r="T864" s="51"/>
      <c r="U864" s="51"/>
      <c r="V864" s="51"/>
      <c r="W864" s="51"/>
      <c r="X864" s="51"/>
      <c r="Y864" s="51"/>
      <c r="Z864" s="51"/>
      <c r="AA864" s="51"/>
      <c r="AB864" s="51"/>
    </row>
    <row r="865" customFormat="false" ht="15.75" hidden="false" customHeight="false" outlineLevel="0" collapsed="false">
      <c r="A865" s="51"/>
      <c r="B865" s="51"/>
      <c r="C865" s="6"/>
      <c r="D865" s="49"/>
      <c r="E865" s="51"/>
      <c r="F865" s="6"/>
      <c r="G865" s="6"/>
      <c r="H865" s="6"/>
      <c r="I865" s="6"/>
      <c r="J865" s="6"/>
      <c r="K865" s="51"/>
      <c r="L865" s="51"/>
      <c r="M865" s="51"/>
      <c r="N865" s="51"/>
      <c r="O865" s="51"/>
      <c r="P865" s="51"/>
      <c r="Q865" s="51"/>
      <c r="R865" s="51"/>
      <c r="S865" s="51"/>
      <c r="T865" s="51"/>
      <c r="U865" s="51"/>
      <c r="V865" s="51"/>
      <c r="W865" s="51"/>
      <c r="X865" s="51"/>
      <c r="Y865" s="51"/>
      <c r="Z865" s="51"/>
      <c r="AA865" s="51"/>
      <c r="AB865" s="51"/>
    </row>
    <row r="866" customFormat="false" ht="15.75" hidden="false" customHeight="false" outlineLevel="0" collapsed="false">
      <c r="A866" s="51"/>
      <c r="B866" s="51"/>
      <c r="C866" s="6"/>
      <c r="D866" s="49"/>
      <c r="E866" s="51"/>
      <c r="F866" s="6"/>
      <c r="G866" s="6"/>
      <c r="H866" s="6"/>
      <c r="I866" s="6"/>
      <c r="J866" s="6"/>
      <c r="K866" s="51"/>
      <c r="L866" s="51"/>
      <c r="M866" s="51"/>
      <c r="N866" s="51"/>
      <c r="O866" s="51"/>
      <c r="P866" s="51"/>
      <c r="Q866" s="51"/>
      <c r="R866" s="51"/>
      <c r="S866" s="51"/>
      <c r="T866" s="51"/>
      <c r="U866" s="51"/>
      <c r="V866" s="51"/>
      <c r="W866" s="51"/>
      <c r="X866" s="51"/>
      <c r="Y866" s="51"/>
      <c r="Z866" s="51"/>
      <c r="AA866" s="51"/>
      <c r="AB866" s="51"/>
    </row>
    <row r="867" customFormat="false" ht="15.75" hidden="false" customHeight="false" outlineLevel="0" collapsed="false">
      <c r="A867" s="51"/>
      <c r="B867" s="51"/>
      <c r="C867" s="6"/>
      <c r="D867" s="49"/>
      <c r="E867" s="51"/>
      <c r="F867" s="6"/>
      <c r="G867" s="6"/>
      <c r="H867" s="6"/>
      <c r="I867" s="6"/>
      <c r="J867" s="6"/>
      <c r="K867" s="51"/>
      <c r="L867" s="51"/>
      <c r="M867" s="51"/>
      <c r="N867" s="51"/>
      <c r="O867" s="51"/>
      <c r="P867" s="51"/>
      <c r="Q867" s="51"/>
      <c r="R867" s="51"/>
      <c r="S867" s="51"/>
      <c r="T867" s="51"/>
      <c r="U867" s="51"/>
      <c r="V867" s="51"/>
      <c r="W867" s="51"/>
      <c r="X867" s="51"/>
      <c r="Y867" s="51"/>
      <c r="Z867" s="51"/>
      <c r="AA867" s="51"/>
      <c r="AB867" s="51"/>
    </row>
    <row r="868" customFormat="false" ht="15.75" hidden="false" customHeight="false" outlineLevel="0" collapsed="false">
      <c r="A868" s="51"/>
      <c r="B868" s="51"/>
      <c r="C868" s="6"/>
      <c r="D868" s="49"/>
      <c r="E868" s="51"/>
      <c r="F868" s="6"/>
      <c r="G868" s="6"/>
      <c r="H868" s="6"/>
      <c r="I868" s="6"/>
      <c r="J868" s="6"/>
      <c r="K868" s="51"/>
      <c r="L868" s="51"/>
      <c r="M868" s="51"/>
      <c r="N868" s="51"/>
      <c r="O868" s="51"/>
      <c r="P868" s="51"/>
      <c r="Q868" s="51"/>
      <c r="R868" s="51"/>
      <c r="S868" s="51"/>
      <c r="T868" s="51"/>
      <c r="U868" s="51"/>
      <c r="V868" s="51"/>
      <c r="W868" s="51"/>
      <c r="X868" s="51"/>
      <c r="Y868" s="51"/>
      <c r="Z868" s="51"/>
      <c r="AA868" s="51"/>
      <c r="AB868" s="51"/>
    </row>
    <row r="869" customFormat="false" ht="15.75" hidden="false" customHeight="false" outlineLevel="0" collapsed="false">
      <c r="A869" s="51"/>
      <c r="B869" s="51"/>
      <c r="C869" s="6"/>
      <c r="D869" s="49"/>
      <c r="E869" s="51"/>
      <c r="F869" s="6"/>
      <c r="G869" s="6"/>
      <c r="H869" s="6"/>
      <c r="I869" s="6"/>
      <c r="J869" s="6"/>
      <c r="K869" s="51"/>
      <c r="L869" s="51"/>
      <c r="M869" s="51"/>
      <c r="N869" s="51"/>
      <c r="O869" s="51"/>
      <c r="P869" s="51"/>
      <c r="Q869" s="51"/>
      <c r="R869" s="51"/>
      <c r="S869" s="51"/>
      <c r="T869" s="51"/>
      <c r="U869" s="51"/>
      <c r="V869" s="51"/>
      <c r="W869" s="51"/>
      <c r="X869" s="51"/>
      <c r="Y869" s="51"/>
      <c r="Z869" s="51"/>
      <c r="AA869" s="51"/>
      <c r="AB869" s="51"/>
    </row>
    <row r="870" customFormat="false" ht="15.75" hidden="false" customHeight="false" outlineLevel="0" collapsed="false">
      <c r="A870" s="51"/>
      <c r="B870" s="51"/>
      <c r="C870" s="6"/>
      <c r="D870" s="49"/>
      <c r="E870" s="51"/>
      <c r="F870" s="6"/>
      <c r="G870" s="6"/>
      <c r="H870" s="6"/>
      <c r="I870" s="6"/>
      <c r="J870" s="6"/>
      <c r="K870" s="51"/>
      <c r="L870" s="51"/>
      <c r="M870" s="51"/>
      <c r="N870" s="51"/>
      <c r="O870" s="51"/>
      <c r="P870" s="51"/>
      <c r="Q870" s="51"/>
      <c r="R870" s="51"/>
      <c r="S870" s="51"/>
      <c r="T870" s="51"/>
      <c r="U870" s="51"/>
      <c r="V870" s="51"/>
      <c r="W870" s="51"/>
      <c r="X870" s="51"/>
      <c r="Y870" s="51"/>
      <c r="Z870" s="51"/>
      <c r="AA870" s="51"/>
      <c r="AB870" s="51"/>
    </row>
    <row r="871" customFormat="false" ht="15.75" hidden="false" customHeight="false" outlineLevel="0" collapsed="false">
      <c r="A871" s="51"/>
      <c r="B871" s="51"/>
      <c r="C871" s="6"/>
      <c r="D871" s="49"/>
      <c r="E871" s="51"/>
      <c r="F871" s="6"/>
      <c r="G871" s="6"/>
      <c r="H871" s="6"/>
      <c r="I871" s="6"/>
      <c r="J871" s="6"/>
      <c r="K871" s="51"/>
      <c r="L871" s="51"/>
      <c r="M871" s="51"/>
      <c r="N871" s="51"/>
      <c r="O871" s="51"/>
      <c r="P871" s="51"/>
      <c r="Q871" s="51"/>
      <c r="R871" s="51"/>
      <c r="S871" s="51"/>
      <c r="T871" s="51"/>
      <c r="U871" s="51"/>
      <c r="V871" s="51"/>
      <c r="W871" s="51"/>
      <c r="X871" s="51"/>
      <c r="Y871" s="51"/>
      <c r="Z871" s="51"/>
      <c r="AA871" s="51"/>
      <c r="AB871" s="51"/>
    </row>
    <row r="872" customFormat="false" ht="15.75" hidden="false" customHeight="false" outlineLevel="0" collapsed="false">
      <c r="A872" s="51"/>
      <c r="B872" s="51"/>
      <c r="C872" s="6"/>
      <c r="D872" s="49"/>
      <c r="E872" s="51"/>
      <c r="F872" s="6"/>
      <c r="G872" s="6"/>
      <c r="H872" s="6"/>
      <c r="I872" s="6"/>
      <c r="J872" s="6"/>
      <c r="K872" s="51"/>
      <c r="L872" s="51"/>
      <c r="M872" s="51"/>
      <c r="N872" s="51"/>
      <c r="O872" s="51"/>
      <c r="P872" s="51"/>
      <c r="Q872" s="51"/>
      <c r="R872" s="51"/>
      <c r="S872" s="51"/>
      <c r="T872" s="51"/>
      <c r="U872" s="51"/>
      <c r="V872" s="51"/>
      <c r="W872" s="51"/>
      <c r="X872" s="51"/>
      <c r="Y872" s="51"/>
      <c r="Z872" s="51"/>
      <c r="AA872" s="51"/>
      <c r="AB872" s="51"/>
    </row>
    <row r="873" customFormat="false" ht="15.75" hidden="false" customHeight="false" outlineLevel="0" collapsed="false">
      <c r="A873" s="51"/>
      <c r="B873" s="51"/>
      <c r="C873" s="6"/>
      <c r="D873" s="49"/>
      <c r="E873" s="51"/>
      <c r="F873" s="6"/>
      <c r="G873" s="6"/>
      <c r="H873" s="6"/>
      <c r="I873" s="6"/>
      <c r="J873" s="6"/>
      <c r="K873" s="51"/>
      <c r="L873" s="51"/>
      <c r="M873" s="51"/>
      <c r="N873" s="51"/>
      <c r="O873" s="51"/>
      <c r="P873" s="51"/>
      <c r="Q873" s="51"/>
      <c r="R873" s="51"/>
      <c r="S873" s="51"/>
      <c r="T873" s="51"/>
      <c r="U873" s="51"/>
      <c r="V873" s="51"/>
      <c r="W873" s="51"/>
      <c r="X873" s="51"/>
      <c r="Y873" s="51"/>
      <c r="Z873" s="51"/>
      <c r="AA873" s="51"/>
      <c r="AB873" s="51"/>
    </row>
    <row r="874" customFormat="false" ht="15.75" hidden="false" customHeight="false" outlineLevel="0" collapsed="false">
      <c r="A874" s="51"/>
      <c r="B874" s="51"/>
      <c r="C874" s="6"/>
      <c r="D874" s="49"/>
      <c r="E874" s="51"/>
      <c r="F874" s="6"/>
      <c r="G874" s="6"/>
      <c r="H874" s="6"/>
      <c r="I874" s="6"/>
      <c r="J874" s="6"/>
      <c r="K874" s="51"/>
      <c r="L874" s="51"/>
      <c r="M874" s="51"/>
      <c r="N874" s="51"/>
      <c r="O874" s="51"/>
      <c r="P874" s="51"/>
      <c r="Q874" s="51"/>
      <c r="R874" s="51"/>
      <c r="S874" s="51"/>
      <c r="T874" s="51"/>
      <c r="U874" s="51"/>
      <c r="V874" s="51"/>
      <c r="W874" s="51"/>
      <c r="X874" s="51"/>
      <c r="Y874" s="51"/>
      <c r="Z874" s="51"/>
      <c r="AA874" s="51"/>
      <c r="AB874" s="51"/>
    </row>
    <row r="875" customFormat="false" ht="15.75" hidden="false" customHeight="false" outlineLevel="0" collapsed="false">
      <c r="A875" s="51"/>
      <c r="B875" s="51"/>
      <c r="C875" s="6"/>
      <c r="D875" s="49"/>
      <c r="E875" s="51"/>
      <c r="F875" s="6"/>
      <c r="G875" s="6"/>
      <c r="H875" s="6"/>
      <c r="I875" s="6"/>
      <c r="J875" s="6"/>
      <c r="K875" s="51"/>
      <c r="L875" s="51"/>
      <c r="M875" s="51"/>
      <c r="N875" s="51"/>
      <c r="O875" s="51"/>
      <c r="P875" s="51"/>
      <c r="Q875" s="51"/>
      <c r="R875" s="51"/>
      <c r="S875" s="51"/>
      <c r="T875" s="51"/>
      <c r="U875" s="51"/>
      <c r="V875" s="51"/>
      <c r="W875" s="51"/>
      <c r="X875" s="51"/>
      <c r="Y875" s="51"/>
      <c r="Z875" s="51"/>
      <c r="AA875" s="51"/>
      <c r="AB875" s="51"/>
    </row>
    <row r="876" customFormat="false" ht="15.75" hidden="false" customHeight="false" outlineLevel="0" collapsed="false">
      <c r="A876" s="51"/>
      <c r="B876" s="51"/>
      <c r="C876" s="6"/>
      <c r="D876" s="49"/>
      <c r="E876" s="51"/>
      <c r="F876" s="6"/>
      <c r="G876" s="6"/>
      <c r="H876" s="6"/>
      <c r="I876" s="6"/>
      <c r="J876" s="6"/>
      <c r="K876" s="51"/>
      <c r="L876" s="51"/>
      <c r="M876" s="51"/>
      <c r="N876" s="51"/>
      <c r="O876" s="51"/>
      <c r="P876" s="51"/>
      <c r="Q876" s="51"/>
      <c r="R876" s="51"/>
      <c r="S876" s="51"/>
      <c r="T876" s="51"/>
      <c r="U876" s="51"/>
      <c r="V876" s="51"/>
      <c r="W876" s="51"/>
      <c r="X876" s="51"/>
      <c r="Y876" s="51"/>
      <c r="Z876" s="51"/>
      <c r="AA876" s="51"/>
      <c r="AB876" s="51"/>
    </row>
    <row r="877" customFormat="false" ht="15.75" hidden="false" customHeight="false" outlineLevel="0" collapsed="false">
      <c r="A877" s="51"/>
      <c r="B877" s="51"/>
      <c r="C877" s="6"/>
      <c r="D877" s="49"/>
      <c r="E877" s="51"/>
      <c r="F877" s="6"/>
      <c r="G877" s="6"/>
      <c r="H877" s="6"/>
      <c r="I877" s="6"/>
      <c r="J877" s="6"/>
      <c r="K877" s="51"/>
      <c r="L877" s="51"/>
      <c r="M877" s="51"/>
      <c r="N877" s="51"/>
      <c r="O877" s="51"/>
      <c r="P877" s="51"/>
      <c r="Q877" s="51"/>
      <c r="R877" s="51"/>
      <c r="S877" s="51"/>
      <c r="T877" s="51"/>
      <c r="U877" s="51"/>
      <c r="V877" s="51"/>
      <c r="W877" s="51"/>
      <c r="X877" s="51"/>
      <c r="Y877" s="51"/>
      <c r="Z877" s="51"/>
      <c r="AA877" s="51"/>
      <c r="AB877" s="51"/>
    </row>
    <row r="878" customFormat="false" ht="15.75" hidden="false" customHeight="false" outlineLevel="0" collapsed="false">
      <c r="A878" s="51"/>
      <c r="B878" s="51"/>
      <c r="C878" s="6"/>
      <c r="D878" s="49"/>
      <c r="E878" s="51"/>
      <c r="F878" s="6"/>
      <c r="G878" s="6"/>
      <c r="H878" s="6"/>
      <c r="I878" s="6"/>
      <c r="J878" s="6"/>
      <c r="K878" s="51"/>
      <c r="L878" s="51"/>
      <c r="M878" s="51"/>
      <c r="N878" s="51"/>
      <c r="O878" s="51"/>
      <c r="P878" s="51"/>
      <c r="Q878" s="51"/>
      <c r="R878" s="51"/>
      <c r="S878" s="51"/>
      <c r="T878" s="51"/>
      <c r="U878" s="51"/>
      <c r="V878" s="51"/>
      <c r="W878" s="51"/>
      <c r="X878" s="51"/>
      <c r="Y878" s="51"/>
      <c r="Z878" s="51"/>
      <c r="AA878" s="51"/>
      <c r="AB878" s="51"/>
    </row>
    <row r="879" customFormat="false" ht="15.75" hidden="false" customHeight="false" outlineLevel="0" collapsed="false">
      <c r="A879" s="51"/>
      <c r="B879" s="51"/>
      <c r="C879" s="6"/>
      <c r="D879" s="49"/>
      <c r="E879" s="51"/>
      <c r="F879" s="6"/>
      <c r="G879" s="6"/>
      <c r="H879" s="6"/>
      <c r="I879" s="6"/>
      <c r="J879" s="6"/>
      <c r="K879" s="51"/>
      <c r="L879" s="51"/>
      <c r="M879" s="51"/>
      <c r="N879" s="51"/>
      <c r="O879" s="51"/>
      <c r="P879" s="51"/>
      <c r="Q879" s="51"/>
      <c r="R879" s="51"/>
      <c r="S879" s="51"/>
      <c r="T879" s="51"/>
      <c r="U879" s="51"/>
      <c r="V879" s="51"/>
      <c r="W879" s="51"/>
      <c r="X879" s="51"/>
      <c r="Y879" s="51"/>
      <c r="Z879" s="51"/>
      <c r="AA879" s="51"/>
      <c r="AB879" s="51"/>
    </row>
    <row r="880" customFormat="false" ht="15.75" hidden="false" customHeight="false" outlineLevel="0" collapsed="false">
      <c r="A880" s="51"/>
      <c r="B880" s="51"/>
      <c r="C880" s="6"/>
      <c r="D880" s="49"/>
      <c r="E880" s="51"/>
      <c r="F880" s="6"/>
      <c r="G880" s="6"/>
      <c r="H880" s="6"/>
      <c r="I880" s="6"/>
      <c r="J880" s="6"/>
      <c r="K880" s="51"/>
      <c r="L880" s="51"/>
      <c r="M880" s="51"/>
      <c r="N880" s="51"/>
      <c r="O880" s="51"/>
      <c r="P880" s="51"/>
      <c r="Q880" s="51"/>
      <c r="R880" s="51"/>
      <c r="S880" s="51"/>
      <c r="T880" s="51"/>
      <c r="U880" s="51"/>
      <c r="V880" s="51"/>
      <c r="W880" s="51"/>
      <c r="X880" s="51"/>
      <c r="Y880" s="51"/>
      <c r="Z880" s="51"/>
      <c r="AA880" s="51"/>
      <c r="AB880" s="51"/>
    </row>
    <row r="881" customFormat="false" ht="15.75" hidden="false" customHeight="false" outlineLevel="0" collapsed="false">
      <c r="A881" s="51"/>
      <c r="B881" s="51"/>
      <c r="C881" s="6"/>
      <c r="D881" s="49"/>
      <c r="E881" s="51"/>
      <c r="F881" s="6"/>
      <c r="G881" s="6"/>
      <c r="H881" s="6"/>
      <c r="I881" s="6"/>
      <c r="J881" s="6"/>
      <c r="K881" s="51"/>
      <c r="L881" s="51"/>
      <c r="M881" s="51"/>
      <c r="N881" s="51"/>
      <c r="O881" s="51"/>
      <c r="P881" s="51"/>
      <c r="Q881" s="51"/>
      <c r="R881" s="51"/>
      <c r="S881" s="51"/>
      <c r="T881" s="51"/>
      <c r="U881" s="51"/>
      <c r="V881" s="51"/>
      <c r="W881" s="51"/>
      <c r="X881" s="51"/>
      <c r="Y881" s="51"/>
      <c r="Z881" s="51"/>
      <c r="AA881" s="51"/>
      <c r="AB881" s="51"/>
    </row>
    <row r="882" customFormat="false" ht="15.75" hidden="false" customHeight="false" outlineLevel="0" collapsed="false">
      <c r="A882" s="51"/>
      <c r="B882" s="51"/>
      <c r="C882" s="6"/>
      <c r="D882" s="49"/>
      <c r="E882" s="51"/>
      <c r="F882" s="6"/>
      <c r="G882" s="6"/>
      <c r="H882" s="6"/>
      <c r="I882" s="6"/>
      <c r="J882" s="6"/>
      <c r="K882" s="51"/>
      <c r="L882" s="51"/>
      <c r="M882" s="51"/>
      <c r="N882" s="51"/>
      <c r="O882" s="51"/>
      <c r="P882" s="51"/>
      <c r="Q882" s="51"/>
      <c r="R882" s="51"/>
      <c r="S882" s="51"/>
      <c r="T882" s="51"/>
      <c r="U882" s="51"/>
      <c r="V882" s="51"/>
      <c r="W882" s="51"/>
      <c r="X882" s="51"/>
      <c r="Y882" s="51"/>
      <c r="Z882" s="51"/>
      <c r="AA882" s="51"/>
      <c r="AB882" s="51"/>
    </row>
    <row r="883" customFormat="false" ht="15.75" hidden="false" customHeight="false" outlineLevel="0" collapsed="false">
      <c r="A883" s="51"/>
      <c r="B883" s="51"/>
      <c r="C883" s="6"/>
      <c r="D883" s="49"/>
      <c r="E883" s="51"/>
      <c r="F883" s="6"/>
      <c r="G883" s="6"/>
      <c r="H883" s="6"/>
      <c r="I883" s="6"/>
      <c r="J883" s="6"/>
      <c r="K883" s="51"/>
      <c r="L883" s="51"/>
      <c r="M883" s="51"/>
      <c r="N883" s="51"/>
      <c r="O883" s="51"/>
      <c r="P883" s="51"/>
      <c r="Q883" s="51"/>
      <c r="R883" s="51"/>
      <c r="S883" s="51"/>
      <c r="T883" s="51"/>
      <c r="U883" s="51"/>
      <c r="V883" s="51"/>
      <c r="W883" s="51"/>
      <c r="X883" s="51"/>
      <c r="Y883" s="51"/>
      <c r="Z883" s="51"/>
      <c r="AA883" s="51"/>
      <c r="AB883" s="51"/>
    </row>
    <row r="884" customFormat="false" ht="15.75" hidden="false" customHeight="false" outlineLevel="0" collapsed="false">
      <c r="A884" s="51"/>
      <c r="B884" s="51"/>
      <c r="C884" s="6"/>
      <c r="D884" s="49"/>
      <c r="E884" s="51"/>
      <c r="F884" s="6"/>
      <c r="G884" s="6"/>
      <c r="H884" s="6"/>
      <c r="I884" s="6"/>
      <c r="J884" s="6"/>
      <c r="K884" s="51"/>
      <c r="L884" s="51"/>
      <c r="M884" s="51"/>
      <c r="N884" s="51"/>
      <c r="O884" s="51"/>
      <c r="P884" s="51"/>
      <c r="Q884" s="51"/>
      <c r="R884" s="51"/>
      <c r="S884" s="51"/>
      <c r="T884" s="51"/>
      <c r="U884" s="51"/>
      <c r="V884" s="51"/>
      <c r="W884" s="51"/>
      <c r="X884" s="51"/>
      <c r="Y884" s="51"/>
      <c r="Z884" s="51"/>
      <c r="AA884" s="51"/>
      <c r="AB884" s="51"/>
    </row>
    <row r="885" customFormat="false" ht="15.75" hidden="false" customHeight="false" outlineLevel="0" collapsed="false">
      <c r="A885" s="51"/>
      <c r="B885" s="51"/>
      <c r="C885" s="6"/>
      <c r="D885" s="49"/>
      <c r="E885" s="51"/>
      <c r="F885" s="6"/>
      <c r="G885" s="6"/>
      <c r="H885" s="6"/>
      <c r="I885" s="6"/>
      <c r="J885" s="6"/>
      <c r="K885" s="51"/>
      <c r="L885" s="51"/>
      <c r="M885" s="51"/>
      <c r="N885" s="51"/>
      <c r="O885" s="51"/>
      <c r="P885" s="51"/>
      <c r="Q885" s="51"/>
      <c r="R885" s="51"/>
      <c r="S885" s="51"/>
      <c r="T885" s="51"/>
      <c r="U885" s="51"/>
      <c r="V885" s="51"/>
      <c r="W885" s="51"/>
      <c r="X885" s="51"/>
      <c r="Y885" s="51"/>
      <c r="Z885" s="51"/>
      <c r="AA885" s="51"/>
      <c r="AB885" s="51"/>
    </row>
    <row r="886" customFormat="false" ht="15.75" hidden="false" customHeight="false" outlineLevel="0" collapsed="false">
      <c r="A886" s="51"/>
      <c r="B886" s="51"/>
      <c r="C886" s="6"/>
      <c r="D886" s="49"/>
      <c r="E886" s="51"/>
      <c r="F886" s="6"/>
      <c r="G886" s="6"/>
      <c r="H886" s="6"/>
      <c r="I886" s="6"/>
      <c r="J886" s="6"/>
      <c r="K886" s="51"/>
      <c r="L886" s="51"/>
      <c r="M886" s="51"/>
      <c r="N886" s="51"/>
      <c r="O886" s="51"/>
      <c r="P886" s="51"/>
      <c r="Q886" s="51"/>
      <c r="R886" s="51"/>
      <c r="S886" s="51"/>
      <c r="T886" s="51"/>
      <c r="U886" s="51"/>
      <c r="V886" s="51"/>
      <c r="W886" s="51"/>
      <c r="X886" s="51"/>
      <c r="Y886" s="51"/>
      <c r="Z886" s="51"/>
      <c r="AA886" s="51"/>
      <c r="AB886" s="51"/>
    </row>
    <row r="887" customFormat="false" ht="15.75" hidden="false" customHeight="false" outlineLevel="0" collapsed="false">
      <c r="A887" s="51"/>
      <c r="B887" s="51"/>
      <c r="C887" s="6"/>
      <c r="D887" s="49"/>
      <c r="E887" s="51"/>
      <c r="F887" s="6"/>
      <c r="G887" s="6"/>
      <c r="H887" s="6"/>
      <c r="I887" s="6"/>
      <c r="J887" s="6"/>
      <c r="K887" s="51"/>
      <c r="L887" s="51"/>
      <c r="M887" s="51"/>
      <c r="N887" s="51"/>
      <c r="O887" s="51"/>
      <c r="P887" s="51"/>
      <c r="Q887" s="51"/>
      <c r="R887" s="51"/>
      <c r="S887" s="51"/>
      <c r="T887" s="51"/>
      <c r="U887" s="51"/>
      <c r="V887" s="51"/>
      <c r="W887" s="51"/>
      <c r="X887" s="51"/>
      <c r="Y887" s="51"/>
      <c r="Z887" s="51"/>
      <c r="AA887" s="51"/>
      <c r="AB887" s="51"/>
    </row>
    <row r="888" customFormat="false" ht="15.75" hidden="false" customHeight="false" outlineLevel="0" collapsed="false">
      <c r="A888" s="51"/>
      <c r="B888" s="51"/>
      <c r="C888" s="6"/>
      <c r="D888" s="49"/>
      <c r="E888" s="51"/>
      <c r="F888" s="6"/>
      <c r="G888" s="6"/>
      <c r="H888" s="6"/>
      <c r="I888" s="6"/>
      <c r="J888" s="6"/>
      <c r="K888" s="51"/>
      <c r="L888" s="51"/>
      <c r="M888" s="51"/>
      <c r="N888" s="51"/>
      <c r="O888" s="51"/>
      <c r="P888" s="51"/>
      <c r="Q888" s="51"/>
      <c r="R888" s="51"/>
      <c r="S888" s="51"/>
      <c r="T888" s="51"/>
      <c r="U888" s="51"/>
      <c r="V888" s="51"/>
      <c r="W888" s="51"/>
      <c r="X888" s="51"/>
      <c r="Y888" s="51"/>
      <c r="Z888" s="51"/>
      <c r="AA888" s="51"/>
      <c r="AB888" s="51"/>
    </row>
    <row r="889" customFormat="false" ht="15.75" hidden="false" customHeight="false" outlineLevel="0" collapsed="false">
      <c r="A889" s="51"/>
      <c r="B889" s="51"/>
      <c r="C889" s="6"/>
      <c r="D889" s="49"/>
      <c r="E889" s="51"/>
      <c r="F889" s="6"/>
      <c r="G889" s="6"/>
      <c r="H889" s="6"/>
      <c r="I889" s="6"/>
      <c r="J889" s="6"/>
      <c r="K889" s="51"/>
      <c r="L889" s="51"/>
      <c r="M889" s="51"/>
      <c r="N889" s="51"/>
      <c r="O889" s="51"/>
      <c r="P889" s="51"/>
      <c r="Q889" s="51"/>
      <c r="R889" s="51"/>
      <c r="S889" s="51"/>
      <c r="T889" s="51"/>
      <c r="U889" s="51"/>
      <c r="V889" s="51"/>
      <c r="W889" s="51"/>
      <c r="X889" s="51"/>
      <c r="Y889" s="51"/>
      <c r="Z889" s="51"/>
      <c r="AA889" s="51"/>
      <c r="AB889" s="51"/>
    </row>
    <row r="890" customFormat="false" ht="15.75" hidden="false" customHeight="false" outlineLevel="0" collapsed="false">
      <c r="A890" s="51"/>
      <c r="B890" s="51"/>
      <c r="C890" s="6"/>
      <c r="D890" s="49"/>
      <c r="E890" s="51"/>
      <c r="F890" s="6"/>
      <c r="G890" s="6"/>
      <c r="H890" s="6"/>
      <c r="I890" s="6"/>
      <c r="J890" s="6"/>
      <c r="K890" s="51"/>
      <c r="L890" s="51"/>
      <c r="M890" s="51"/>
      <c r="N890" s="51"/>
      <c r="O890" s="51"/>
      <c r="P890" s="51"/>
      <c r="Q890" s="51"/>
      <c r="R890" s="51"/>
      <c r="S890" s="51"/>
      <c r="T890" s="51"/>
      <c r="U890" s="51"/>
      <c r="V890" s="51"/>
      <c r="W890" s="51"/>
      <c r="X890" s="51"/>
      <c r="Y890" s="51"/>
      <c r="Z890" s="51"/>
      <c r="AA890" s="51"/>
      <c r="AB890" s="51"/>
    </row>
    <row r="891" customFormat="false" ht="15.75" hidden="false" customHeight="false" outlineLevel="0" collapsed="false">
      <c r="A891" s="51"/>
      <c r="B891" s="51"/>
      <c r="C891" s="6"/>
      <c r="D891" s="49"/>
      <c r="E891" s="51"/>
      <c r="F891" s="6"/>
      <c r="G891" s="6"/>
      <c r="H891" s="6"/>
      <c r="I891" s="6"/>
      <c r="J891" s="6"/>
      <c r="K891" s="51"/>
      <c r="L891" s="51"/>
      <c r="M891" s="51"/>
      <c r="N891" s="51"/>
      <c r="O891" s="51"/>
      <c r="P891" s="51"/>
      <c r="Q891" s="51"/>
      <c r="R891" s="51"/>
      <c r="S891" s="51"/>
      <c r="T891" s="51"/>
      <c r="U891" s="51"/>
      <c r="V891" s="51"/>
      <c r="W891" s="51"/>
      <c r="X891" s="51"/>
      <c r="Y891" s="51"/>
      <c r="Z891" s="51"/>
      <c r="AA891" s="51"/>
      <c r="AB891" s="51"/>
    </row>
    <row r="892" customFormat="false" ht="15.75" hidden="false" customHeight="false" outlineLevel="0" collapsed="false">
      <c r="A892" s="51"/>
      <c r="B892" s="51"/>
      <c r="C892" s="6"/>
      <c r="D892" s="49"/>
      <c r="E892" s="51"/>
      <c r="F892" s="6"/>
      <c r="G892" s="6"/>
      <c r="H892" s="6"/>
      <c r="I892" s="6"/>
      <c r="J892" s="6"/>
      <c r="K892" s="51"/>
      <c r="L892" s="51"/>
      <c r="M892" s="51"/>
      <c r="N892" s="51"/>
      <c r="O892" s="51"/>
      <c r="P892" s="51"/>
      <c r="Q892" s="51"/>
      <c r="R892" s="51"/>
      <c r="S892" s="51"/>
      <c r="T892" s="51"/>
      <c r="U892" s="51"/>
      <c r="V892" s="51"/>
      <c r="W892" s="51"/>
      <c r="X892" s="51"/>
      <c r="Y892" s="51"/>
      <c r="Z892" s="51"/>
      <c r="AA892" s="51"/>
      <c r="AB892" s="51"/>
    </row>
    <row r="893" customFormat="false" ht="15.75" hidden="false" customHeight="false" outlineLevel="0" collapsed="false">
      <c r="A893" s="51"/>
      <c r="B893" s="51"/>
      <c r="C893" s="6"/>
      <c r="D893" s="49"/>
      <c r="E893" s="51"/>
      <c r="F893" s="6"/>
      <c r="G893" s="6"/>
      <c r="H893" s="6"/>
      <c r="I893" s="6"/>
      <c r="J893" s="6"/>
      <c r="K893" s="51"/>
      <c r="L893" s="51"/>
      <c r="M893" s="51"/>
      <c r="N893" s="51"/>
      <c r="O893" s="51"/>
      <c r="P893" s="51"/>
      <c r="Q893" s="51"/>
      <c r="R893" s="51"/>
      <c r="S893" s="51"/>
      <c r="T893" s="51"/>
      <c r="U893" s="51"/>
      <c r="V893" s="51"/>
      <c r="W893" s="51"/>
      <c r="X893" s="51"/>
      <c r="Y893" s="51"/>
      <c r="Z893" s="51"/>
      <c r="AA893" s="51"/>
      <c r="AB893" s="51"/>
    </row>
    <row r="894" customFormat="false" ht="15.75" hidden="false" customHeight="false" outlineLevel="0" collapsed="false">
      <c r="A894" s="51"/>
      <c r="B894" s="51"/>
      <c r="C894" s="6"/>
      <c r="D894" s="49"/>
      <c r="E894" s="51"/>
      <c r="F894" s="6"/>
      <c r="G894" s="6"/>
      <c r="H894" s="6"/>
      <c r="I894" s="6"/>
      <c r="J894" s="6"/>
      <c r="K894" s="51"/>
      <c r="L894" s="51"/>
      <c r="M894" s="51"/>
      <c r="N894" s="51"/>
      <c r="O894" s="51"/>
      <c r="P894" s="51"/>
      <c r="Q894" s="51"/>
      <c r="R894" s="51"/>
      <c r="S894" s="51"/>
      <c r="T894" s="51"/>
      <c r="U894" s="51"/>
      <c r="V894" s="51"/>
      <c r="W894" s="51"/>
      <c r="X894" s="51"/>
      <c r="Y894" s="51"/>
      <c r="Z894" s="51"/>
      <c r="AA894" s="51"/>
      <c r="AB894" s="51"/>
    </row>
    <row r="895" customFormat="false" ht="15.75" hidden="false" customHeight="false" outlineLevel="0" collapsed="false">
      <c r="A895" s="51"/>
      <c r="B895" s="51"/>
      <c r="C895" s="6"/>
      <c r="D895" s="49"/>
      <c r="E895" s="51"/>
      <c r="F895" s="6"/>
      <c r="G895" s="6"/>
      <c r="H895" s="6"/>
      <c r="I895" s="6"/>
      <c r="J895" s="6"/>
      <c r="K895" s="51"/>
      <c r="L895" s="51"/>
      <c r="M895" s="51"/>
      <c r="N895" s="51"/>
      <c r="O895" s="51"/>
      <c r="P895" s="51"/>
      <c r="Q895" s="51"/>
      <c r="R895" s="51"/>
      <c r="S895" s="51"/>
      <c r="T895" s="51"/>
      <c r="U895" s="51"/>
      <c r="V895" s="51"/>
      <c r="W895" s="51"/>
      <c r="X895" s="51"/>
      <c r="Y895" s="51"/>
      <c r="Z895" s="51"/>
      <c r="AA895" s="51"/>
      <c r="AB895" s="51"/>
    </row>
    <row r="896" customFormat="false" ht="15.75" hidden="false" customHeight="false" outlineLevel="0" collapsed="false">
      <c r="A896" s="51"/>
      <c r="B896" s="51"/>
      <c r="C896" s="6"/>
      <c r="D896" s="49"/>
      <c r="E896" s="51"/>
      <c r="F896" s="6"/>
      <c r="G896" s="6"/>
      <c r="H896" s="6"/>
      <c r="I896" s="6"/>
      <c r="J896" s="6"/>
      <c r="K896" s="51"/>
      <c r="L896" s="51"/>
      <c r="M896" s="51"/>
      <c r="N896" s="51"/>
      <c r="O896" s="51"/>
      <c r="P896" s="51"/>
      <c r="Q896" s="51"/>
      <c r="R896" s="51"/>
      <c r="S896" s="51"/>
      <c r="T896" s="51"/>
      <c r="U896" s="51"/>
      <c r="V896" s="51"/>
      <c r="W896" s="51"/>
      <c r="X896" s="51"/>
      <c r="Y896" s="51"/>
      <c r="Z896" s="51"/>
      <c r="AA896" s="51"/>
      <c r="AB896" s="51"/>
    </row>
    <row r="897" customFormat="false" ht="15.75" hidden="false" customHeight="false" outlineLevel="0" collapsed="false">
      <c r="A897" s="51"/>
      <c r="B897" s="51"/>
      <c r="C897" s="6"/>
      <c r="D897" s="49"/>
      <c r="E897" s="51"/>
      <c r="F897" s="6"/>
      <c r="G897" s="6"/>
      <c r="H897" s="6"/>
      <c r="I897" s="6"/>
      <c r="J897" s="6"/>
      <c r="K897" s="51"/>
      <c r="L897" s="51"/>
      <c r="M897" s="51"/>
      <c r="N897" s="51"/>
      <c r="O897" s="51"/>
      <c r="P897" s="51"/>
      <c r="Q897" s="51"/>
      <c r="R897" s="51"/>
      <c r="S897" s="51"/>
      <c r="T897" s="51"/>
      <c r="U897" s="51"/>
      <c r="V897" s="51"/>
      <c r="W897" s="51"/>
      <c r="X897" s="51"/>
      <c r="Y897" s="51"/>
      <c r="Z897" s="51"/>
      <c r="AA897" s="51"/>
      <c r="AB897" s="51"/>
    </row>
    <row r="898" customFormat="false" ht="15.75" hidden="false" customHeight="false" outlineLevel="0" collapsed="false">
      <c r="A898" s="51"/>
      <c r="B898" s="51"/>
      <c r="C898" s="6"/>
      <c r="D898" s="49"/>
      <c r="E898" s="51"/>
      <c r="F898" s="6"/>
      <c r="G898" s="6"/>
      <c r="H898" s="6"/>
      <c r="I898" s="6"/>
      <c r="J898" s="6"/>
      <c r="K898" s="51"/>
      <c r="L898" s="51"/>
      <c r="M898" s="51"/>
      <c r="N898" s="51"/>
      <c r="O898" s="51"/>
      <c r="P898" s="51"/>
      <c r="Q898" s="51"/>
      <c r="R898" s="51"/>
      <c r="S898" s="51"/>
      <c r="T898" s="51"/>
      <c r="U898" s="51"/>
      <c r="V898" s="51"/>
      <c r="W898" s="51"/>
      <c r="X898" s="51"/>
      <c r="Y898" s="51"/>
      <c r="Z898" s="51"/>
      <c r="AA898" s="51"/>
      <c r="AB898" s="51"/>
    </row>
    <row r="899" customFormat="false" ht="15.75" hidden="false" customHeight="false" outlineLevel="0" collapsed="false">
      <c r="A899" s="51"/>
      <c r="B899" s="51"/>
      <c r="C899" s="6"/>
      <c r="D899" s="49"/>
      <c r="E899" s="51"/>
      <c r="F899" s="6"/>
      <c r="G899" s="6"/>
      <c r="H899" s="6"/>
      <c r="I899" s="6"/>
      <c r="J899" s="6"/>
      <c r="K899" s="51"/>
      <c r="L899" s="51"/>
      <c r="M899" s="51"/>
      <c r="N899" s="51"/>
      <c r="O899" s="51"/>
      <c r="P899" s="51"/>
      <c r="Q899" s="51"/>
      <c r="R899" s="51"/>
      <c r="S899" s="51"/>
      <c r="T899" s="51"/>
      <c r="U899" s="51"/>
      <c r="V899" s="51"/>
      <c r="W899" s="51"/>
      <c r="X899" s="51"/>
      <c r="Y899" s="51"/>
      <c r="Z899" s="51"/>
      <c r="AA899" s="51"/>
      <c r="AB899" s="51"/>
    </row>
    <row r="900" customFormat="false" ht="15.75" hidden="false" customHeight="false" outlineLevel="0" collapsed="false">
      <c r="A900" s="51"/>
      <c r="B900" s="51"/>
      <c r="C900" s="6"/>
      <c r="D900" s="49"/>
      <c r="E900" s="51"/>
      <c r="F900" s="6"/>
      <c r="G900" s="6"/>
      <c r="H900" s="6"/>
      <c r="I900" s="6"/>
      <c r="J900" s="6"/>
      <c r="K900" s="51"/>
      <c r="L900" s="51"/>
      <c r="M900" s="51"/>
      <c r="N900" s="51"/>
      <c r="O900" s="51"/>
      <c r="P900" s="51"/>
      <c r="Q900" s="51"/>
      <c r="R900" s="51"/>
      <c r="S900" s="51"/>
      <c r="T900" s="51"/>
      <c r="U900" s="51"/>
      <c r="V900" s="51"/>
      <c r="W900" s="51"/>
      <c r="X900" s="51"/>
      <c r="Y900" s="51"/>
      <c r="Z900" s="51"/>
      <c r="AA900" s="51"/>
      <c r="AB900" s="51"/>
    </row>
    <row r="901" customFormat="false" ht="15.75" hidden="false" customHeight="false" outlineLevel="0" collapsed="false">
      <c r="A901" s="51"/>
      <c r="B901" s="51"/>
      <c r="C901" s="6"/>
      <c r="D901" s="49"/>
      <c r="E901" s="51"/>
      <c r="F901" s="6"/>
      <c r="G901" s="6"/>
      <c r="H901" s="6"/>
      <c r="I901" s="6"/>
      <c r="J901" s="6"/>
      <c r="K901" s="51"/>
      <c r="L901" s="51"/>
      <c r="M901" s="51"/>
      <c r="N901" s="51"/>
      <c r="O901" s="51"/>
      <c r="P901" s="51"/>
      <c r="Q901" s="51"/>
      <c r="R901" s="51"/>
      <c r="S901" s="51"/>
      <c r="T901" s="51"/>
      <c r="U901" s="51"/>
      <c r="V901" s="51"/>
      <c r="W901" s="51"/>
      <c r="X901" s="51"/>
      <c r="Y901" s="51"/>
      <c r="Z901" s="51"/>
      <c r="AA901" s="51"/>
      <c r="AB901" s="51"/>
    </row>
    <row r="902" customFormat="false" ht="15.75" hidden="false" customHeight="false" outlineLevel="0" collapsed="false">
      <c r="A902" s="51"/>
      <c r="B902" s="51"/>
      <c r="C902" s="6"/>
      <c r="D902" s="49"/>
      <c r="E902" s="51"/>
      <c r="F902" s="6"/>
      <c r="G902" s="6"/>
      <c r="H902" s="6"/>
      <c r="I902" s="6"/>
      <c r="J902" s="6"/>
      <c r="K902" s="51"/>
      <c r="L902" s="51"/>
      <c r="M902" s="51"/>
      <c r="N902" s="51"/>
      <c r="O902" s="51"/>
      <c r="P902" s="51"/>
      <c r="Q902" s="51"/>
      <c r="R902" s="51"/>
      <c r="S902" s="51"/>
      <c r="T902" s="51"/>
      <c r="U902" s="51"/>
      <c r="V902" s="51"/>
      <c r="W902" s="51"/>
      <c r="X902" s="51"/>
      <c r="Y902" s="51"/>
      <c r="Z902" s="51"/>
      <c r="AA902" s="51"/>
      <c r="AB902" s="51"/>
    </row>
    <row r="903" customFormat="false" ht="15.75" hidden="false" customHeight="false" outlineLevel="0" collapsed="false">
      <c r="A903" s="51"/>
      <c r="B903" s="51"/>
      <c r="C903" s="6"/>
      <c r="D903" s="49"/>
      <c r="E903" s="51"/>
      <c r="F903" s="6"/>
      <c r="G903" s="6"/>
      <c r="H903" s="6"/>
      <c r="I903" s="6"/>
      <c r="J903" s="6"/>
      <c r="K903" s="51"/>
      <c r="L903" s="51"/>
      <c r="M903" s="51"/>
      <c r="N903" s="51"/>
      <c r="O903" s="51"/>
      <c r="P903" s="51"/>
      <c r="Q903" s="51"/>
      <c r="R903" s="51"/>
      <c r="S903" s="51"/>
      <c r="T903" s="51"/>
      <c r="U903" s="51"/>
      <c r="V903" s="51"/>
      <c r="W903" s="51"/>
      <c r="X903" s="51"/>
      <c r="Y903" s="51"/>
      <c r="Z903" s="51"/>
      <c r="AA903" s="51"/>
      <c r="AB903" s="51"/>
    </row>
    <row r="904" customFormat="false" ht="15.75" hidden="false" customHeight="false" outlineLevel="0" collapsed="false">
      <c r="A904" s="51"/>
      <c r="B904" s="51"/>
      <c r="C904" s="6"/>
      <c r="D904" s="49"/>
      <c r="E904" s="51"/>
      <c r="F904" s="6"/>
      <c r="G904" s="6"/>
      <c r="H904" s="6"/>
      <c r="I904" s="6"/>
      <c r="J904" s="6"/>
      <c r="K904" s="51"/>
      <c r="L904" s="51"/>
      <c r="M904" s="51"/>
      <c r="N904" s="51"/>
      <c r="O904" s="51"/>
      <c r="P904" s="51"/>
      <c r="Q904" s="51"/>
      <c r="R904" s="51"/>
      <c r="S904" s="51"/>
      <c r="T904" s="51"/>
      <c r="U904" s="51"/>
      <c r="V904" s="51"/>
      <c r="W904" s="51"/>
      <c r="X904" s="51"/>
      <c r="Y904" s="51"/>
      <c r="Z904" s="51"/>
      <c r="AA904" s="51"/>
      <c r="AB904" s="51"/>
    </row>
    <row r="905" customFormat="false" ht="15.75" hidden="false" customHeight="false" outlineLevel="0" collapsed="false">
      <c r="A905" s="51"/>
      <c r="B905" s="51"/>
      <c r="C905" s="6"/>
      <c r="D905" s="49"/>
      <c r="E905" s="51"/>
      <c r="F905" s="6"/>
      <c r="G905" s="6"/>
      <c r="H905" s="6"/>
      <c r="I905" s="6"/>
      <c r="J905" s="6"/>
      <c r="K905" s="51"/>
      <c r="L905" s="51"/>
      <c r="M905" s="51"/>
      <c r="N905" s="51"/>
      <c r="O905" s="51"/>
      <c r="P905" s="51"/>
      <c r="Q905" s="51"/>
      <c r="R905" s="51"/>
      <c r="S905" s="51"/>
      <c r="T905" s="51"/>
      <c r="U905" s="51"/>
      <c r="V905" s="51"/>
      <c r="W905" s="51"/>
      <c r="X905" s="51"/>
      <c r="Y905" s="51"/>
      <c r="Z905" s="51"/>
      <c r="AA905" s="51"/>
      <c r="AB905" s="51"/>
    </row>
    <row r="906" customFormat="false" ht="15.75" hidden="false" customHeight="false" outlineLevel="0" collapsed="false">
      <c r="A906" s="51"/>
      <c r="B906" s="51"/>
      <c r="C906" s="6"/>
      <c r="D906" s="49"/>
      <c r="E906" s="51"/>
      <c r="F906" s="6"/>
      <c r="G906" s="6"/>
      <c r="H906" s="6"/>
      <c r="I906" s="6"/>
      <c r="J906" s="6"/>
      <c r="K906" s="51"/>
      <c r="L906" s="51"/>
      <c r="M906" s="51"/>
      <c r="N906" s="51"/>
      <c r="O906" s="51"/>
      <c r="P906" s="51"/>
      <c r="Q906" s="51"/>
      <c r="R906" s="51"/>
      <c r="S906" s="51"/>
      <c r="T906" s="51"/>
      <c r="U906" s="51"/>
      <c r="V906" s="51"/>
      <c r="W906" s="51"/>
      <c r="X906" s="51"/>
      <c r="Y906" s="51"/>
      <c r="Z906" s="51"/>
      <c r="AA906" s="51"/>
      <c r="AB906" s="51"/>
    </row>
    <row r="907" customFormat="false" ht="15.75" hidden="false" customHeight="false" outlineLevel="0" collapsed="false">
      <c r="A907" s="51"/>
      <c r="B907" s="51"/>
      <c r="C907" s="6"/>
      <c r="D907" s="49"/>
      <c r="E907" s="51"/>
      <c r="F907" s="6"/>
      <c r="G907" s="6"/>
      <c r="H907" s="6"/>
      <c r="I907" s="6"/>
      <c r="J907" s="6"/>
      <c r="K907" s="51"/>
      <c r="L907" s="51"/>
      <c r="M907" s="51"/>
      <c r="N907" s="51"/>
      <c r="O907" s="51"/>
      <c r="P907" s="51"/>
      <c r="Q907" s="51"/>
      <c r="R907" s="51"/>
      <c r="S907" s="51"/>
      <c r="T907" s="51"/>
      <c r="U907" s="51"/>
      <c r="V907" s="51"/>
      <c r="W907" s="51"/>
      <c r="X907" s="51"/>
      <c r="Y907" s="51"/>
      <c r="Z907" s="51"/>
      <c r="AA907" s="51"/>
      <c r="AB907" s="51"/>
    </row>
    <row r="908" customFormat="false" ht="15.75" hidden="false" customHeight="false" outlineLevel="0" collapsed="false">
      <c r="A908" s="51"/>
      <c r="B908" s="51"/>
      <c r="C908" s="6"/>
      <c r="D908" s="49"/>
      <c r="E908" s="51"/>
      <c r="F908" s="6"/>
      <c r="G908" s="6"/>
      <c r="H908" s="6"/>
      <c r="I908" s="6"/>
      <c r="J908" s="6"/>
      <c r="K908" s="51"/>
      <c r="L908" s="51"/>
      <c r="M908" s="51"/>
      <c r="N908" s="51"/>
      <c r="O908" s="51"/>
      <c r="P908" s="51"/>
      <c r="Q908" s="51"/>
      <c r="R908" s="51"/>
      <c r="S908" s="51"/>
      <c r="T908" s="51"/>
      <c r="U908" s="51"/>
      <c r="V908" s="51"/>
      <c r="W908" s="51"/>
      <c r="X908" s="51"/>
      <c r="Y908" s="51"/>
      <c r="Z908" s="51"/>
      <c r="AA908" s="51"/>
      <c r="AB908" s="51"/>
    </row>
    <row r="909" customFormat="false" ht="15.75" hidden="false" customHeight="false" outlineLevel="0" collapsed="false">
      <c r="A909" s="51"/>
      <c r="B909" s="51"/>
      <c r="C909" s="6"/>
      <c r="D909" s="49"/>
      <c r="E909" s="51"/>
      <c r="F909" s="6"/>
      <c r="G909" s="6"/>
      <c r="H909" s="6"/>
      <c r="I909" s="6"/>
      <c r="J909" s="6"/>
      <c r="K909" s="51"/>
      <c r="L909" s="51"/>
      <c r="M909" s="51"/>
      <c r="N909" s="51"/>
      <c r="O909" s="51"/>
      <c r="P909" s="51"/>
      <c r="Q909" s="51"/>
      <c r="R909" s="51"/>
      <c r="S909" s="51"/>
      <c r="T909" s="51"/>
      <c r="U909" s="51"/>
      <c r="V909" s="51"/>
      <c r="W909" s="51"/>
      <c r="X909" s="51"/>
      <c r="Y909" s="51"/>
      <c r="Z909" s="51"/>
      <c r="AA909" s="51"/>
      <c r="AB909" s="51"/>
    </row>
    <row r="910" customFormat="false" ht="15.75" hidden="false" customHeight="false" outlineLevel="0" collapsed="false">
      <c r="A910" s="51"/>
      <c r="B910" s="51"/>
      <c r="C910" s="6"/>
      <c r="D910" s="49"/>
      <c r="E910" s="51"/>
      <c r="F910" s="6"/>
      <c r="G910" s="6"/>
      <c r="H910" s="6"/>
      <c r="I910" s="6"/>
      <c r="J910" s="6"/>
      <c r="K910" s="51"/>
      <c r="L910" s="51"/>
      <c r="M910" s="51"/>
      <c r="N910" s="51"/>
      <c r="O910" s="51"/>
      <c r="P910" s="51"/>
      <c r="Q910" s="51"/>
      <c r="R910" s="51"/>
      <c r="S910" s="51"/>
      <c r="T910" s="51"/>
      <c r="U910" s="51"/>
      <c r="V910" s="51"/>
      <c r="W910" s="51"/>
      <c r="X910" s="51"/>
      <c r="Y910" s="51"/>
      <c r="Z910" s="51"/>
      <c r="AA910" s="51"/>
      <c r="AB910" s="51"/>
    </row>
    <row r="911" customFormat="false" ht="15.75" hidden="false" customHeight="false" outlineLevel="0" collapsed="false">
      <c r="A911" s="51"/>
      <c r="B911" s="51"/>
      <c r="C911" s="6"/>
      <c r="D911" s="49"/>
      <c r="E911" s="51"/>
      <c r="F911" s="6"/>
      <c r="G911" s="6"/>
      <c r="H911" s="6"/>
      <c r="I911" s="6"/>
      <c r="J911" s="6"/>
      <c r="K911" s="51"/>
      <c r="L911" s="51"/>
      <c r="M911" s="51"/>
      <c r="N911" s="51"/>
      <c r="O911" s="51"/>
      <c r="P911" s="51"/>
      <c r="Q911" s="51"/>
      <c r="R911" s="51"/>
      <c r="S911" s="51"/>
      <c r="T911" s="51"/>
      <c r="U911" s="51"/>
      <c r="V911" s="51"/>
      <c r="W911" s="51"/>
      <c r="X911" s="51"/>
      <c r="Y911" s="51"/>
      <c r="Z911" s="51"/>
      <c r="AA911" s="51"/>
      <c r="AB911" s="51"/>
    </row>
    <row r="912" customFormat="false" ht="15.75" hidden="false" customHeight="false" outlineLevel="0" collapsed="false">
      <c r="A912" s="51"/>
      <c r="B912" s="51"/>
      <c r="C912" s="6"/>
      <c r="D912" s="49"/>
      <c r="E912" s="51"/>
      <c r="F912" s="6"/>
      <c r="G912" s="6"/>
      <c r="H912" s="6"/>
      <c r="I912" s="6"/>
      <c r="J912" s="6"/>
      <c r="K912" s="51"/>
      <c r="L912" s="51"/>
      <c r="M912" s="51"/>
      <c r="N912" s="51"/>
      <c r="O912" s="51"/>
      <c r="P912" s="51"/>
      <c r="Q912" s="51"/>
      <c r="R912" s="51"/>
      <c r="S912" s="51"/>
      <c r="T912" s="51"/>
      <c r="U912" s="51"/>
      <c r="V912" s="51"/>
      <c r="W912" s="51"/>
      <c r="X912" s="51"/>
      <c r="Y912" s="51"/>
      <c r="Z912" s="51"/>
      <c r="AA912" s="51"/>
      <c r="AB912" s="51"/>
    </row>
    <row r="913" customFormat="false" ht="15.75" hidden="false" customHeight="false" outlineLevel="0" collapsed="false">
      <c r="A913" s="51"/>
      <c r="B913" s="51"/>
      <c r="C913" s="6"/>
      <c r="D913" s="49"/>
      <c r="E913" s="51"/>
      <c r="F913" s="6"/>
      <c r="G913" s="6"/>
      <c r="H913" s="6"/>
      <c r="I913" s="6"/>
      <c r="J913" s="6"/>
      <c r="K913" s="51"/>
      <c r="L913" s="51"/>
      <c r="M913" s="51"/>
      <c r="N913" s="51"/>
      <c r="O913" s="51"/>
      <c r="P913" s="51"/>
      <c r="Q913" s="51"/>
      <c r="R913" s="51"/>
      <c r="S913" s="51"/>
      <c r="T913" s="51"/>
      <c r="U913" s="51"/>
      <c r="V913" s="51"/>
      <c r="W913" s="51"/>
      <c r="X913" s="51"/>
      <c r="Y913" s="51"/>
      <c r="Z913" s="51"/>
      <c r="AA913" s="51"/>
      <c r="AB913" s="51"/>
    </row>
    <row r="914" customFormat="false" ht="15.75" hidden="false" customHeight="false" outlineLevel="0" collapsed="false">
      <c r="A914" s="51"/>
      <c r="B914" s="51"/>
      <c r="C914" s="6"/>
      <c r="D914" s="49"/>
      <c r="E914" s="51"/>
      <c r="F914" s="6"/>
      <c r="G914" s="6"/>
      <c r="H914" s="6"/>
      <c r="I914" s="6"/>
      <c r="J914" s="6"/>
      <c r="K914" s="51"/>
      <c r="L914" s="51"/>
      <c r="M914" s="51"/>
      <c r="N914" s="51"/>
      <c r="O914" s="51"/>
      <c r="P914" s="51"/>
      <c r="Q914" s="51"/>
      <c r="R914" s="51"/>
      <c r="S914" s="51"/>
      <c r="T914" s="51"/>
      <c r="U914" s="51"/>
      <c r="V914" s="51"/>
      <c r="W914" s="51"/>
      <c r="X914" s="51"/>
      <c r="Y914" s="51"/>
      <c r="Z914" s="51"/>
      <c r="AA914" s="51"/>
      <c r="AB914" s="51"/>
    </row>
    <row r="915" customFormat="false" ht="15.75" hidden="false" customHeight="false" outlineLevel="0" collapsed="false">
      <c r="A915" s="51"/>
      <c r="B915" s="51"/>
      <c r="C915" s="6"/>
      <c r="D915" s="49"/>
      <c r="E915" s="51"/>
      <c r="F915" s="6"/>
      <c r="G915" s="6"/>
      <c r="H915" s="6"/>
      <c r="I915" s="6"/>
      <c r="J915" s="6"/>
      <c r="K915" s="51"/>
      <c r="L915" s="51"/>
      <c r="M915" s="51"/>
      <c r="N915" s="51"/>
      <c r="O915" s="51"/>
      <c r="P915" s="51"/>
      <c r="Q915" s="51"/>
      <c r="R915" s="51"/>
      <c r="S915" s="51"/>
      <c r="T915" s="51"/>
      <c r="U915" s="51"/>
      <c r="V915" s="51"/>
      <c r="W915" s="51"/>
      <c r="X915" s="51"/>
      <c r="Y915" s="51"/>
      <c r="Z915" s="51"/>
      <c r="AA915" s="51"/>
      <c r="AB915" s="51"/>
    </row>
    <row r="916" customFormat="false" ht="15.75" hidden="false" customHeight="false" outlineLevel="0" collapsed="false">
      <c r="A916" s="51"/>
      <c r="B916" s="51"/>
      <c r="C916" s="6"/>
      <c r="D916" s="49"/>
      <c r="E916" s="51"/>
      <c r="F916" s="6"/>
      <c r="G916" s="6"/>
      <c r="H916" s="6"/>
      <c r="I916" s="6"/>
      <c r="J916" s="6"/>
      <c r="K916" s="51"/>
      <c r="L916" s="51"/>
      <c r="M916" s="51"/>
      <c r="N916" s="51"/>
      <c r="O916" s="51"/>
      <c r="P916" s="51"/>
      <c r="Q916" s="51"/>
      <c r="R916" s="51"/>
      <c r="S916" s="51"/>
      <c r="T916" s="51"/>
      <c r="U916" s="51"/>
      <c r="V916" s="51"/>
      <c r="W916" s="51"/>
      <c r="X916" s="51"/>
      <c r="Y916" s="51"/>
      <c r="Z916" s="51"/>
      <c r="AA916" s="51"/>
      <c r="AB916" s="51"/>
    </row>
    <row r="917" customFormat="false" ht="15.75" hidden="false" customHeight="false" outlineLevel="0" collapsed="false">
      <c r="A917" s="51"/>
      <c r="B917" s="51"/>
      <c r="C917" s="6"/>
      <c r="D917" s="49"/>
      <c r="E917" s="51"/>
      <c r="F917" s="6"/>
      <c r="G917" s="6"/>
      <c r="H917" s="6"/>
      <c r="I917" s="6"/>
      <c r="J917" s="6"/>
      <c r="K917" s="51"/>
      <c r="L917" s="51"/>
      <c r="M917" s="51"/>
      <c r="N917" s="51"/>
      <c r="O917" s="51"/>
      <c r="P917" s="51"/>
      <c r="Q917" s="51"/>
      <c r="R917" s="51"/>
      <c r="S917" s="51"/>
      <c r="T917" s="51"/>
      <c r="U917" s="51"/>
      <c r="V917" s="51"/>
      <c r="W917" s="51"/>
      <c r="X917" s="51"/>
      <c r="Y917" s="51"/>
      <c r="Z917" s="51"/>
      <c r="AA917" s="51"/>
      <c r="AB917" s="51"/>
    </row>
    <row r="918" customFormat="false" ht="15.75" hidden="false" customHeight="false" outlineLevel="0" collapsed="false">
      <c r="A918" s="51"/>
      <c r="B918" s="51"/>
      <c r="C918" s="6"/>
      <c r="D918" s="49"/>
      <c r="E918" s="51"/>
      <c r="F918" s="6"/>
      <c r="G918" s="6"/>
      <c r="H918" s="6"/>
      <c r="I918" s="6"/>
      <c r="J918" s="6"/>
      <c r="K918" s="51"/>
      <c r="L918" s="51"/>
      <c r="M918" s="51"/>
      <c r="N918" s="51"/>
      <c r="O918" s="51"/>
      <c r="P918" s="51"/>
      <c r="Q918" s="51"/>
      <c r="R918" s="51"/>
      <c r="S918" s="51"/>
      <c r="T918" s="51"/>
      <c r="U918" s="51"/>
      <c r="V918" s="51"/>
      <c r="W918" s="51"/>
      <c r="X918" s="51"/>
      <c r="Y918" s="51"/>
      <c r="Z918" s="51"/>
      <c r="AA918" s="51"/>
      <c r="AB918" s="51"/>
    </row>
    <row r="919" customFormat="false" ht="15.75" hidden="false" customHeight="false" outlineLevel="0" collapsed="false">
      <c r="A919" s="51"/>
      <c r="B919" s="51"/>
      <c r="C919" s="6"/>
      <c r="D919" s="49"/>
      <c r="E919" s="51"/>
      <c r="F919" s="6"/>
      <c r="G919" s="6"/>
      <c r="H919" s="6"/>
      <c r="I919" s="6"/>
      <c r="J919" s="6"/>
      <c r="K919" s="51"/>
      <c r="L919" s="51"/>
      <c r="M919" s="51"/>
      <c r="N919" s="51"/>
      <c r="O919" s="51"/>
      <c r="P919" s="51"/>
      <c r="Q919" s="51"/>
      <c r="R919" s="51"/>
      <c r="S919" s="51"/>
      <c r="T919" s="51"/>
      <c r="U919" s="51"/>
      <c r="V919" s="51"/>
      <c r="W919" s="51"/>
      <c r="X919" s="51"/>
      <c r="Y919" s="51"/>
      <c r="Z919" s="51"/>
      <c r="AA919" s="51"/>
      <c r="AB919" s="51"/>
    </row>
    <row r="920" customFormat="false" ht="15.75" hidden="false" customHeight="false" outlineLevel="0" collapsed="false">
      <c r="A920" s="51"/>
      <c r="B920" s="51"/>
      <c r="C920" s="6"/>
      <c r="D920" s="49"/>
      <c r="E920" s="51"/>
      <c r="F920" s="6"/>
      <c r="G920" s="6"/>
      <c r="H920" s="6"/>
      <c r="I920" s="6"/>
      <c r="J920" s="6"/>
      <c r="K920" s="51"/>
      <c r="L920" s="51"/>
      <c r="M920" s="51"/>
      <c r="N920" s="51"/>
      <c r="O920" s="51"/>
      <c r="P920" s="51"/>
      <c r="Q920" s="51"/>
      <c r="R920" s="51"/>
      <c r="S920" s="51"/>
      <c r="T920" s="51"/>
      <c r="U920" s="51"/>
      <c r="V920" s="51"/>
      <c r="W920" s="51"/>
      <c r="X920" s="51"/>
      <c r="Y920" s="51"/>
      <c r="Z920" s="51"/>
      <c r="AA920" s="51"/>
      <c r="AB920" s="51"/>
    </row>
    <row r="921" customFormat="false" ht="15.75" hidden="false" customHeight="false" outlineLevel="0" collapsed="false">
      <c r="A921" s="51"/>
      <c r="B921" s="51"/>
      <c r="C921" s="6"/>
      <c r="D921" s="49"/>
      <c r="E921" s="51"/>
      <c r="F921" s="6"/>
      <c r="G921" s="6"/>
      <c r="H921" s="6"/>
      <c r="I921" s="6"/>
      <c r="J921" s="6"/>
      <c r="K921" s="51"/>
      <c r="L921" s="51"/>
      <c r="M921" s="51"/>
      <c r="N921" s="51"/>
      <c r="O921" s="51"/>
      <c r="P921" s="51"/>
      <c r="Q921" s="51"/>
      <c r="R921" s="51"/>
      <c r="S921" s="51"/>
      <c r="T921" s="51"/>
      <c r="U921" s="51"/>
      <c r="V921" s="51"/>
      <c r="W921" s="51"/>
      <c r="X921" s="51"/>
      <c r="Y921" s="51"/>
      <c r="Z921" s="51"/>
      <c r="AA921" s="51"/>
      <c r="AB921" s="51"/>
    </row>
    <row r="922" customFormat="false" ht="15.75" hidden="false" customHeight="false" outlineLevel="0" collapsed="false">
      <c r="A922" s="51"/>
      <c r="B922" s="51"/>
      <c r="C922" s="6"/>
      <c r="D922" s="49"/>
      <c r="E922" s="51"/>
      <c r="F922" s="6"/>
      <c r="G922" s="6"/>
      <c r="H922" s="6"/>
      <c r="I922" s="6"/>
      <c r="J922" s="6"/>
      <c r="K922" s="51"/>
      <c r="L922" s="51"/>
      <c r="M922" s="51"/>
      <c r="N922" s="51"/>
      <c r="O922" s="51"/>
      <c r="P922" s="51"/>
      <c r="Q922" s="51"/>
      <c r="R922" s="51"/>
      <c r="S922" s="51"/>
      <c r="T922" s="51"/>
      <c r="U922" s="51"/>
      <c r="V922" s="51"/>
      <c r="W922" s="51"/>
      <c r="X922" s="51"/>
      <c r="Y922" s="51"/>
      <c r="Z922" s="51"/>
      <c r="AA922" s="51"/>
      <c r="AB922" s="51"/>
    </row>
    <row r="923" customFormat="false" ht="15.75" hidden="false" customHeight="false" outlineLevel="0" collapsed="false">
      <c r="A923" s="51"/>
      <c r="B923" s="51"/>
      <c r="C923" s="6"/>
      <c r="D923" s="49"/>
      <c r="E923" s="51"/>
      <c r="F923" s="6"/>
      <c r="G923" s="6"/>
      <c r="H923" s="6"/>
      <c r="I923" s="6"/>
      <c r="J923" s="6"/>
      <c r="K923" s="51"/>
      <c r="L923" s="51"/>
      <c r="M923" s="51"/>
      <c r="N923" s="51"/>
      <c r="O923" s="51"/>
      <c r="P923" s="51"/>
      <c r="Q923" s="51"/>
      <c r="R923" s="51"/>
      <c r="S923" s="51"/>
      <c r="T923" s="51"/>
      <c r="U923" s="51"/>
      <c r="V923" s="51"/>
      <c r="W923" s="51"/>
      <c r="X923" s="51"/>
      <c r="Y923" s="51"/>
      <c r="Z923" s="51"/>
      <c r="AA923" s="51"/>
      <c r="AB923" s="51"/>
    </row>
    <row r="924" customFormat="false" ht="15.75" hidden="false" customHeight="false" outlineLevel="0" collapsed="false">
      <c r="A924" s="51"/>
      <c r="B924" s="51"/>
      <c r="C924" s="6"/>
      <c r="D924" s="49"/>
      <c r="E924" s="51"/>
      <c r="F924" s="6"/>
      <c r="G924" s="6"/>
      <c r="H924" s="6"/>
      <c r="I924" s="6"/>
      <c r="J924" s="6"/>
      <c r="K924" s="51"/>
      <c r="L924" s="51"/>
      <c r="M924" s="51"/>
      <c r="N924" s="51"/>
      <c r="O924" s="51"/>
      <c r="P924" s="51"/>
      <c r="Q924" s="51"/>
      <c r="R924" s="51"/>
      <c r="S924" s="51"/>
      <c r="T924" s="51"/>
      <c r="U924" s="51"/>
      <c r="V924" s="51"/>
      <c r="W924" s="51"/>
      <c r="X924" s="51"/>
      <c r="Y924" s="51"/>
      <c r="Z924" s="51"/>
      <c r="AA924" s="51"/>
      <c r="AB924" s="51"/>
    </row>
    <row r="925" customFormat="false" ht="15.75" hidden="false" customHeight="false" outlineLevel="0" collapsed="false">
      <c r="A925" s="51"/>
      <c r="B925" s="51"/>
      <c r="C925" s="6"/>
      <c r="D925" s="49"/>
      <c r="E925" s="51"/>
      <c r="F925" s="6"/>
      <c r="G925" s="6"/>
      <c r="H925" s="6"/>
      <c r="I925" s="6"/>
      <c r="J925" s="6"/>
      <c r="K925" s="51"/>
      <c r="L925" s="51"/>
      <c r="M925" s="51"/>
      <c r="N925" s="51"/>
      <c r="O925" s="51"/>
      <c r="P925" s="51"/>
      <c r="Q925" s="51"/>
      <c r="R925" s="51"/>
      <c r="S925" s="51"/>
      <c r="T925" s="51"/>
      <c r="U925" s="51"/>
      <c r="V925" s="51"/>
      <c r="W925" s="51"/>
      <c r="X925" s="51"/>
      <c r="Y925" s="51"/>
      <c r="Z925" s="51"/>
      <c r="AA925" s="51"/>
      <c r="AB925" s="51"/>
    </row>
    <row r="926" customFormat="false" ht="15.75" hidden="false" customHeight="false" outlineLevel="0" collapsed="false">
      <c r="A926" s="51"/>
      <c r="B926" s="51"/>
      <c r="C926" s="6"/>
      <c r="D926" s="49"/>
      <c r="E926" s="51"/>
      <c r="F926" s="6"/>
      <c r="G926" s="6"/>
      <c r="H926" s="6"/>
      <c r="I926" s="6"/>
      <c r="J926" s="6"/>
      <c r="K926" s="51"/>
      <c r="L926" s="51"/>
      <c r="M926" s="51"/>
      <c r="N926" s="51"/>
      <c r="O926" s="51"/>
      <c r="P926" s="51"/>
      <c r="Q926" s="51"/>
      <c r="R926" s="51"/>
      <c r="S926" s="51"/>
      <c r="T926" s="51"/>
      <c r="U926" s="51"/>
      <c r="V926" s="51"/>
      <c r="W926" s="51"/>
      <c r="X926" s="51"/>
      <c r="Y926" s="51"/>
      <c r="Z926" s="51"/>
      <c r="AA926" s="51"/>
      <c r="AB926" s="51"/>
    </row>
    <row r="927" customFormat="false" ht="15.75" hidden="false" customHeight="false" outlineLevel="0" collapsed="false">
      <c r="A927" s="51"/>
      <c r="B927" s="51"/>
      <c r="C927" s="6"/>
      <c r="D927" s="49"/>
      <c r="E927" s="51"/>
      <c r="F927" s="6"/>
      <c r="G927" s="6"/>
      <c r="H927" s="6"/>
      <c r="I927" s="6"/>
      <c r="J927" s="6"/>
      <c r="K927" s="51"/>
      <c r="L927" s="51"/>
      <c r="M927" s="51"/>
      <c r="N927" s="51"/>
      <c r="O927" s="51"/>
      <c r="P927" s="51"/>
      <c r="Q927" s="51"/>
      <c r="R927" s="51"/>
      <c r="S927" s="51"/>
      <c r="T927" s="51"/>
      <c r="U927" s="51"/>
      <c r="V927" s="51"/>
      <c r="W927" s="51"/>
      <c r="X927" s="51"/>
      <c r="Y927" s="51"/>
      <c r="Z927" s="51"/>
      <c r="AA927" s="51"/>
      <c r="AB927" s="51"/>
    </row>
    <row r="928" customFormat="false" ht="15.75" hidden="false" customHeight="false" outlineLevel="0" collapsed="false">
      <c r="A928" s="51"/>
      <c r="B928" s="51"/>
      <c r="C928" s="6"/>
      <c r="D928" s="49"/>
      <c r="E928" s="51"/>
      <c r="F928" s="6"/>
      <c r="G928" s="6"/>
      <c r="H928" s="6"/>
      <c r="I928" s="6"/>
      <c r="J928" s="6"/>
      <c r="K928" s="51"/>
      <c r="L928" s="51"/>
      <c r="M928" s="51"/>
      <c r="N928" s="51"/>
      <c r="O928" s="51"/>
      <c r="P928" s="51"/>
      <c r="Q928" s="51"/>
      <c r="R928" s="51"/>
      <c r="S928" s="51"/>
      <c r="T928" s="51"/>
      <c r="U928" s="51"/>
      <c r="V928" s="51"/>
      <c r="W928" s="51"/>
      <c r="X928" s="51"/>
      <c r="Y928" s="51"/>
      <c r="Z928" s="51"/>
      <c r="AA928" s="51"/>
      <c r="AB928" s="51"/>
    </row>
    <row r="929" customFormat="false" ht="15.75" hidden="false" customHeight="false" outlineLevel="0" collapsed="false">
      <c r="A929" s="51"/>
      <c r="B929" s="51"/>
      <c r="C929" s="6"/>
      <c r="D929" s="49"/>
      <c r="E929" s="51"/>
      <c r="F929" s="6"/>
      <c r="G929" s="6"/>
      <c r="H929" s="6"/>
      <c r="I929" s="6"/>
      <c r="J929" s="6"/>
      <c r="K929" s="51"/>
      <c r="L929" s="51"/>
      <c r="M929" s="51"/>
      <c r="N929" s="51"/>
      <c r="O929" s="51"/>
      <c r="P929" s="51"/>
      <c r="Q929" s="51"/>
      <c r="R929" s="51"/>
      <c r="S929" s="51"/>
      <c r="T929" s="51"/>
      <c r="U929" s="51"/>
      <c r="V929" s="51"/>
      <c r="W929" s="51"/>
      <c r="X929" s="51"/>
      <c r="Y929" s="51"/>
      <c r="Z929" s="51"/>
      <c r="AA929" s="51"/>
      <c r="AB929" s="51"/>
    </row>
    <row r="930" customFormat="false" ht="15.75" hidden="false" customHeight="false" outlineLevel="0" collapsed="false">
      <c r="A930" s="51"/>
      <c r="B930" s="51"/>
      <c r="C930" s="6"/>
      <c r="D930" s="49"/>
      <c r="E930" s="51"/>
      <c r="F930" s="6"/>
      <c r="G930" s="6"/>
      <c r="H930" s="6"/>
      <c r="I930" s="6"/>
      <c r="J930" s="6"/>
      <c r="K930" s="51"/>
      <c r="L930" s="51"/>
      <c r="M930" s="51"/>
      <c r="N930" s="51"/>
      <c r="O930" s="51"/>
      <c r="P930" s="51"/>
      <c r="Q930" s="51"/>
      <c r="R930" s="51"/>
      <c r="S930" s="51"/>
      <c r="T930" s="51"/>
      <c r="U930" s="51"/>
      <c r="V930" s="51"/>
      <c r="W930" s="51"/>
      <c r="X930" s="51"/>
      <c r="Y930" s="51"/>
      <c r="Z930" s="51"/>
      <c r="AA930" s="51"/>
      <c r="AB930" s="51"/>
    </row>
    <row r="931" customFormat="false" ht="15.75" hidden="false" customHeight="false" outlineLevel="0" collapsed="false">
      <c r="A931" s="51"/>
      <c r="B931" s="51"/>
      <c r="C931" s="6"/>
      <c r="D931" s="49"/>
      <c r="E931" s="51"/>
      <c r="F931" s="6"/>
      <c r="G931" s="6"/>
      <c r="H931" s="6"/>
      <c r="I931" s="6"/>
      <c r="J931" s="6"/>
      <c r="K931" s="51"/>
      <c r="L931" s="51"/>
      <c r="M931" s="51"/>
      <c r="N931" s="51"/>
      <c r="O931" s="51"/>
      <c r="P931" s="51"/>
      <c r="Q931" s="51"/>
      <c r="R931" s="51"/>
      <c r="S931" s="51"/>
      <c r="T931" s="51"/>
      <c r="U931" s="51"/>
      <c r="V931" s="51"/>
      <c r="W931" s="51"/>
      <c r="X931" s="51"/>
      <c r="Y931" s="51"/>
      <c r="Z931" s="51"/>
      <c r="AA931" s="51"/>
      <c r="AB931" s="51"/>
    </row>
    <row r="932" customFormat="false" ht="15.75" hidden="false" customHeight="false" outlineLevel="0" collapsed="false">
      <c r="A932" s="51"/>
      <c r="B932" s="51"/>
      <c r="C932" s="6"/>
      <c r="D932" s="49"/>
      <c r="E932" s="51"/>
      <c r="F932" s="6"/>
      <c r="G932" s="6"/>
      <c r="H932" s="6"/>
      <c r="I932" s="6"/>
      <c r="J932" s="6"/>
      <c r="K932" s="51"/>
      <c r="L932" s="51"/>
      <c r="M932" s="51"/>
      <c r="N932" s="51"/>
      <c r="O932" s="51"/>
      <c r="P932" s="51"/>
      <c r="Q932" s="51"/>
      <c r="R932" s="51"/>
      <c r="S932" s="51"/>
      <c r="T932" s="51"/>
      <c r="U932" s="51"/>
      <c r="V932" s="51"/>
      <c r="W932" s="51"/>
      <c r="X932" s="51"/>
      <c r="Y932" s="51"/>
      <c r="Z932" s="51"/>
      <c r="AA932" s="51"/>
      <c r="AB932" s="51"/>
    </row>
    <row r="933" customFormat="false" ht="15.75" hidden="false" customHeight="false" outlineLevel="0" collapsed="false">
      <c r="A933" s="51"/>
      <c r="B933" s="51"/>
      <c r="C933" s="6"/>
      <c r="D933" s="49"/>
      <c r="E933" s="51"/>
      <c r="F933" s="6"/>
      <c r="G933" s="6"/>
      <c r="H933" s="6"/>
      <c r="I933" s="6"/>
      <c r="J933" s="6"/>
      <c r="K933" s="51"/>
      <c r="L933" s="51"/>
      <c r="M933" s="51"/>
      <c r="N933" s="51"/>
      <c r="O933" s="51"/>
      <c r="P933" s="51"/>
      <c r="Q933" s="51"/>
      <c r="R933" s="51"/>
      <c r="S933" s="51"/>
      <c r="T933" s="51"/>
      <c r="U933" s="51"/>
      <c r="V933" s="51"/>
      <c r="W933" s="51"/>
      <c r="X933" s="51"/>
      <c r="Y933" s="51"/>
      <c r="Z933" s="51"/>
      <c r="AA933" s="51"/>
      <c r="AB933" s="51"/>
    </row>
    <row r="934" customFormat="false" ht="15.75" hidden="false" customHeight="false" outlineLevel="0" collapsed="false">
      <c r="A934" s="51"/>
      <c r="B934" s="51"/>
      <c r="C934" s="6"/>
      <c r="D934" s="49"/>
      <c r="E934" s="51"/>
      <c r="F934" s="6"/>
      <c r="G934" s="6"/>
      <c r="H934" s="6"/>
      <c r="I934" s="6"/>
      <c r="J934" s="6"/>
      <c r="K934" s="51"/>
      <c r="L934" s="51"/>
      <c r="M934" s="51"/>
      <c r="N934" s="51"/>
      <c r="O934" s="51"/>
      <c r="P934" s="51"/>
      <c r="Q934" s="51"/>
      <c r="R934" s="51"/>
      <c r="S934" s="51"/>
      <c r="T934" s="51"/>
      <c r="U934" s="51"/>
      <c r="V934" s="51"/>
      <c r="W934" s="51"/>
      <c r="X934" s="51"/>
      <c r="Y934" s="51"/>
      <c r="Z934" s="51"/>
      <c r="AA934" s="51"/>
      <c r="AB934" s="51"/>
    </row>
    <row r="935" customFormat="false" ht="15.75" hidden="false" customHeight="false" outlineLevel="0" collapsed="false">
      <c r="A935" s="51"/>
      <c r="B935" s="51"/>
      <c r="C935" s="6"/>
      <c r="D935" s="49"/>
      <c r="E935" s="51"/>
      <c r="F935" s="6"/>
      <c r="G935" s="6"/>
      <c r="H935" s="6"/>
      <c r="I935" s="6"/>
      <c r="J935" s="6"/>
      <c r="K935" s="51"/>
      <c r="L935" s="51"/>
      <c r="M935" s="51"/>
      <c r="N935" s="51"/>
      <c r="O935" s="51"/>
      <c r="P935" s="51"/>
      <c r="Q935" s="51"/>
      <c r="R935" s="51"/>
      <c r="S935" s="51"/>
      <c r="T935" s="51"/>
      <c r="U935" s="51"/>
      <c r="V935" s="51"/>
      <c r="W935" s="51"/>
      <c r="X935" s="51"/>
      <c r="Y935" s="51"/>
      <c r="Z935" s="51"/>
      <c r="AA935" s="51"/>
      <c r="AB935" s="51"/>
    </row>
    <row r="936" customFormat="false" ht="15.75" hidden="false" customHeight="false" outlineLevel="0" collapsed="false">
      <c r="A936" s="51"/>
      <c r="B936" s="51"/>
      <c r="C936" s="6"/>
      <c r="D936" s="49"/>
      <c r="E936" s="51"/>
      <c r="F936" s="6"/>
      <c r="G936" s="6"/>
      <c r="H936" s="6"/>
      <c r="I936" s="6"/>
      <c r="J936" s="6"/>
      <c r="K936" s="51"/>
      <c r="L936" s="51"/>
      <c r="M936" s="51"/>
      <c r="N936" s="51"/>
      <c r="O936" s="51"/>
      <c r="P936" s="51"/>
      <c r="Q936" s="51"/>
      <c r="R936" s="51"/>
      <c r="S936" s="51"/>
      <c r="T936" s="51"/>
      <c r="U936" s="51"/>
      <c r="V936" s="51"/>
      <c r="W936" s="51"/>
      <c r="X936" s="51"/>
      <c r="Y936" s="51"/>
      <c r="Z936" s="51"/>
      <c r="AA936" s="51"/>
      <c r="AB936" s="51"/>
    </row>
    <row r="937" customFormat="false" ht="15.75" hidden="false" customHeight="false" outlineLevel="0" collapsed="false">
      <c r="A937" s="51"/>
      <c r="B937" s="51"/>
      <c r="C937" s="6"/>
      <c r="D937" s="49"/>
      <c r="E937" s="51"/>
      <c r="F937" s="6"/>
      <c r="G937" s="6"/>
      <c r="H937" s="6"/>
      <c r="I937" s="6"/>
      <c r="J937" s="6"/>
      <c r="K937" s="51"/>
      <c r="L937" s="51"/>
      <c r="M937" s="51"/>
      <c r="N937" s="51"/>
      <c r="O937" s="51"/>
      <c r="P937" s="51"/>
      <c r="Q937" s="51"/>
      <c r="R937" s="51"/>
      <c r="S937" s="51"/>
      <c r="T937" s="51"/>
      <c r="U937" s="51"/>
      <c r="V937" s="51"/>
      <c r="W937" s="51"/>
      <c r="X937" s="51"/>
      <c r="Y937" s="51"/>
      <c r="Z937" s="51"/>
      <c r="AA937" s="51"/>
      <c r="AB937" s="51"/>
    </row>
    <row r="938" customFormat="false" ht="15.75" hidden="false" customHeight="false" outlineLevel="0" collapsed="false">
      <c r="A938" s="51"/>
      <c r="B938" s="51"/>
      <c r="C938" s="6"/>
      <c r="D938" s="49"/>
      <c r="E938" s="51"/>
      <c r="F938" s="6"/>
      <c r="G938" s="6"/>
      <c r="H938" s="6"/>
      <c r="I938" s="6"/>
      <c r="J938" s="6"/>
      <c r="K938" s="51"/>
      <c r="L938" s="51"/>
      <c r="M938" s="51"/>
      <c r="N938" s="51"/>
      <c r="O938" s="51"/>
      <c r="P938" s="51"/>
      <c r="Q938" s="51"/>
      <c r="R938" s="51"/>
      <c r="S938" s="51"/>
      <c r="T938" s="51"/>
      <c r="U938" s="51"/>
      <c r="V938" s="51"/>
      <c r="W938" s="51"/>
      <c r="X938" s="51"/>
      <c r="Y938" s="51"/>
      <c r="Z938" s="51"/>
      <c r="AA938" s="51"/>
      <c r="AB938" s="51"/>
    </row>
    <row r="939" customFormat="false" ht="15.75" hidden="false" customHeight="false" outlineLevel="0" collapsed="false">
      <c r="A939" s="51"/>
      <c r="B939" s="51"/>
      <c r="C939" s="6"/>
      <c r="D939" s="49"/>
      <c r="E939" s="51"/>
      <c r="F939" s="6"/>
      <c r="G939" s="6"/>
      <c r="H939" s="6"/>
      <c r="I939" s="6"/>
      <c r="J939" s="6"/>
      <c r="K939" s="51"/>
      <c r="L939" s="51"/>
      <c r="M939" s="51"/>
      <c r="N939" s="51"/>
      <c r="O939" s="51"/>
      <c r="P939" s="51"/>
      <c r="Q939" s="51"/>
      <c r="R939" s="51"/>
      <c r="S939" s="51"/>
      <c r="T939" s="51"/>
      <c r="U939" s="51"/>
      <c r="V939" s="51"/>
      <c r="W939" s="51"/>
      <c r="X939" s="51"/>
      <c r="Y939" s="51"/>
      <c r="Z939" s="51"/>
      <c r="AA939" s="51"/>
      <c r="AB939" s="51"/>
    </row>
    <row r="940" customFormat="false" ht="15.75" hidden="false" customHeight="false" outlineLevel="0" collapsed="false">
      <c r="A940" s="51"/>
      <c r="B940" s="51"/>
      <c r="C940" s="6"/>
      <c r="D940" s="49"/>
      <c r="E940" s="51"/>
      <c r="F940" s="6"/>
      <c r="G940" s="6"/>
      <c r="H940" s="6"/>
      <c r="I940" s="6"/>
      <c r="J940" s="6"/>
      <c r="K940" s="51"/>
      <c r="L940" s="51"/>
      <c r="M940" s="51"/>
      <c r="N940" s="51"/>
      <c r="O940" s="51"/>
      <c r="P940" s="51"/>
      <c r="Q940" s="51"/>
      <c r="R940" s="51"/>
      <c r="S940" s="51"/>
      <c r="T940" s="51"/>
      <c r="U940" s="51"/>
      <c r="V940" s="51"/>
      <c r="W940" s="51"/>
      <c r="X940" s="51"/>
      <c r="Y940" s="51"/>
      <c r="Z940" s="51"/>
      <c r="AA940" s="51"/>
      <c r="AB940" s="51"/>
    </row>
    <row r="941" customFormat="false" ht="15.75" hidden="false" customHeight="false" outlineLevel="0" collapsed="false">
      <c r="A941" s="51"/>
      <c r="B941" s="51"/>
      <c r="C941" s="6"/>
      <c r="D941" s="49"/>
      <c r="E941" s="51"/>
      <c r="F941" s="6"/>
      <c r="G941" s="6"/>
      <c r="H941" s="6"/>
      <c r="I941" s="6"/>
      <c r="J941" s="6"/>
      <c r="K941" s="51"/>
      <c r="L941" s="51"/>
      <c r="M941" s="51"/>
      <c r="N941" s="51"/>
      <c r="O941" s="51"/>
      <c r="P941" s="51"/>
      <c r="Q941" s="51"/>
      <c r="R941" s="51"/>
      <c r="S941" s="51"/>
      <c r="T941" s="51"/>
      <c r="U941" s="51"/>
      <c r="V941" s="51"/>
      <c r="W941" s="51"/>
      <c r="X941" s="51"/>
      <c r="Y941" s="51"/>
      <c r="Z941" s="51"/>
      <c r="AA941" s="51"/>
      <c r="AB941" s="51"/>
    </row>
    <row r="942" customFormat="false" ht="15.75" hidden="false" customHeight="false" outlineLevel="0" collapsed="false">
      <c r="A942" s="51"/>
      <c r="B942" s="51"/>
      <c r="C942" s="6"/>
      <c r="D942" s="49"/>
      <c r="E942" s="51"/>
      <c r="F942" s="6"/>
      <c r="G942" s="6"/>
      <c r="H942" s="6"/>
      <c r="I942" s="6"/>
      <c r="J942" s="6"/>
      <c r="K942" s="51"/>
      <c r="L942" s="51"/>
      <c r="M942" s="51"/>
      <c r="N942" s="51"/>
      <c r="O942" s="51"/>
      <c r="P942" s="51"/>
      <c r="Q942" s="51"/>
      <c r="R942" s="51"/>
      <c r="S942" s="51"/>
      <c r="T942" s="51"/>
      <c r="U942" s="51"/>
      <c r="V942" s="51"/>
      <c r="W942" s="51"/>
      <c r="X942" s="51"/>
      <c r="Y942" s="51"/>
      <c r="Z942" s="51"/>
      <c r="AA942" s="51"/>
      <c r="AB942" s="51"/>
    </row>
    <row r="943" customFormat="false" ht="15.75" hidden="false" customHeight="false" outlineLevel="0" collapsed="false">
      <c r="A943" s="51"/>
      <c r="B943" s="51"/>
      <c r="C943" s="6"/>
      <c r="D943" s="49"/>
      <c r="E943" s="51"/>
      <c r="F943" s="6"/>
      <c r="G943" s="6"/>
      <c r="H943" s="6"/>
      <c r="I943" s="6"/>
      <c r="J943" s="6"/>
      <c r="K943" s="51"/>
      <c r="L943" s="51"/>
      <c r="M943" s="51"/>
      <c r="N943" s="51"/>
      <c r="O943" s="51"/>
      <c r="P943" s="51"/>
      <c r="Q943" s="51"/>
      <c r="R943" s="51"/>
      <c r="S943" s="51"/>
      <c r="T943" s="51"/>
      <c r="U943" s="51"/>
      <c r="V943" s="51"/>
      <c r="W943" s="51"/>
      <c r="X943" s="51"/>
      <c r="Y943" s="51"/>
      <c r="Z943" s="51"/>
      <c r="AA943" s="51"/>
      <c r="AB943" s="51"/>
    </row>
    <row r="944" customFormat="false" ht="15.75" hidden="false" customHeight="false" outlineLevel="0" collapsed="false">
      <c r="A944" s="51"/>
      <c r="B944" s="51"/>
      <c r="C944" s="6"/>
      <c r="D944" s="49"/>
      <c r="E944" s="51"/>
      <c r="F944" s="6"/>
      <c r="G944" s="6"/>
      <c r="H944" s="6"/>
      <c r="I944" s="6"/>
      <c r="J944" s="6"/>
      <c r="K944" s="51"/>
      <c r="L944" s="51"/>
      <c r="M944" s="51"/>
      <c r="N944" s="51"/>
      <c r="O944" s="51"/>
      <c r="P944" s="51"/>
      <c r="Q944" s="51"/>
      <c r="R944" s="51"/>
      <c r="S944" s="51"/>
      <c r="T944" s="51"/>
      <c r="U944" s="51"/>
      <c r="V944" s="51"/>
      <c r="W944" s="51"/>
      <c r="X944" s="51"/>
      <c r="Y944" s="51"/>
      <c r="Z944" s="51"/>
      <c r="AA944" s="51"/>
      <c r="AB944" s="51"/>
    </row>
    <row r="945" customFormat="false" ht="15.75" hidden="false" customHeight="false" outlineLevel="0" collapsed="false">
      <c r="A945" s="51"/>
      <c r="B945" s="51"/>
      <c r="C945" s="6"/>
      <c r="D945" s="49"/>
      <c r="E945" s="51"/>
      <c r="F945" s="6"/>
      <c r="G945" s="6"/>
      <c r="H945" s="6"/>
      <c r="I945" s="6"/>
      <c r="J945" s="6"/>
      <c r="K945" s="51"/>
      <c r="L945" s="51"/>
      <c r="M945" s="51"/>
      <c r="N945" s="51"/>
      <c r="O945" s="51"/>
      <c r="P945" s="51"/>
      <c r="Q945" s="51"/>
      <c r="R945" s="51"/>
      <c r="S945" s="51"/>
      <c r="T945" s="51"/>
      <c r="U945" s="51"/>
      <c r="V945" s="51"/>
      <c r="W945" s="51"/>
      <c r="X945" s="51"/>
      <c r="Y945" s="51"/>
      <c r="Z945" s="51"/>
      <c r="AA945" s="51"/>
      <c r="AB945" s="51"/>
    </row>
    <row r="946" customFormat="false" ht="15.75" hidden="false" customHeight="false" outlineLevel="0" collapsed="false">
      <c r="A946" s="51"/>
      <c r="B946" s="51"/>
      <c r="C946" s="6"/>
      <c r="D946" s="49"/>
      <c r="E946" s="51"/>
      <c r="F946" s="6"/>
      <c r="G946" s="6"/>
      <c r="H946" s="6"/>
      <c r="I946" s="6"/>
      <c r="J946" s="6"/>
      <c r="K946" s="51"/>
      <c r="L946" s="51"/>
      <c r="M946" s="51"/>
      <c r="N946" s="51"/>
      <c r="O946" s="51"/>
      <c r="P946" s="51"/>
      <c r="Q946" s="51"/>
      <c r="R946" s="51"/>
      <c r="S946" s="51"/>
      <c r="T946" s="51"/>
      <c r="U946" s="51"/>
      <c r="V946" s="51"/>
      <c r="W946" s="51"/>
      <c r="X946" s="51"/>
      <c r="Y946" s="51"/>
      <c r="Z946" s="51"/>
      <c r="AA946" s="51"/>
      <c r="AB946" s="51"/>
    </row>
    <row r="947" customFormat="false" ht="15.75" hidden="false" customHeight="false" outlineLevel="0" collapsed="false">
      <c r="A947" s="51"/>
      <c r="B947" s="51"/>
      <c r="C947" s="6"/>
      <c r="D947" s="49"/>
      <c r="E947" s="51"/>
      <c r="F947" s="6"/>
      <c r="G947" s="6"/>
      <c r="H947" s="6"/>
      <c r="I947" s="6"/>
      <c r="J947" s="6"/>
      <c r="K947" s="51"/>
      <c r="L947" s="51"/>
      <c r="M947" s="51"/>
      <c r="N947" s="51"/>
      <c r="O947" s="51"/>
      <c r="P947" s="51"/>
      <c r="Q947" s="51"/>
      <c r="R947" s="51"/>
      <c r="S947" s="51"/>
      <c r="T947" s="51"/>
      <c r="U947" s="51"/>
      <c r="V947" s="51"/>
      <c r="W947" s="51"/>
      <c r="X947" s="51"/>
      <c r="Y947" s="51"/>
      <c r="Z947" s="51"/>
      <c r="AA947" s="51"/>
      <c r="AB947" s="51"/>
    </row>
    <row r="948" customFormat="false" ht="15.75" hidden="false" customHeight="false" outlineLevel="0" collapsed="false">
      <c r="A948" s="51"/>
      <c r="B948" s="51"/>
      <c r="C948" s="6"/>
      <c r="D948" s="49"/>
      <c r="E948" s="51"/>
      <c r="F948" s="6"/>
      <c r="G948" s="6"/>
      <c r="H948" s="6"/>
      <c r="I948" s="6"/>
      <c r="J948" s="6"/>
      <c r="K948" s="51"/>
      <c r="L948" s="51"/>
      <c r="M948" s="51"/>
      <c r="N948" s="51"/>
      <c r="O948" s="51"/>
      <c r="P948" s="51"/>
      <c r="Q948" s="51"/>
      <c r="R948" s="51"/>
      <c r="S948" s="51"/>
      <c r="T948" s="51"/>
      <c r="U948" s="51"/>
      <c r="V948" s="51"/>
      <c r="W948" s="51"/>
      <c r="X948" s="51"/>
      <c r="Y948" s="51"/>
      <c r="Z948" s="51"/>
      <c r="AA948" s="51"/>
      <c r="AB948" s="51"/>
    </row>
    <row r="949" customFormat="false" ht="15.75" hidden="false" customHeight="false" outlineLevel="0" collapsed="false">
      <c r="A949" s="51"/>
      <c r="B949" s="51"/>
      <c r="C949" s="6"/>
      <c r="D949" s="49"/>
      <c r="E949" s="51"/>
      <c r="F949" s="6"/>
      <c r="G949" s="6"/>
      <c r="H949" s="6"/>
      <c r="I949" s="6"/>
      <c r="J949" s="6"/>
      <c r="K949" s="51"/>
      <c r="L949" s="51"/>
      <c r="M949" s="51"/>
      <c r="N949" s="51"/>
      <c r="O949" s="51"/>
      <c r="P949" s="51"/>
      <c r="Q949" s="51"/>
      <c r="R949" s="51"/>
      <c r="S949" s="51"/>
      <c r="T949" s="51"/>
      <c r="U949" s="51"/>
      <c r="V949" s="51"/>
      <c r="W949" s="51"/>
      <c r="X949" s="51"/>
      <c r="Y949" s="51"/>
      <c r="Z949" s="51"/>
      <c r="AA949" s="51"/>
      <c r="AB949" s="51"/>
    </row>
    <row r="950" customFormat="false" ht="15.75" hidden="false" customHeight="false" outlineLevel="0" collapsed="false">
      <c r="A950" s="51"/>
      <c r="B950" s="51"/>
      <c r="C950" s="6"/>
      <c r="D950" s="49"/>
      <c r="E950" s="51"/>
      <c r="F950" s="6"/>
      <c r="G950" s="6"/>
      <c r="H950" s="6"/>
      <c r="I950" s="6"/>
      <c r="J950" s="6"/>
      <c r="K950" s="51"/>
      <c r="L950" s="51"/>
      <c r="M950" s="51"/>
      <c r="N950" s="51"/>
      <c r="O950" s="51"/>
      <c r="P950" s="51"/>
      <c r="Q950" s="51"/>
      <c r="R950" s="51"/>
      <c r="S950" s="51"/>
      <c r="T950" s="51"/>
      <c r="U950" s="51"/>
      <c r="V950" s="51"/>
      <c r="W950" s="51"/>
      <c r="X950" s="51"/>
      <c r="Y950" s="51"/>
      <c r="Z950" s="51"/>
      <c r="AA950" s="51"/>
      <c r="AB950" s="51"/>
    </row>
    <row r="951" customFormat="false" ht="15.75" hidden="false" customHeight="false" outlineLevel="0" collapsed="false">
      <c r="A951" s="51"/>
      <c r="B951" s="51"/>
      <c r="C951" s="6"/>
      <c r="D951" s="49"/>
      <c r="E951" s="51"/>
      <c r="F951" s="6"/>
      <c r="G951" s="6"/>
      <c r="H951" s="6"/>
      <c r="I951" s="6"/>
      <c r="J951" s="6"/>
      <c r="K951" s="51"/>
      <c r="L951" s="51"/>
      <c r="M951" s="51"/>
      <c r="N951" s="51"/>
      <c r="O951" s="51"/>
      <c r="P951" s="51"/>
      <c r="Q951" s="51"/>
      <c r="R951" s="51"/>
      <c r="S951" s="51"/>
      <c r="T951" s="51"/>
      <c r="U951" s="51"/>
      <c r="V951" s="51"/>
      <c r="W951" s="51"/>
      <c r="X951" s="51"/>
      <c r="Y951" s="51"/>
      <c r="Z951" s="51"/>
      <c r="AA951" s="51"/>
      <c r="AB951" s="51"/>
    </row>
    <row r="952" customFormat="false" ht="15.75" hidden="false" customHeight="false" outlineLevel="0" collapsed="false">
      <c r="A952" s="51"/>
      <c r="B952" s="51"/>
      <c r="C952" s="6"/>
      <c r="D952" s="49"/>
      <c r="E952" s="51"/>
      <c r="F952" s="6"/>
      <c r="G952" s="6"/>
      <c r="H952" s="6"/>
      <c r="I952" s="6"/>
      <c r="J952" s="6"/>
      <c r="K952" s="51"/>
      <c r="L952" s="51"/>
      <c r="M952" s="51"/>
      <c r="N952" s="51"/>
      <c r="O952" s="51"/>
      <c r="P952" s="51"/>
      <c r="Q952" s="51"/>
      <c r="R952" s="51"/>
      <c r="S952" s="51"/>
      <c r="T952" s="51"/>
      <c r="U952" s="51"/>
      <c r="V952" s="51"/>
      <c r="W952" s="51"/>
      <c r="X952" s="51"/>
      <c r="Y952" s="51"/>
      <c r="Z952" s="51"/>
      <c r="AA952" s="51"/>
      <c r="AB952" s="51"/>
    </row>
    <row r="953" customFormat="false" ht="15.75" hidden="false" customHeight="false" outlineLevel="0" collapsed="false">
      <c r="A953" s="51"/>
      <c r="B953" s="51"/>
      <c r="C953" s="6"/>
      <c r="D953" s="49"/>
      <c r="E953" s="51"/>
      <c r="F953" s="6"/>
      <c r="G953" s="6"/>
      <c r="H953" s="6"/>
      <c r="I953" s="6"/>
      <c r="J953" s="6"/>
      <c r="K953" s="51"/>
      <c r="L953" s="51"/>
      <c r="M953" s="51"/>
      <c r="N953" s="51"/>
      <c r="O953" s="51"/>
      <c r="P953" s="51"/>
      <c r="Q953" s="51"/>
      <c r="R953" s="51"/>
      <c r="S953" s="51"/>
      <c r="T953" s="51"/>
      <c r="U953" s="51"/>
      <c r="V953" s="51"/>
      <c r="W953" s="51"/>
      <c r="X953" s="51"/>
      <c r="Y953" s="51"/>
      <c r="Z953" s="51"/>
      <c r="AA953" s="51"/>
      <c r="AB953" s="51"/>
    </row>
    <row r="954" customFormat="false" ht="15.75" hidden="false" customHeight="false" outlineLevel="0" collapsed="false">
      <c r="A954" s="51"/>
      <c r="B954" s="51"/>
      <c r="C954" s="6"/>
      <c r="D954" s="49"/>
      <c r="E954" s="51"/>
      <c r="F954" s="6"/>
      <c r="G954" s="6"/>
      <c r="H954" s="6"/>
      <c r="I954" s="6"/>
      <c r="J954" s="6"/>
      <c r="K954" s="51"/>
      <c r="L954" s="51"/>
      <c r="M954" s="51"/>
      <c r="N954" s="51"/>
      <c r="O954" s="51"/>
      <c r="P954" s="51"/>
      <c r="Q954" s="51"/>
      <c r="R954" s="51"/>
      <c r="S954" s="51"/>
      <c r="T954" s="51"/>
      <c r="U954" s="51"/>
      <c r="V954" s="51"/>
      <c r="W954" s="51"/>
      <c r="X954" s="51"/>
      <c r="Y954" s="51"/>
      <c r="Z954" s="51"/>
      <c r="AA954" s="51"/>
      <c r="AB954" s="51"/>
    </row>
    <row r="955" customFormat="false" ht="15.75" hidden="false" customHeight="false" outlineLevel="0" collapsed="false">
      <c r="A955" s="51"/>
      <c r="B955" s="51"/>
      <c r="C955" s="6"/>
      <c r="D955" s="49"/>
      <c r="E955" s="51"/>
      <c r="F955" s="6"/>
      <c r="G955" s="6"/>
      <c r="H955" s="6"/>
      <c r="I955" s="6"/>
      <c r="J955" s="6"/>
      <c r="K955" s="51"/>
      <c r="L955" s="51"/>
      <c r="M955" s="51"/>
      <c r="N955" s="51"/>
      <c r="O955" s="51"/>
      <c r="P955" s="51"/>
      <c r="Q955" s="51"/>
      <c r="R955" s="51"/>
      <c r="S955" s="51"/>
      <c r="T955" s="51"/>
      <c r="U955" s="51"/>
      <c r="V955" s="51"/>
      <c r="W955" s="51"/>
      <c r="X955" s="51"/>
      <c r="Y955" s="51"/>
      <c r="Z955" s="51"/>
      <c r="AA955" s="51"/>
      <c r="AB955" s="51"/>
    </row>
    <row r="956" customFormat="false" ht="15.75" hidden="false" customHeight="false" outlineLevel="0" collapsed="false">
      <c r="A956" s="51"/>
      <c r="B956" s="51"/>
      <c r="C956" s="6"/>
      <c r="D956" s="49"/>
      <c r="E956" s="51"/>
      <c r="F956" s="6"/>
      <c r="G956" s="6"/>
      <c r="H956" s="6"/>
      <c r="I956" s="6"/>
      <c r="J956" s="6"/>
      <c r="K956" s="51"/>
      <c r="L956" s="51"/>
      <c r="M956" s="51"/>
      <c r="N956" s="51"/>
      <c r="O956" s="51"/>
      <c r="P956" s="51"/>
      <c r="Q956" s="51"/>
      <c r="R956" s="51"/>
      <c r="S956" s="51"/>
      <c r="T956" s="51"/>
      <c r="U956" s="51"/>
      <c r="V956" s="51"/>
      <c r="W956" s="51"/>
      <c r="X956" s="51"/>
      <c r="Y956" s="51"/>
      <c r="Z956" s="51"/>
      <c r="AA956" s="51"/>
      <c r="AB956" s="51"/>
    </row>
    <row r="957" customFormat="false" ht="15.75" hidden="false" customHeight="false" outlineLevel="0" collapsed="false">
      <c r="A957" s="51"/>
      <c r="B957" s="51"/>
      <c r="C957" s="6"/>
      <c r="D957" s="49"/>
      <c r="E957" s="51"/>
      <c r="F957" s="6"/>
      <c r="G957" s="6"/>
      <c r="H957" s="6"/>
      <c r="I957" s="6"/>
      <c r="J957" s="6"/>
      <c r="K957" s="51"/>
      <c r="L957" s="51"/>
      <c r="M957" s="51"/>
      <c r="N957" s="51"/>
      <c r="O957" s="51"/>
      <c r="P957" s="51"/>
      <c r="Q957" s="51"/>
      <c r="R957" s="51"/>
      <c r="S957" s="51"/>
      <c r="T957" s="51"/>
      <c r="U957" s="51"/>
      <c r="V957" s="51"/>
      <c r="W957" s="51"/>
      <c r="X957" s="51"/>
      <c r="Y957" s="51"/>
      <c r="Z957" s="51"/>
      <c r="AA957" s="51"/>
      <c r="AB957" s="51"/>
    </row>
    <row r="958" customFormat="false" ht="15.75" hidden="false" customHeight="false" outlineLevel="0" collapsed="false">
      <c r="A958" s="51"/>
      <c r="B958" s="51"/>
      <c r="C958" s="6"/>
      <c r="D958" s="49"/>
      <c r="E958" s="51"/>
      <c r="F958" s="6"/>
      <c r="G958" s="6"/>
      <c r="H958" s="6"/>
      <c r="I958" s="6"/>
      <c r="J958" s="6"/>
      <c r="K958" s="51"/>
      <c r="L958" s="51"/>
      <c r="M958" s="51"/>
      <c r="N958" s="51"/>
      <c r="O958" s="51"/>
      <c r="P958" s="51"/>
      <c r="Q958" s="51"/>
      <c r="R958" s="51"/>
      <c r="S958" s="51"/>
      <c r="T958" s="51"/>
      <c r="U958" s="51"/>
      <c r="V958" s="51"/>
      <c r="W958" s="51"/>
      <c r="X958" s="51"/>
      <c r="Y958" s="51"/>
      <c r="Z958" s="51"/>
      <c r="AA958" s="51"/>
      <c r="AB958" s="51"/>
    </row>
    <row r="959" customFormat="false" ht="15.75" hidden="false" customHeight="false" outlineLevel="0" collapsed="false">
      <c r="A959" s="51"/>
      <c r="B959" s="51"/>
      <c r="C959" s="6"/>
      <c r="D959" s="49"/>
      <c r="E959" s="51"/>
      <c r="F959" s="6"/>
      <c r="G959" s="6"/>
      <c r="H959" s="6"/>
      <c r="I959" s="6"/>
      <c r="J959" s="6"/>
      <c r="K959" s="51"/>
      <c r="L959" s="51"/>
      <c r="M959" s="51"/>
      <c r="N959" s="51"/>
      <c r="O959" s="51"/>
      <c r="P959" s="51"/>
      <c r="Q959" s="51"/>
      <c r="R959" s="51"/>
      <c r="S959" s="51"/>
      <c r="T959" s="51"/>
      <c r="U959" s="51"/>
      <c r="V959" s="51"/>
      <c r="W959" s="51"/>
      <c r="X959" s="51"/>
      <c r="Y959" s="51"/>
      <c r="Z959" s="51"/>
      <c r="AA959" s="51"/>
      <c r="AB959" s="51"/>
    </row>
    <row r="960" customFormat="false" ht="15.75" hidden="false" customHeight="false" outlineLevel="0" collapsed="false">
      <c r="A960" s="51"/>
      <c r="B960" s="51"/>
      <c r="C960" s="6"/>
      <c r="D960" s="49"/>
      <c r="E960" s="51"/>
      <c r="F960" s="6"/>
      <c r="G960" s="6"/>
      <c r="H960" s="6"/>
      <c r="I960" s="6"/>
      <c r="J960" s="6"/>
      <c r="K960" s="51"/>
      <c r="L960" s="51"/>
      <c r="M960" s="51"/>
      <c r="N960" s="51"/>
      <c r="O960" s="51"/>
      <c r="P960" s="51"/>
      <c r="Q960" s="51"/>
      <c r="R960" s="51"/>
      <c r="S960" s="51"/>
      <c r="T960" s="51"/>
      <c r="U960" s="51"/>
      <c r="V960" s="51"/>
      <c r="W960" s="51"/>
      <c r="X960" s="51"/>
      <c r="Y960" s="51"/>
      <c r="Z960" s="51"/>
      <c r="AA960" s="51"/>
      <c r="AB960" s="51"/>
    </row>
    <row r="961" customFormat="false" ht="15.75" hidden="false" customHeight="false" outlineLevel="0" collapsed="false">
      <c r="A961" s="51"/>
      <c r="B961" s="51"/>
      <c r="C961" s="6"/>
      <c r="D961" s="49"/>
      <c r="E961" s="51"/>
      <c r="F961" s="6"/>
      <c r="G961" s="6"/>
      <c r="H961" s="6"/>
      <c r="I961" s="6"/>
      <c r="J961" s="6"/>
      <c r="K961" s="51"/>
      <c r="L961" s="51"/>
      <c r="M961" s="51"/>
      <c r="N961" s="51"/>
      <c r="O961" s="51"/>
      <c r="P961" s="51"/>
      <c r="Q961" s="51"/>
      <c r="R961" s="51"/>
      <c r="S961" s="51"/>
      <c r="T961" s="51"/>
      <c r="U961" s="51"/>
      <c r="V961" s="51"/>
      <c r="W961" s="51"/>
      <c r="X961" s="51"/>
      <c r="Y961" s="51"/>
      <c r="Z961" s="51"/>
      <c r="AA961" s="51"/>
      <c r="AB961" s="51"/>
    </row>
    <row r="962" customFormat="false" ht="15.75" hidden="false" customHeight="false" outlineLevel="0" collapsed="false">
      <c r="A962" s="51"/>
      <c r="B962" s="51"/>
      <c r="C962" s="6"/>
      <c r="D962" s="49"/>
      <c r="E962" s="51"/>
      <c r="F962" s="6"/>
      <c r="G962" s="6"/>
      <c r="H962" s="6"/>
      <c r="I962" s="6"/>
      <c r="J962" s="6"/>
      <c r="K962" s="51"/>
      <c r="L962" s="51"/>
      <c r="M962" s="51"/>
      <c r="N962" s="51"/>
      <c r="O962" s="51"/>
      <c r="P962" s="51"/>
      <c r="Q962" s="51"/>
      <c r="R962" s="51"/>
      <c r="S962" s="51"/>
      <c r="T962" s="51"/>
      <c r="U962" s="51"/>
      <c r="V962" s="51"/>
      <c r="W962" s="51"/>
      <c r="X962" s="51"/>
      <c r="Y962" s="51"/>
      <c r="Z962" s="51"/>
      <c r="AA962" s="51"/>
      <c r="AB962" s="51"/>
    </row>
    <row r="963" customFormat="false" ht="15.75" hidden="false" customHeight="false" outlineLevel="0" collapsed="false">
      <c r="A963" s="51"/>
      <c r="B963" s="51"/>
      <c r="C963" s="6"/>
      <c r="D963" s="49"/>
      <c r="E963" s="51"/>
      <c r="F963" s="6"/>
      <c r="G963" s="6"/>
      <c r="H963" s="6"/>
      <c r="I963" s="6"/>
      <c r="J963" s="6"/>
      <c r="K963" s="51"/>
      <c r="L963" s="51"/>
      <c r="M963" s="51"/>
      <c r="N963" s="51"/>
      <c r="O963" s="51"/>
      <c r="P963" s="51"/>
      <c r="Q963" s="51"/>
      <c r="R963" s="51"/>
      <c r="S963" s="51"/>
      <c r="T963" s="51"/>
      <c r="U963" s="51"/>
      <c r="V963" s="51"/>
      <c r="W963" s="51"/>
      <c r="X963" s="51"/>
      <c r="Y963" s="51"/>
      <c r="Z963" s="51"/>
      <c r="AA963" s="51"/>
      <c r="AB963" s="51"/>
    </row>
    <row r="964" customFormat="false" ht="15.75" hidden="false" customHeight="false" outlineLevel="0" collapsed="false">
      <c r="A964" s="51"/>
      <c r="B964" s="51"/>
      <c r="C964" s="6"/>
      <c r="D964" s="49"/>
      <c r="E964" s="51"/>
      <c r="F964" s="6"/>
      <c r="G964" s="6"/>
      <c r="H964" s="6"/>
      <c r="I964" s="6"/>
      <c r="J964" s="6"/>
      <c r="K964" s="51"/>
      <c r="L964" s="51"/>
      <c r="M964" s="51"/>
      <c r="N964" s="51"/>
      <c r="O964" s="51"/>
      <c r="P964" s="51"/>
      <c r="Q964" s="51"/>
      <c r="R964" s="51"/>
      <c r="S964" s="51"/>
      <c r="T964" s="51"/>
      <c r="U964" s="51"/>
      <c r="V964" s="51"/>
      <c r="W964" s="51"/>
      <c r="X964" s="51"/>
      <c r="Y964" s="51"/>
      <c r="Z964" s="51"/>
      <c r="AA964" s="51"/>
      <c r="AB964" s="51"/>
    </row>
    <row r="965" customFormat="false" ht="15.75" hidden="false" customHeight="false" outlineLevel="0" collapsed="false">
      <c r="A965" s="51"/>
      <c r="B965" s="51"/>
      <c r="C965" s="6"/>
      <c r="D965" s="49"/>
      <c r="E965" s="51"/>
      <c r="F965" s="6"/>
      <c r="G965" s="6"/>
      <c r="H965" s="6"/>
      <c r="I965" s="6"/>
      <c r="J965" s="6"/>
      <c r="K965" s="51"/>
      <c r="L965" s="51"/>
      <c r="M965" s="51"/>
      <c r="N965" s="51"/>
      <c r="O965" s="51"/>
      <c r="P965" s="51"/>
      <c r="Q965" s="51"/>
      <c r="R965" s="51"/>
      <c r="S965" s="51"/>
      <c r="T965" s="51"/>
      <c r="U965" s="51"/>
      <c r="V965" s="51"/>
      <c r="W965" s="51"/>
      <c r="X965" s="51"/>
      <c r="Y965" s="51"/>
      <c r="Z965" s="51"/>
      <c r="AA965" s="51"/>
      <c r="AB965" s="51"/>
    </row>
    <row r="966" customFormat="false" ht="15.75" hidden="false" customHeight="false" outlineLevel="0" collapsed="false">
      <c r="A966" s="51"/>
      <c r="B966" s="51"/>
      <c r="C966" s="6"/>
      <c r="D966" s="49"/>
      <c r="E966" s="51"/>
      <c r="F966" s="6"/>
      <c r="G966" s="6"/>
      <c r="H966" s="6"/>
      <c r="I966" s="6"/>
      <c r="J966" s="6"/>
      <c r="K966" s="51"/>
      <c r="L966" s="51"/>
      <c r="M966" s="51"/>
      <c r="N966" s="51"/>
      <c r="O966" s="51"/>
      <c r="P966" s="51"/>
      <c r="Q966" s="51"/>
      <c r="R966" s="51"/>
      <c r="S966" s="51"/>
      <c r="T966" s="51"/>
      <c r="U966" s="51"/>
      <c r="V966" s="51"/>
      <c r="W966" s="51"/>
      <c r="X966" s="51"/>
      <c r="Y966" s="51"/>
      <c r="Z966" s="51"/>
      <c r="AA966" s="51"/>
      <c r="AB966" s="51"/>
    </row>
    <row r="967" customFormat="false" ht="15.75" hidden="false" customHeight="false" outlineLevel="0" collapsed="false">
      <c r="A967" s="51"/>
      <c r="B967" s="51"/>
      <c r="C967" s="6"/>
      <c r="D967" s="49"/>
      <c r="E967" s="51"/>
      <c r="F967" s="6"/>
      <c r="G967" s="6"/>
      <c r="H967" s="6"/>
      <c r="I967" s="6"/>
      <c r="J967" s="6"/>
      <c r="K967" s="51"/>
      <c r="L967" s="51"/>
      <c r="M967" s="51"/>
      <c r="N967" s="51"/>
      <c r="O967" s="51"/>
      <c r="P967" s="51"/>
      <c r="Q967" s="51"/>
      <c r="R967" s="51"/>
      <c r="S967" s="51"/>
      <c r="T967" s="51"/>
      <c r="U967" s="51"/>
      <c r="V967" s="51"/>
      <c r="W967" s="51"/>
      <c r="X967" s="51"/>
      <c r="Y967" s="51"/>
      <c r="Z967" s="51"/>
      <c r="AA967" s="51"/>
      <c r="AB967" s="51"/>
    </row>
    <row r="968" customFormat="false" ht="15.75" hidden="false" customHeight="false" outlineLevel="0" collapsed="false">
      <c r="A968" s="51"/>
      <c r="B968" s="51"/>
      <c r="C968" s="6"/>
      <c r="D968" s="49"/>
      <c r="E968" s="51"/>
      <c r="F968" s="6"/>
      <c r="G968" s="6"/>
      <c r="H968" s="6"/>
      <c r="I968" s="6"/>
      <c r="J968" s="6"/>
      <c r="K968" s="51"/>
      <c r="L968" s="51"/>
      <c r="M968" s="51"/>
      <c r="N968" s="51"/>
      <c r="O968" s="51"/>
      <c r="P968" s="51"/>
      <c r="Q968" s="51"/>
      <c r="R968" s="51"/>
      <c r="S968" s="51"/>
      <c r="T968" s="51"/>
      <c r="U968" s="51"/>
      <c r="V968" s="51"/>
      <c r="W968" s="51"/>
      <c r="X968" s="51"/>
      <c r="Y968" s="51"/>
      <c r="Z968" s="51"/>
      <c r="AA968" s="51"/>
      <c r="AB968" s="51"/>
    </row>
    <row r="969" customFormat="false" ht="15.75" hidden="false" customHeight="false" outlineLevel="0" collapsed="false">
      <c r="A969" s="51"/>
      <c r="B969" s="51"/>
      <c r="C969" s="6"/>
      <c r="D969" s="49"/>
      <c r="E969" s="51"/>
      <c r="F969" s="6"/>
      <c r="G969" s="6"/>
      <c r="H969" s="6"/>
      <c r="I969" s="6"/>
      <c r="J969" s="6"/>
      <c r="K969" s="51"/>
      <c r="L969" s="51"/>
      <c r="M969" s="51"/>
      <c r="N969" s="51"/>
      <c r="O969" s="51"/>
      <c r="P969" s="51"/>
      <c r="Q969" s="51"/>
      <c r="R969" s="51"/>
      <c r="S969" s="51"/>
      <c r="T969" s="51"/>
      <c r="U969" s="51"/>
      <c r="V969" s="51"/>
      <c r="W969" s="51"/>
      <c r="X969" s="51"/>
      <c r="Y969" s="51"/>
      <c r="Z969" s="51"/>
      <c r="AA969" s="51"/>
      <c r="AB969" s="51"/>
    </row>
    <row r="970" customFormat="false" ht="15.75" hidden="false" customHeight="false" outlineLevel="0" collapsed="false">
      <c r="A970" s="51"/>
      <c r="B970" s="51"/>
      <c r="C970" s="6"/>
      <c r="D970" s="49"/>
      <c r="E970" s="51"/>
      <c r="F970" s="6"/>
      <c r="G970" s="6"/>
      <c r="H970" s="6"/>
      <c r="I970" s="6"/>
      <c r="J970" s="6"/>
      <c r="K970" s="51"/>
      <c r="L970" s="51"/>
      <c r="M970" s="51"/>
      <c r="N970" s="51"/>
      <c r="O970" s="51"/>
      <c r="P970" s="51"/>
      <c r="Q970" s="51"/>
      <c r="R970" s="51"/>
      <c r="S970" s="51"/>
      <c r="T970" s="51"/>
      <c r="U970" s="51"/>
      <c r="V970" s="51"/>
      <c r="W970" s="51"/>
      <c r="X970" s="51"/>
      <c r="Y970" s="51"/>
      <c r="Z970" s="51"/>
      <c r="AA970" s="51"/>
      <c r="AB970" s="51"/>
    </row>
    <row r="971" customFormat="false" ht="15.75" hidden="false" customHeight="false" outlineLevel="0" collapsed="false">
      <c r="A971" s="51"/>
      <c r="B971" s="51"/>
      <c r="C971" s="6"/>
      <c r="D971" s="49"/>
      <c r="E971" s="51"/>
      <c r="F971" s="6"/>
      <c r="G971" s="6"/>
      <c r="H971" s="6"/>
      <c r="I971" s="6"/>
      <c r="J971" s="6"/>
      <c r="K971" s="51"/>
      <c r="L971" s="51"/>
      <c r="M971" s="51"/>
      <c r="N971" s="51"/>
      <c r="O971" s="51"/>
      <c r="P971" s="51"/>
      <c r="Q971" s="51"/>
      <c r="R971" s="51"/>
      <c r="S971" s="51"/>
      <c r="T971" s="51"/>
      <c r="U971" s="51"/>
      <c r="V971" s="51"/>
      <c r="W971" s="51"/>
      <c r="X971" s="51"/>
      <c r="Y971" s="51"/>
      <c r="Z971" s="51"/>
      <c r="AA971" s="51"/>
      <c r="AB971" s="51"/>
    </row>
    <row r="972" customFormat="false" ht="15.75" hidden="false" customHeight="false" outlineLevel="0" collapsed="false">
      <c r="A972" s="51"/>
      <c r="B972" s="51"/>
      <c r="C972" s="6"/>
      <c r="D972" s="49"/>
      <c r="E972" s="51"/>
      <c r="F972" s="6"/>
      <c r="G972" s="6"/>
      <c r="H972" s="6"/>
      <c r="I972" s="6"/>
      <c r="J972" s="6"/>
      <c r="K972" s="51"/>
      <c r="L972" s="51"/>
      <c r="M972" s="51"/>
      <c r="N972" s="51"/>
      <c r="O972" s="51"/>
      <c r="P972" s="51"/>
      <c r="Q972" s="51"/>
      <c r="R972" s="51"/>
      <c r="S972" s="51"/>
      <c r="T972" s="51"/>
      <c r="U972" s="51"/>
      <c r="V972" s="51"/>
      <c r="W972" s="51"/>
      <c r="X972" s="51"/>
      <c r="Y972" s="51"/>
      <c r="Z972" s="51"/>
      <c r="AA972" s="51"/>
      <c r="AB972" s="51"/>
    </row>
    <row r="973" customFormat="false" ht="15.75" hidden="false" customHeight="false" outlineLevel="0" collapsed="false">
      <c r="A973" s="51"/>
      <c r="B973" s="51"/>
      <c r="C973" s="6"/>
      <c r="D973" s="49"/>
      <c r="E973" s="51"/>
      <c r="F973" s="6"/>
      <c r="G973" s="6"/>
      <c r="H973" s="6"/>
      <c r="I973" s="6"/>
      <c r="J973" s="6"/>
      <c r="K973" s="51"/>
      <c r="L973" s="51"/>
      <c r="M973" s="51"/>
      <c r="N973" s="51"/>
      <c r="O973" s="51"/>
      <c r="P973" s="51"/>
      <c r="Q973" s="51"/>
      <c r="R973" s="51"/>
      <c r="S973" s="51"/>
      <c r="T973" s="51"/>
      <c r="U973" s="51"/>
      <c r="V973" s="51"/>
      <c r="W973" s="51"/>
      <c r="X973" s="51"/>
      <c r="Y973" s="51"/>
      <c r="Z973" s="51"/>
      <c r="AA973" s="51"/>
      <c r="AB973" s="51"/>
    </row>
    <row r="974" customFormat="false" ht="15.75" hidden="false" customHeight="false" outlineLevel="0" collapsed="false">
      <c r="A974" s="51"/>
      <c r="B974" s="51"/>
      <c r="C974" s="6"/>
      <c r="D974" s="49"/>
      <c r="E974" s="51"/>
      <c r="F974" s="6"/>
      <c r="G974" s="6"/>
      <c r="H974" s="6"/>
      <c r="I974" s="6"/>
      <c r="J974" s="6"/>
      <c r="K974" s="51"/>
      <c r="L974" s="51"/>
      <c r="M974" s="51"/>
      <c r="N974" s="51"/>
      <c r="O974" s="51"/>
      <c r="P974" s="51"/>
      <c r="Q974" s="51"/>
      <c r="R974" s="51"/>
      <c r="S974" s="51"/>
      <c r="T974" s="51"/>
      <c r="U974" s="51"/>
      <c r="V974" s="51"/>
      <c r="W974" s="51"/>
      <c r="X974" s="51"/>
      <c r="Y974" s="51"/>
      <c r="Z974" s="51"/>
      <c r="AA974" s="51"/>
      <c r="AB974" s="51"/>
    </row>
    <row r="975" customFormat="false" ht="15.75" hidden="false" customHeight="false" outlineLevel="0" collapsed="false">
      <c r="A975" s="51"/>
      <c r="B975" s="51"/>
      <c r="C975" s="6"/>
      <c r="D975" s="49"/>
      <c r="E975" s="51"/>
      <c r="F975" s="6"/>
      <c r="G975" s="6"/>
      <c r="H975" s="6"/>
      <c r="I975" s="6"/>
      <c r="J975" s="6"/>
      <c r="K975" s="51"/>
      <c r="L975" s="51"/>
      <c r="M975" s="51"/>
      <c r="N975" s="51"/>
      <c r="O975" s="51"/>
      <c r="P975" s="51"/>
      <c r="Q975" s="51"/>
      <c r="R975" s="51"/>
      <c r="S975" s="51"/>
      <c r="T975" s="51"/>
      <c r="U975" s="51"/>
      <c r="V975" s="51"/>
      <c r="W975" s="51"/>
      <c r="X975" s="51"/>
      <c r="Y975" s="51"/>
      <c r="Z975" s="51"/>
      <c r="AA975" s="51"/>
      <c r="AB975" s="51"/>
    </row>
    <row r="976" customFormat="false" ht="15.75" hidden="false" customHeight="false" outlineLevel="0" collapsed="false">
      <c r="A976" s="51"/>
      <c r="B976" s="51"/>
      <c r="C976" s="6"/>
      <c r="D976" s="49"/>
      <c r="E976" s="51"/>
      <c r="F976" s="6"/>
      <c r="G976" s="6"/>
      <c r="H976" s="6"/>
      <c r="I976" s="6"/>
      <c r="J976" s="6"/>
      <c r="K976" s="51"/>
      <c r="L976" s="51"/>
      <c r="M976" s="51"/>
      <c r="N976" s="51"/>
      <c r="O976" s="51"/>
      <c r="P976" s="51"/>
      <c r="Q976" s="51"/>
      <c r="R976" s="51"/>
      <c r="S976" s="51"/>
      <c r="T976" s="51"/>
      <c r="U976" s="51"/>
      <c r="V976" s="51"/>
      <c r="W976" s="51"/>
      <c r="X976" s="51"/>
      <c r="Y976" s="51"/>
      <c r="Z976" s="51"/>
      <c r="AA976" s="51"/>
      <c r="AB976" s="51"/>
    </row>
    <row r="977" customFormat="false" ht="15.75" hidden="false" customHeight="false" outlineLevel="0" collapsed="false">
      <c r="A977" s="51"/>
      <c r="B977" s="51"/>
      <c r="C977" s="6"/>
      <c r="D977" s="49"/>
      <c r="E977" s="51"/>
      <c r="F977" s="6"/>
      <c r="G977" s="6"/>
      <c r="H977" s="6"/>
      <c r="I977" s="6"/>
      <c r="J977" s="6"/>
      <c r="K977" s="51"/>
      <c r="L977" s="51"/>
      <c r="M977" s="51"/>
      <c r="N977" s="51"/>
      <c r="O977" s="51"/>
      <c r="P977" s="51"/>
      <c r="Q977" s="51"/>
      <c r="R977" s="51"/>
      <c r="S977" s="51"/>
      <c r="T977" s="51"/>
      <c r="U977" s="51"/>
      <c r="V977" s="51"/>
      <c r="W977" s="51"/>
      <c r="X977" s="51"/>
      <c r="Y977" s="51"/>
      <c r="Z977" s="51"/>
      <c r="AA977" s="51"/>
      <c r="AB977" s="51"/>
    </row>
    <row r="978" customFormat="false" ht="15.75" hidden="false" customHeight="false" outlineLevel="0" collapsed="false">
      <c r="A978" s="51"/>
      <c r="B978" s="51"/>
      <c r="C978" s="6"/>
      <c r="D978" s="49"/>
      <c r="E978" s="51"/>
      <c r="F978" s="6"/>
      <c r="G978" s="6"/>
      <c r="H978" s="6"/>
      <c r="I978" s="6"/>
      <c r="J978" s="6"/>
      <c r="K978" s="51"/>
      <c r="L978" s="51"/>
      <c r="M978" s="51"/>
      <c r="N978" s="51"/>
      <c r="O978" s="51"/>
      <c r="P978" s="51"/>
      <c r="Q978" s="51"/>
      <c r="R978" s="51"/>
      <c r="S978" s="51"/>
      <c r="T978" s="51"/>
      <c r="U978" s="51"/>
      <c r="V978" s="51"/>
      <c r="W978" s="51"/>
      <c r="X978" s="51"/>
      <c r="Y978" s="51"/>
      <c r="Z978" s="51"/>
      <c r="AA978" s="51"/>
      <c r="AB978" s="51"/>
    </row>
    <row r="979" customFormat="false" ht="15.75" hidden="false" customHeight="false" outlineLevel="0" collapsed="false">
      <c r="A979" s="51"/>
      <c r="B979" s="51"/>
      <c r="C979" s="6"/>
      <c r="D979" s="49"/>
      <c r="E979" s="51"/>
      <c r="F979" s="6"/>
      <c r="G979" s="6"/>
      <c r="H979" s="6"/>
      <c r="I979" s="6"/>
      <c r="J979" s="6"/>
      <c r="K979" s="51"/>
      <c r="L979" s="51"/>
      <c r="M979" s="51"/>
      <c r="N979" s="51"/>
      <c r="O979" s="51"/>
      <c r="P979" s="51"/>
      <c r="Q979" s="51"/>
      <c r="R979" s="51"/>
      <c r="S979" s="51"/>
      <c r="T979" s="51"/>
      <c r="U979" s="51"/>
      <c r="V979" s="51"/>
      <c r="W979" s="51"/>
      <c r="X979" s="51"/>
      <c r="Y979" s="51"/>
      <c r="Z979" s="51"/>
      <c r="AA979" s="51"/>
      <c r="AB979" s="51"/>
    </row>
    <row r="980" customFormat="false" ht="15.75" hidden="false" customHeight="false" outlineLevel="0" collapsed="false">
      <c r="A980" s="51"/>
      <c r="B980" s="51"/>
      <c r="C980" s="6"/>
      <c r="D980" s="49"/>
      <c r="E980" s="51"/>
      <c r="F980" s="6"/>
      <c r="G980" s="6"/>
      <c r="H980" s="6"/>
      <c r="I980" s="6"/>
      <c r="J980" s="6"/>
      <c r="K980" s="51"/>
      <c r="L980" s="51"/>
      <c r="M980" s="51"/>
      <c r="N980" s="51"/>
      <c r="O980" s="51"/>
      <c r="P980" s="51"/>
      <c r="Q980" s="51"/>
      <c r="R980" s="51"/>
      <c r="S980" s="51"/>
      <c r="T980" s="51"/>
      <c r="U980" s="51"/>
      <c r="V980" s="51"/>
      <c r="W980" s="51"/>
      <c r="X980" s="51"/>
      <c r="Y980" s="51"/>
      <c r="Z980" s="51"/>
      <c r="AA980" s="51"/>
      <c r="AB980" s="51"/>
    </row>
    <row r="981" customFormat="false" ht="15.75" hidden="false" customHeight="false" outlineLevel="0" collapsed="false">
      <c r="A981" s="51"/>
      <c r="B981" s="51"/>
      <c r="C981" s="6"/>
      <c r="D981" s="49"/>
      <c r="E981" s="51"/>
      <c r="F981" s="6"/>
      <c r="G981" s="6"/>
      <c r="H981" s="6"/>
      <c r="I981" s="6"/>
      <c r="J981" s="6"/>
      <c r="K981" s="51"/>
      <c r="L981" s="51"/>
      <c r="M981" s="51"/>
      <c r="N981" s="51"/>
      <c r="O981" s="51"/>
      <c r="P981" s="51"/>
      <c r="Q981" s="51"/>
      <c r="R981" s="51"/>
      <c r="S981" s="51"/>
      <c r="T981" s="51"/>
      <c r="U981" s="51"/>
      <c r="V981" s="51"/>
      <c r="W981" s="51"/>
      <c r="X981" s="51"/>
      <c r="Y981" s="51"/>
      <c r="Z981" s="51"/>
      <c r="AA981" s="51"/>
      <c r="AB981" s="51"/>
    </row>
    <row r="982" customFormat="false" ht="15.75" hidden="false" customHeight="false" outlineLevel="0" collapsed="false">
      <c r="A982" s="51"/>
      <c r="B982" s="51"/>
      <c r="C982" s="6"/>
      <c r="D982" s="49"/>
      <c r="E982" s="51"/>
      <c r="F982" s="6"/>
      <c r="G982" s="6"/>
      <c r="H982" s="6"/>
      <c r="I982" s="6"/>
      <c r="J982" s="6"/>
      <c r="K982" s="51"/>
      <c r="L982" s="51"/>
      <c r="M982" s="51"/>
      <c r="N982" s="51"/>
      <c r="O982" s="51"/>
      <c r="P982" s="51"/>
      <c r="Q982" s="51"/>
      <c r="R982" s="51"/>
      <c r="S982" s="51"/>
      <c r="T982" s="51"/>
      <c r="U982" s="51"/>
      <c r="V982" s="51"/>
      <c r="W982" s="51"/>
      <c r="X982" s="51"/>
      <c r="Y982" s="51"/>
      <c r="Z982" s="51"/>
      <c r="AA982" s="51"/>
      <c r="AB982" s="51"/>
    </row>
    <row r="983" customFormat="false" ht="15.75" hidden="false" customHeight="false" outlineLevel="0" collapsed="false">
      <c r="A983" s="51"/>
      <c r="B983" s="51"/>
      <c r="C983" s="6"/>
      <c r="D983" s="49"/>
      <c r="E983" s="51"/>
      <c r="F983" s="6"/>
      <c r="G983" s="6"/>
      <c r="H983" s="6"/>
      <c r="I983" s="6"/>
      <c r="J983" s="6"/>
      <c r="K983" s="51"/>
      <c r="L983" s="51"/>
      <c r="M983" s="51"/>
      <c r="N983" s="51"/>
      <c r="O983" s="51"/>
      <c r="P983" s="51"/>
      <c r="Q983" s="51"/>
      <c r="R983" s="51"/>
      <c r="S983" s="51"/>
      <c r="T983" s="51"/>
      <c r="U983" s="51"/>
      <c r="V983" s="51"/>
      <c r="W983" s="51"/>
      <c r="X983" s="51"/>
      <c r="Y983" s="51"/>
      <c r="Z983" s="51"/>
      <c r="AA983" s="51"/>
      <c r="AB983" s="51"/>
    </row>
    <row r="984" customFormat="false" ht="15.75" hidden="false" customHeight="false" outlineLevel="0" collapsed="false">
      <c r="A984" s="51"/>
      <c r="B984" s="51"/>
      <c r="C984" s="6"/>
      <c r="D984" s="49"/>
      <c r="E984" s="51"/>
      <c r="F984" s="6"/>
      <c r="G984" s="6"/>
      <c r="H984" s="6"/>
      <c r="I984" s="6"/>
      <c r="J984" s="6"/>
      <c r="K984" s="51"/>
      <c r="L984" s="51"/>
      <c r="M984" s="51"/>
      <c r="N984" s="51"/>
      <c r="O984" s="51"/>
      <c r="P984" s="51"/>
      <c r="Q984" s="51"/>
      <c r="R984" s="51"/>
      <c r="S984" s="51"/>
      <c r="T984" s="51"/>
      <c r="U984" s="51"/>
      <c r="V984" s="51"/>
      <c r="W984" s="51"/>
      <c r="X984" s="51"/>
      <c r="Y984" s="51"/>
      <c r="Z984" s="51"/>
      <c r="AA984" s="51"/>
      <c r="AB984" s="51"/>
    </row>
    <row r="985" customFormat="false" ht="15.75" hidden="false" customHeight="false" outlineLevel="0" collapsed="false">
      <c r="A985" s="51"/>
      <c r="B985" s="51"/>
      <c r="C985" s="6"/>
      <c r="D985" s="49"/>
      <c r="E985" s="51"/>
      <c r="F985" s="6"/>
      <c r="G985" s="6"/>
      <c r="H985" s="6"/>
      <c r="I985" s="6"/>
      <c r="J985" s="6"/>
      <c r="K985" s="51"/>
      <c r="L985" s="51"/>
      <c r="M985" s="51"/>
      <c r="N985" s="51"/>
      <c r="O985" s="51"/>
      <c r="P985" s="51"/>
      <c r="Q985" s="51"/>
      <c r="R985" s="51"/>
      <c r="S985" s="51"/>
      <c r="T985" s="51"/>
      <c r="U985" s="51"/>
      <c r="V985" s="51"/>
      <c r="W985" s="51"/>
      <c r="X985" s="51"/>
      <c r="Y985" s="51"/>
      <c r="Z985" s="51"/>
      <c r="AA985" s="51"/>
      <c r="AB985" s="51"/>
    </row>
    <row r="986" customFormat="false" ht="15.75" hidden="false" customHeight="false" outlineLevel="0" collapsed="false">
      <c r="A986" s="51"/>
      <c r="B986" s="51"/>
      <c r="C986" s="6"/>
      <c r="D986" s="49"/>
      <c r="E986" s="51"/>
      <c r="F986" s="6"/>
      <c r="G986" s="6"/>
      <c r="H986" s="6"/>
      <c r="I986" s="6"/>
      <c r="J986" s="6"/>
      <c r="K986" s="51"/>
      <c r="L986" s="51"/>
      <c r="M986" s="51"/>
      <c r="N986" s="51"/>
      <c r="O986" s="51"/>
      <c r="P986" s="51"/>
      <c r="Q986" s="51"/>
      <c r="R986" s="51"/>
      <c r="S986" s="51"/>
      <c r="T986" s="51"/>
      <c r="U986" s="51"/>
      <c r="V986" s="51"/>
      <c r="W986" s="51"/>
      <c r="X986" s="51"/>
      <c r="Y986" s="51"/>
      <c r="Z986" s="51"/>
      <c r="AA986" s="51"/>
      <c r="AB986" s="51"/>
    </row>
    <row r="987" customFormat="false" ht="15.75" hidden="false" customHeight="false" outlineLevel="0" collapsed="false">
      <c r="A987" s="51"/>
      <c r="B987" s="51"/>
      <c r="C987" s="6"/>
      <c r="D987" s="49"/>
      <c r="E987" s="51"/>
      <c r="F987" s="6"/>
      <c r="G987" s="6"/>
      <c r="H987" s="6"/>
      <c r="I987" s="6"/>
      <c r="J987" s="6"/>
      <c r="K987" s="51"/>
      <c r="L987" s="51"/>
      <c r="M987" s="51"/>
      <c r="N987" s="51"/>
      <c r="O987" s="51"/>
      <c r="P987" s="51"/>
      <c r="Q987" s="51"/>
      <c r="R987" s="51"/>
      <c r="S987" s="51"/>
      <c r="T987" s="51"/>
      <c r="U987" s="51"/>
      <c r="V987" s="51"/>
      <c r="W987" s="51"/>
      <c r="X987" s="51"/>
      <c r="Y987" s="51"/>
      <c r="Z987" s="51"/>
      <c r="AA987" s="51"/>
      <c r="AB987" s="51"/>
    </row>
    <row r="988" customFormat="false" ht="15.75" hidden="false" customHeight="false" outlineLevel="0" collapsed="false">
      <c r="A988" s="51"/>
      <c r="B988" s="51"/>
      <c r="C988" s="6"/>
      <c r="D988" s="49"/>
      <c r="E988" s="51"/>
      <c r="F988" s="6"/>
      <c r="G988" s="6"/>
      <c r="H988" s="6"/>
      <c r="I988" s="6"/>
      <c r="J988" s="6"/>
      <c r="K988" s="51"/>
      <c r="L988" s="51"/>
      <c r="M988" s="51"/>
      <c r="N988" s="51"/>
      <c r="O988" s="51"/>
      <c r="P988" s="51"/>
      <c r="Q988" s="51"/>
      <c r="R988" s="51"/>
      <c r="S988" s="51"/>
      <c r="T988" s="51"/>
      <c r="U988" s="51"/>
      <c r="V988" s="51"/>
      <c r="W988" s="51"/>
      <c r="X988" s="51"/>
      <c r="Y988" s="51"/>
      <c r="Z988" s="51"/>
      <c r="AA988" s="51"/>
      <c r="AB988" s="51"/>
    </row>
    <row r="989" customFormat="false" ht="15.75" hidden="false" customHeight="false" outlineLevel="0" collapsed="false">
      <c r="A989" s="51"/>
      <c r="B989" s="51"/>
      <c r="C989" s="6"/>
      <c r="D989" s="49"/>
      <c r="E989" s="51"/>
      <c r="F989" s="6"/>
      <c r="G989" s="6"/>
      <c r="H989" s="6"/>
      <c r="I989" s="6"/>
      <c r="J989" s="6"/>
      <c r="K989" s="51"/>
      <c r="L989" s="51"/>
      <c r="M989" s="51"/>
      <c r="N989" s="51"/>
      <c r="O989" s="51"/>
      <c r="P989" s="51"/>
      <c r="Q989" s="51"/>
      <c r="R989" s="51"/>
      <c r="S989" s="51"/>
      <c r="T989" s="51"/>
      <c r="U989" s="51"/>
      <c r="V989" s="51"/>
      <c r="W989" s="51"/>
      <c r="X989" s="51"/>
      <c r="Y989" s="51"/>
      <c r="Z989" s="51"/>
      <c r="AA989" s="51"/>
      <c r="AB989" s="51"/>
    </row>
    <row r="990" customFormat="false" ht="15.75" hidden="false" customHeight="false" outlineLevel="0" collapsed="false">
      <c r="A990" s="51"/>
      <c r="B990" s="51"/>
      <c r="C990" s="6"/>
      <c r="D990" s="49"/>
      <c r="E990" s="51"/>
      <c r="F990" s="6"/>
      <c r="G990" s="6"/>
      <c r="H990" s="6"/>
      <c r="I990" s="6"/>
      <c r="J990" s="6"/>
      <c r="K990" s="51"/>
      <c r="L990" s="51"/>
      <c r="M990" s="51"/>
      <c r="N990" s="51"/>
      <c r="O990" s="51"/>
      <c r="P990" s="51"/>
      <c r="Q990" s="51"/>
      <c r="R990" s="51"/>
      <c r="S990" s="51"/>
      <c r="T990" s="51"/>
      <c r="U990" s="51"/>
      <c r="V990" s="51"/>
      <c r="W990" s="51"/>
      <c r="X990" s="51"/>
      <c r="Y990" s="51"/>
      <c r="Z990" s="51"/>
      <c r="AA990" s="51"/>
      <c r="AB990" s="51"/>
    </row>
    <row r="991" customFormat="false" ht="15.75" hidden="false" customHeight="false" outlineLevel="0" collapsed="false">
      <c r="A991" s="51"/>
      <c r="B991" s="51"/>
      <c r="C991" s="6"/>
      <c r="D991" s="49"/>
      <c r="E991" s="51"/>
      <c r="F991" s="6"/>
      <c r="G991" s="6"/>
      <c r="H991" s="6"/>
      <c r="I991" s="6"/>
      <c r="J991" s="6"/>
      <c r="K991" s="51"/>
      <c r="L991" s="51"/>
      <c r="M991" s="51"/>
      <c r="N991" s="51"/>
      <c r="O991" s="51"/>
      <c r="P991" s="51"/>
      <c r="Q991" s="51"/>
      <c r="R991" s="51"/>
      <c r="S991" s="51"/>
      <c r="T991" s="51"/>
      <c r="U991" s="51"/>
      <c r="V991" s="51"/>
      <c r="W991" s="51"/>
      <c r="X991" s="51"/>
      <c r="Y991" s="51"/>
      <c r="Z991" s="51"/>
      <c r="AA991" s="51"/>
      <c r="AB991" s="51"/>
    </row>
    <row r="992" customFormat="false" ht="15.75" hidden="false" customHeight="false" outlineLevel="0" collapsed="false">
      <c r="A992" s="51"/>
      <c r="B992" s="51"/>
      <c r="C992" s="6"/>
      <c r="D992" s="49"/>
      <c r="E992" s="51"/>
      <c r="F992" s="6"/>
      <c r="G992" s="6"/>
      <c r="H992" s="6"/>
      <c r="I992" s="6"/>
      <c r="J992" s="6"/>
      <c r="K992" s="51"/>
      <c r="L992" s="51"/>
      <c r="M992" s="51"/>
      <c r="N992" s="51"/>
      <c r="O992" s="51"/>
      <c r="P992" s="51"/>
      <c r="Q992" s="51"/>
      <c r="R992" s="51"/>
      <c r="S992" s="51"/>
      <c r="T992" s="51"/>
      <c r="U992" s="51"/>
      <c r="V992" s="51"/>
      <c r="W992" s="51"/>
      <c r="X992" s="51"/>
      <c r="Y992" s="51"/>
      <c r="Z992" s="51"/>
      <c r="AA992" s="51"/>
      <c r="AB992" s="51"/>
    </row>
    <row r="993" customFormat="false" ht="15.75" hidden="false" customHeight="false" outlineLevel="0" collapsed="false">
      <c r="A993" s="51"/>
      <c r="B993" s="51"/>
      <c r="C993" s="6"/>
      <c r="D993" s="49"/>
      <c r="E993" s="51"/>
      <c r="F993" s="6"/>
      <c r="G993" s="6"/>
      <c r="H993" s="6"/>
      <c r="I993" s="6"/>
      <c r="J993" s="6"/>
      <c r="K993" s="51"/>
      <c r="L993" s="51"/>
      <c r="M993" s="51"/>
      <c r="N993" s="51"/>
      <c r="O993" s="51"/>
      <c r="P993" s="51"/>
      <c r="Q993" s="51"/>
      <c r="R993" s="51"/>
      <c r="S993" s="51"/>
      <c r="T993" s="51"/>
      <c r="U993" s="51"/>
      <c r="V993" s="51"/>
      <c r="W993" s="51"/>
      <c r="X993" s="51"/>
      <c r="Y993" s="51"/>
      <c r="Z993" s="51"/>
      <c r="AA993" s="51"/>
      <c r="AB993" s="51"/>
    </row>
    <row r="994" customFormat="false" ht="15.75" hidden="false" customHeight="false" outlineLevel="0" collapsed="false">
      <c r="A994" s="51"/>
      <c r="B994" s="51"/>
      <c r="C994" s="6"/>
      <c r="D994" s="49"/>
      <c r="E994" s="51"/>
      <c r="F994" s="6"/>
      <c r="G994" s="6"/>
      <c r="H994" s="6"/>
      <c r="I994" s="6"/>
      <c r="J994" s="6"/>
      <c r="K994" s="51"/>
      <c r="L994" s="51"/>
      <c r="M994" s="51"/>
      <c r="N994" s="51"/>
      <c r="O994" s="51"/>
      <c r="P994" s="51"/>
      <c r="Q994" s="51"/>
      <c r="R994" s="51"/>
      <c r="S994" s="51"/>
      <c r="T994" s="51"/>
      <c r="U994" s="51"/>
      <c r="V994" s="51"/>
      <c r="W994" s="51"/>
      <c r="X994" s="51"/>
      <c r="Y994" s="51"/>
      <c r="Z994" s="51"/>
      <c r="AA994" s="51"/>
      <c r="AB994" s="51"/>
    </row>
    <row r="995" customFormat="false" ht="15.75" hidden="false" customHeight="false" outlineLevel="0" collapsed="false">
      <c r="A995" s="51"/>
      <c r="B995" s="51"/>
      <c r="C995" s="6"/>
      <c r="D995" s="49"/>
      <c r="E995" s="51"/>
      <c r="F995" s="6"/>
      <c r="G995" s="6"/>
      <c r="H995" s="6"/>
      <c r="I995" s="6"/>
      <c r="J995" s="6"/>
      <c r="K995" s="51"/>
      <c r="L995" s="51"/>
      <c r="M995" s="51"/>
      <c r="N995" s="51"/>
      <c r="O995" s="51"/>
      <c r="P995" s="51"/>
      <c r="Q995" s="51"/>
      <c r="R995" s="51"/>
      <c r="S995" s="51"/>
      <c r="T995" s="51"/>
      <c r="U995" s="51"/>
      <c r="V995" s="51"/>
      <c r="W995" s="51"/>
      <c r="X995" s="51"/>
      <c r="Y995" s="51"/>
      <c r="Z995" s="51"/>
      <c r="AA995" s="51"/>
      <c r="AB995" s="51"/>
    </row>
    <row r="996" customFormat="false" ht="15.75" hidden="false" customHeight="false" outlineLevel="0" collapsed="false">
      <c r="A996" s="51"/>
      <c r="B996" s="51"/>
      <c r="C996" s="6"/>
      <c r="D996" s="49"/>
      <c r="E996" s="51"/>
      <c r="F996" s="6"/>
      <c r="G996" s="6"/>
      <c r="H996" s="6"/>
      <c r="I996" s="6"/>
      <c r="J996" s="6"/>
      <c r="K996" s="51"/>
      <c r="L996" s="51"/>
      <c r="M996" s="51"/>
      <c r="N996" s="51"/>
      <c r="O996" s="51"/>
      <c r="P996" s="51"/>
      <c r="Q996" s="51"/>
      <c r="R996" s="51"/>
      <c r="S996" s="51"/>
      <c r="T996" s="51"/>
      <c r="U996" s="51"/>
      <c r="V996" s="51"/>
      <c r="W996" s="51"/>
      <c r="X996" s="51"/>
      <c r="Y996" s="51"/>
      <c r="Z996" s="51"/>
      <c r="AA996" s="51"/>
      <c r="AB996" s="51"/>
    </row>
    <row r="997" customFormat="false" ht="15.75" hidden="false" customHeight="false" outlineLevel="0" collapsed="false">
      <c r="A997" s="51"/>
      <c r="B997" s="51"/>
      <c r="C997" s="6"/>
      <c r="D997" s="49"/>
      <c r="E997" s="51"/>
      <c r="F997" s="6"/>
      <c r="G997" s="6"/>
      <c r="H997" s="6"/>
      <c r="I997" s="6"/>
      <c r="J997" s="6"/>
      <c r="K997" s="51"/>
      <c r="L997" s="51"/>
      <c r="M997" s="51"/>
      <c r="N997" s="51"/>
      <c r="O997" s="51"/>
      <c r="P997" s="51"/>
      <c r="Q997" s="51"/>
      <c r="R997" s="51"/>
      <c r="S997" s="51"/>
      <c r="T997" s="51"/>
      <c r="U997" s="51"/>
      <c r="V997" s="51"/>
      <c r="W997" s="51"/>
      <c r="X997" s="51"/>
      <c r="Y997" s="51"/>
      <c r="Z997" s="51"/>
      <c r="AA997" s="51"/>
      <c r="AB997" s="51"/>
    </row>
    <row r="998" customFormat="false" ht="15.75" hidden="false" customHeight="false" outlineLevel="0" collapsed="false">
      <c r="A998" s="51"/>
      <c r="B998" s="51"/>
      <c r="C998" s="6"/>
      <c r="D998" s="49"/>
      <c r="E998" s="51"/>
      <c r="F998" s="6"/>
      <c r="G998" s="6"/>
      <c r="H998" s="6"/>
      <c r="I998" s="6"/>
      <c r="J998" s="6"/>
      <c r="K998" s="51"/>
      <c r="L998" s="51"/>
      <c r="M998" s="51"/>
      <c r="N998" s="51"/>
      <c r="O998" s="51"/>
      <c r="P998" s="51"/>
      <c r="Q998" s="51"/>
      <c r="R998" s="51"/>
      <c r="S998" s="51"/>
      <c r="T998" s="51"/>
      <c r="U998" s="51"/>
      <c r="V998" s="51"/>
      <c r="W998" s="51"/>
      <c r="X998" s="51"/>
      <c r="Y998" s="51"/>
      <c r="Z998" s="51"/>
      <c r="AA998" s="51"/>
      <c r="AB998" s="51"/>
    </row>
    <row r="999" customFormat="false" ht="15.75" hidden="false" customHeight="false" outlineLevel="0" collapsed="false">
      <c r="A999" s="51"/>
      <c r="B999" s="51"/>
      <c r="C999" s="6"/>
      <c r="D999" s="49"/>
      <c r="E999" s="51"/>
      <c r="F999" s="6"/>
      <c r="G999" s="6"/>
      <c r="H999" s="6"/>
      <c r="I999" s="6"/>
      <c r="J999" s="6"/>
      <c r="K999" s="51"/>
      <c r="L999" s="51"/>
      <c r="M999" s="51"/>
      <c r="N999" s="51"/>
      <c r="O999" s="51"/>
      <c r="P999" s="51"/>
      <c r="Q999" s="51"/>
      <c r="R999" s="51"/>
      <c r="S999" s="51"/>
      <c r="T999" s="51"/>
      <c r="U999" s="51"/>
      <c r="V999" s="51"/>
      <c r="W999" s="51"/>
      <c r="X999" s="51"/>
      <c r="Y999" s="51"/>
      <c r="Z999" s="51"/>
      <c r="AA999" s="51"/>
      <c r="AB999" s="51"/>
    </row>
    <row r="1000" customFormat="false" ht="15.75" hidden="false" customHeight="false" outlineLevel="0" collapsed="false">
      <c r="A1000" s="51"/>
      <c r="B1000" s="51"/>
      <c r="C1000" s="6"/>
      <c r="D1000" s="49"/>
      <c r="E1000" s="51"/>
      <c r="F1000" s="6"/>
      <c r="G1000" s="6"/>
      <c r="H1000" s="6"/>
      <c r="I1000" s="6"/>
      <c r="J1000" s="6"/>
      <c r="K1000" s="51"/>
      <c r="L1000" s="51"/>
      <c r="M1000" s="51"/>
      <c r="N1000" s="51"/>
      <c r="O1000" s="51"/>
      <c r="P1000" s="51"/>
      <c r="Q1000" s="51"/>
      <c r="R1000" s="51"/>
      <c r="S1000" s="51"/>
      <c r="T1000" s="51"/>
      <c r="U1000" s="51"/>
      <c r="V1000" s="51"/>
      <c r="W1000" s="51"/>
      <c r="X1000" s="51"/>
      <c r="Y1000" s="51"/>
      <c r="Z1000" s="51"/>
      <c r="AA1000" s="51"/>
      <c r="AB1000" s="51"/>
    </row>
    <row r="1001" customFormat="false" ht="15.75" hidden="false" customHeight="false" outlineLevel="0" collapsed="false">
      <c r="A1001" s="51"/>
      <c r="B1001" s="51"/>
      <c r="C1001" s="6"/>
      <c r="D1001" s="49"/>
      <c r="E1001" s="51"/>
      <c r="F1001" s="6"/>
      <c r="G1001" s="6"/>
      <c r="H1001" s="6"/>
      <c r="I1001" s="6"/>
      <c r="J1001" s="6"/>
      <c r="K1001" s="51"/>
      <c r="L1001" s="51"/>
      <c r="M1001" s="51"/>
      <c r="N1001" s="51"/>
      <c r="O1001" s="51"/>
      <c r="P1001" s="51"/>
      <c r="Q1001" s="51"/>
      <c r="R1001" s="51"/>
      <c r="S1001" s="51"/>
      <c r="T1001" s="51"/>
      <c r="U1001" s="51"/>
      <c r="V1001" s="51"/>
      <c r="W1001" s="51"/>
      <c r="X1001" s="51"/>
      <c r="Y1001" s="51"/>
      <c r="Z1001" s="51"/>
      <c r="AA1001" s="51"/>
      <c r="AB1001" s="51"/>
    </row>
    <row r="1002" customFormat="false" ht="15.75" hidden="false" customHeight="false" outlineLevel="0" collapsed="false">
      <c r="A1002" s="51"/>
      <c r="B1002" s="51"/>
      <c r="C1002" s="6"/>
      <c r="D1002" s="49"/>
      <c r="E1002" s="51"/>
      <c r="F1002" s="6"/>
      <c r="G1002" s="6"/>
      <c r="H1002" s="6"/>
      <c r="I1002" s="6"/>
      <c r="J1002" s="6"/>
      <c r="K1002" s="51"/>
      <c r="L1002" s="51"/>
      <c r="M1002" s="51"/>
      <c r="N1002" s="51"/>
      <c r="O1002" s="51"/>
      <c r="P1002" s="51"/>
      <c r="Q1002" s="51"/>
      <c r="R1002" s="51"/>
      <c r="S1002" s="51"/>
      <c r="T1002" s="51"/>
      <c r="U1002" s="51"/>
      <c r="V1002" s="51"/>
      <c r="W1002" s="51"/>
      <c r="X1002" s="51"/>
      <c r="Y1002" s="51"/>
      <c r="Z1002" s="51"/>
      <c r="AA1002" s="51"/>
      <c r="AB1002" s="51"/>
    </row>
  </sheetData>
  <mergeCells count="66">
    <mergeCell ref="A2:A5"/>
    <mergeCell ref="B2:B5"/>
    <mergeCell ref="A7:A10"/>
    <mergeCell ref="B7:B10"/>
    <mergeCell ref="A12:A15"/>
    <mergeCell ref="B12:B15"/>
    <mergeCell ref="A17:A20"/>
    <mergeCell ref="B17:B20"/>
    <mergeCell ref="A22:A25"/>
    <mergeCell ref="B22:B25"/>
    <mergeCell ref="A27:A30"/>
    <mergeCell ref="B27:B30"/>
    <mergeCell ref="A32:A35"/>
    <mergeCell ref="B32:B35"/>
    <mergeCell ref="A37:A40"/>
    <mergeCell ref="B37:B40"/>
    <mergeCell ref="A42:A45"/>
    <mergeCell ref="B42:B45"/>
    <mergeCell ref="A47:A50"/>
    <mergeCell ref="B47:B50"/>
    <mergeCell ref="A52:A55"/>
    <mergeCell ref="B52:B55"/>
    <mergeCell ref="A57:A60"/>
    <mergeCell ref="B57:B60"/>
    <mergeCell ref="A62:A65"/>
    <mergeCell ref="B62:B65"/>
    <mergeCell ref="A67:A70"/>
    <mergeCell ref="B67:B70"/>
    <mergeCell ref="A72:A75"/>
    <mergeCell ref="B72:B75"/>
    <mergeCell ref="A77:A80"/>
    <mergeCell ref="B77:B80"/>
    <mergeCell ref="A82:A85"/>
    <mergeCell ref="B82:B85"/>
    <mergeCell ref="A87:A90"/>
    <mergeCell ref="B87:B90"/>
    <mergeCell ref="A92:A95"/>
    <mergeCell ref="B92:B95"/>
    <mergeCell ref="A97:A100"/>
    <mergeCell ref="B97:B100"/>
    <mergeCell ref="A102:A105"/>
    <mergeCell ref="B102:B105"/>
    <mergeCell ref="A107:A110"/>
    <mergeCell ref="B107:B110"/>
    <mergeCell ref="A112:A115"/>
    <mergeCell ref="B112:B115"/>
    <mergeCell ref="A117:A120"/>
    <mergeCell ref="B117:B120"/>
    <mergeCell ref="A122:A125"/>
    <mergeCell ref="B122:B125"/>
    <mergeCell ref="A127:A130"/>
    <mergeCell ref="B127:B130"/>
    <mergeCell ref="A132:A135"/>
    <mergeCell ref="B132:B135"/>
    <mergeCell ref="A137:A140"/>
    <mergeCell ref="B137:B140"/>
    <mergeCell ref="A142:A145"/>
    <mergeCell ref="B142:B145"/>
    <mergeCell ref="A147:A150"/>
    <mergeCell ref="B147:B150"/>
    <mergeCell ref="A152:A155"/>
    <mergeCell ref="B152:B155"/>
    <mergeCell ref="A157:A160"/>
    <mergeCell ref="B157:B160"/>
    <mergeCell ref="A162:A165"/>
    <mergeCell ref="B162:B165"/>
  </mergeCells>
  <conditionalFormatting sqref="E12:E15 E17:E20 E22:E25 E27:E50 E52:E165">
    <cfRule type="colorScale" priority="2">
      <colorScale>
        <cfvo type="formula" val="0"/>
        <cfvo type="formula" val="1"/>
        <color rgb="FFFFFFFF"/>
        <color rgb="FFE67C73"/>
      </colorScale>
    </cfRule>
  </conditionalFormatting>
  <conditionalFormatting sqref="E2:E1002">
    <cfRule type="colorScale" priority="3">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F2:J1002" type="list">
      <formula1>"1,2,3,4,5"</formula1>
      <formula2>0</formula2>
    </dataValidation>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type="list">
      <formula1>"5W1H,Base,CoT,tldr"</formula1>
      <formula2>0</formula2>
    </dataValidation>
  </dataValidations>
  <hyperlinks>
    <hyperlink ref="A2" r:id="rId2" display="https://www.berria.eus/ekonomia/urte-eta-erdiko-kartzela-zigorra-eta-30000-euroko-kalte-ordainak-zorroza-gestion-enpresan-hil-zen-langileagatik_2124960_102.html"/>
    <hyperlink ref="A7" r:id="rId3" display="https://www.berria.eus/kirola/hirutik-hiru-jaka-mariezkurrenarentzat_2117677_102.html"/>
    <hyperlink ref="A12" r:id="rId4" display="https://www.berria.eus/bizigiro/larreen-eta-larrabereen-balioaz_2126273_102.html"/>
    <hyperlink ref="A17" r:id="rId5" display="https://www.berria.eus/kirola/olatua-hartuta-parisera_2121856_102.html"/>
    <hyperlink ref="A22" r:id="rId6" display="https://www.berria.eus/bizigiro/badago-ezkutuan-dagoen-sektore-bat-sarietatik-kanpo-idazten-ari-dena_2119644_102.html"/>
    <hyperlink ref="A27" r:id="rId7" display="https://www.berria.eus/bizigiro/istorioak-irudien-bidez-kontatzen-ditut-oso-hizkuntza-unibertsala-da_2121576_102.html"/>
    <hyperlink ref="A32" r:id="rId8" display="https://www.berria.eus/euskal-herria/etxeko-atxiloaldia-ezarri-diote-labioko-hiltzaileari_2124515_102.html"/>
    <hyperlink ref="A37" r:id="rId9" display="https://www.berria.eus/ekonomia/sektore-eolikoa-eta-milaka-lanpostu-desagertzeko-arriskuaz-ohartarazi-du-elak_233844_102.html"/>
    <hyperlink ref="A42" r:id="rId10" display="https://www.berria.eus/kultura/mikroipuinak-txikiak-baina-ez-hutsalak_2121931_102.html"/>
    <hyperlink ref="A47" r:id="rId11" display="https://www.berria.eus/euskal-herria/guardia-zibilak-dio-europako-speed-laborategi-handiena-aurkitu-duela-euskal-herrian_2125543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1" width="3"/>
    <col collapsed="false" customWidth="true" hidden="false" outlineLevel="0" max="2" min="2" style="1" width="63.88"/>
    <col collapsed="false" customWidth="true" hidden="false" outlineLevel="0" max="4" min="4" style="1" width="77"/>
    <col collapsed="false" customWidth="true" hidden="false" outlineLevel="0" max="5" min="5" style="1" width="5.75"/>
  </cols>
  <sheetData>
    <row r="1" customFormat="false" ht="15.75" hidden="false" customHeight="false" outlineLevel="0" collapsed="false">
      <c r="A1" s="3" t="s">
        <v>0</v>
      </c>
      <c r="B1" s="3" t="s">
        <v>27</v>
      </c>
      <c r="C1" s="3" t="s">
        <v>2</v>
      </c>
      <c r="D1" s="45" t="s">
        <v>29</v>
      </c>
      <c r="E1" s="46" t="s">
        <v>3</v>
      </c>
      <c r="F1" s="3" t="s">
        <v>4</v>
      </c>
      <c r="G1" s="3" t="s">
        <v>5</v>
      </c>
      <c r="H1" s="3" t="s">
        <v>6</v>
      </c>
      <c r="I1" s="3" t="s">
        <v>7</v>
      </c>
      <c r="J1" s="3" t="s">
        <v>8</v>
      </c>
      <c r="K1" s="3"/>
      <c r="L1" s="3"/>
      <c r="M1" s="3"/>
      <c r="N1" s="3"/>
      <c r="O1" s="3"/>
      <c r="P1" s="3"/>
      <c r="Q1" s="3"/>
      <c r="R1" s="3"/>
      <c r="S1" s="3"/>
      <c r="T1" s="3"/>
      <c r="U1" s="3"/>
      <c r="V1" s="3"/>
      <c r="W1" s="3"/>
      <c r="X1" s="3"/>
      <c r="Y1" s="3"/>
      <c r="Z1" s="3"/>
      <c r="AA1" s="3"/>
      <c r="AB1" s="3"/>
    </row>
    <row r="2" customFormat="false" ht="225" hidden="false" customHeight="true" outlineLevel="0" collapsed="false">
      <c r="A2" s="47" t="s">
        <v>30</v>
      </c>
      <c r="B2" s="48" t="s">
        <v>31</v>
      </c>
      <c r="C2" s="6" t="s">
        <v>18</v>
      </c>
      <c r="D2" s="49" t="s">
        <v>191</v>
      </c>
      <c r="E2" s="76" t="n">
        <f aca="false">IFERROR(__xludf.dummyfunction("COUNTA(SPLIT(D2,"" ""))/COUNTA(SPLIT($B$2,"" ""))"),0.379487179487179)</f>
        <v>0.3794871795</v>
      </c>
      <c r="F2" s="6" t="n">
        <v>4</v>
      </c>
      <c r="G2" s="6" t="n">
        <v>4</v>
      </c>
      <c r="H2" s="6" t="n">
        <v>3</v>
      </c>
      <c r="I2" s="6" t="n">
        <v>5</v>
      </c>
      <c r="J2" s="6" t="n">
        <v>5</v>
      </c>
      <c r="K2" s="51"/>
      <c r="L2" s="51"/>
      <c r="M2" s="51"/>
      <c r="N2" s="51"/>
      <c r="O2" s="51"/>
      <c r="P2" s="51"/>
      <c r="Q2" s="51"/>
      <c r="R2" s="51"/>
      <c r="S2" s="51"/>
      <c r="T2" s="51"/>
      <c r="U2" s="51"/>
      <c r="V2" s="51"/>
      <c r="W2" s="51"/>
      <c r="X2" s="51"/>
      <c r="Y2" s="51"/>
      <c r="Z2" s="51"/>
      <c r="AA2" s="51"/>
      <c r="AB2" s="51"/>
    </row>
    <row r="3" customFormat="false" ht="225" hidden="false" customHeight="true" outlineLevel="0" collapsed="false">
      <c r="A3" s="47"/>
      <c r="B3" s="47"/>
      <c r="C3" s="6" t="s">
        <v>19</v>
      </c>
      <c r="D3" s="49" t="s">
        <v>192</v>
      </c>
      <c r="E3" s="78" t="n">
        <f aca="false">IFERROR(__xludf.dummyfunction("COUNTA(SPLIT(D3,"" ""))/COUNTA(SPLIT($B$2,"" ""))"),0.512820512820513)</f>
        <v>0.5128205128</v>
      </c>
      <c r="F3" s="6" t="n">
        <v>4</v>
      </c>
      <c r="G3" s="6" t="n">
        <v>3</v>
      </c>
      <c r="H3" s="6" t="n">
        <v>3</v>
      </c>
      <c r="I3" s="6" t="n">
        <v>3</v>
      </c>
      <c r="J3" s="6" t="n">
        <v>4</v>
      </c>
      <c r="K3" s="51"/>
      <c r="L3" s="51"/>
      <c r="M3" s="51"/>
      <c r="N3" s="51"/>
      <c r="O3" s="51"/>
      <c r="P3" s="51"/>
      <c r="Q3" s="51"/>
      <c r="R3" s="51"/>
      <c r="S3" s="51"/>
      <c r="T3" s="51"/>
      <c r="U3" s="51"/>
      <c r="V3" s="51"/>
      <c r="W3" s="51"/>
      <c r="X3" s="51"/>
      <c r="Y3" s="51"/>
      <c r="Z3" s="51"/>
      <c r="AA3" s="51"/>
      <c r="AB3" s="51"/>
    </row>
    <row r="4" customFormat="false" ht="225" hidden="false" customHeight="true" outlineLevel="0" collapsed="false">
      <c r="A4" s="47"/>
      <c r="B4" s="47"/>
      <c r="C4" s="6" t="s">
        <v>8</v>
      </c>
      <c r="D4" s="49" t="s">
        <v>193</v>
      </c>
      <c r="E4" s="79" t="n">
        <f aca="false">IFERROR(__xludf.dummyfunction("COUNTA(SPLIT(D4,"" ""))/COUNTA(SPLIT($B$2,"" ""))"),0.502564102564103)</f>
        <v>0.5025641026</v>
      </c>
      <c r="F4" s="6" t="n">
        <v>2</v>
      </c>
      <c r="G4" s="6" t="n">
        <v>4</v>
      </c>
      <c r="H4" s="6" t="n">
        <v>3</v>
      </c>
      <c r="I4" s="6" t="n">
        <v>4</v>
      </c>
      <c r="J4" s="6" t="n">
        <v>4</v>
      </c>
      <c r="K4" s="51"/>
      <c r="L4" s="51"/>
      <c r="M4" s="51"/>
      <c r="N4" s="51"/>
      <c r="O4" s="51"/>
      <c r="P4" s="51"/>
      <c r="Q4" s="51"/>
      <c r="R4" s="51"/>
      <c r="S4" s="51"/>
      <c r="T4" s="51"/>
      <c r="U4" s="51"/>
      <c r="V4" s="51"/>
      <c r="W4" s="51"/>
      <c r="X4" s="51"/>
      <c r="Y4" s="51"/>
      <c r="Z4" s="51"/>
      <c r="AA4" s="51"/>
      <c r="AB4" s="51"/>
    </row>
    <row r="5" customFormat="false" ht="225" hidden="false" customHeight="true" outlineLevel="0" collapsed="false">
      <c r="A5" s="47"/>
      <c r="B5" s="47"/>
      <c r="C5" s="6" t="s">
        <v>20</v>
      </c>
      <c r="D5" s="49" t="s">
        <v>194</v>
      </c>
      <c r="E5" s="80" t="n">
        <f aca="false">IFERROR(__xludf.dummyfunction("COUNTA(SPLIT(D5,"" ""))/COUNTA(SPLIT($B$2,"" ""))"),0.338461538461539)</f>
        <v>0.3384615385</v>
      </c>
      <c r="F5" s="6" t="n">
        <v>4</v>
      </c>
      <c r="G5" s="6" t="n">
        <v>5</v>
      </c>
      <c r="H5" s="6" t="n">
        <v>4</v>
      </c>
      <c r="I5" s="6" t="n">
        <v>5</v>
      </c>
      <c r="J5" s="6" t="n">
        <v>4</v>
      </c>
      <c r="K5" s="51"/>
      <c r="L5" s="51"/>
      <c r="M5" s="51"/>
      <c r="N5" s="51"/>
      <c r="O5" s="51"/>
      <c r="P5" s="51"/>
      <c r="Q5" s="51"/>
      <c r="R5" s="51"/>
      <c r="S5" s="51"/>
      <c r="T5" s="51"/>
      <c r="U5" s="51"/>
      <c r="V5" s="51"/>
      <c r="W5" s="51"/>
      <c r="X5" s="51"/>
      <c r="Y5" s="51"/>
      <c r="Z5" s="51"/>
      <c r="AA5" s="51"/>
      <c r="AB5" s="51"/>
    </row>
    <row r="6" customFormat="false" ht="15.75" hidden="false" customHeight="false" outlineLevel="0" collapsed="false">
      <c r="A6" s="51"/>
      <c r="B6" s="51"/>
      <c r="C6" s="6"/>
      <c r="D6" s="49"/>
      <c r="E6" s="53"/>
      <c r="F6" s="6"/>
      <c r="G6" s="6"/>
      <c r="H6" s="6"/>
      <c r="I6" s="6"/>
      <c r="J6" s="6"/>
      <c r="K6" s="51"/>
      <c r="L6" s="51"/>
      <c r="M6" s="51"/>
      <c r="N6" s="51"/>
      <c r="O6" s="51"/>
      <c r="P6" s="51"/>
      <c r="Q6" s="51"/>
      <c r="R6" s="51"/>
      <c r="S6" s="51"/>
      <c r="T6" s="51"/>
      <c r="U6" s="51"/>
      <c r="V6" s="51"/>
      <c r="W6" s="51"/>
      <c r="X6" s="51"/>
      <c r="Y6" s="51"/>
      <c r="Z6" s="51"/>
      <c r="AA6" s="51"/>
      <c r="AB6" s="51"/>
    </row>
    <row r="7" customFormat="false" ht="225" hidden="false" customHeight="true" outlineLevel="0" collapsed="false">
      <c r="A7" s="54" t="s">
        <v>35</v>
      </c>
      <c r="B7" s="55" t="s">
        <v>36</v>
      </c>
      <c r="C7" s="56" t="s">
        <v>18</v>
      </c>
      <c r="D7" s="57" t="s">
        <v>195</v>
      </c>
      <c r="E7" s="81" t="n">
        <f aca="false">IFERROR(__xludf.dummyfunction("COUNTA(SPLIT(D7,"" ""))/COUNTA(SPLIT($B$7,"" ""))"),0.404761904761905)</f>
        <v>0.4047619048</v>
      </c>
      <c r="F7" s="56" t="n">
        <v>4</v>
      </c>
      <c r="G7" s="56" t="n">
        <v>2</v>
      </c>
      <c r="H7" s="56" t="n">
        <v>3</v>
      </c>
      <c r="I7" s="56" t="n">
        <v>4</v>
      </c>
      <c r="J7" s="56" t="n">
        <v>3</v>
      </c>
      <c r="K7" s="59"/>
      <c r="L7" s="59"/>
      <c r="M7" s="59"/>
      <c r="N7" s="59"/>
      <c r="O7" s="59"/>
      <c r="P7" s="59"/>
      <c r="Q7" s="59"/>
      <c r="R7" s="59"/>
      <c r="S7" s="59"/>
      <c r="T7" s="59"/>
      <c r="U7" s="59"/>
      <c r="V7" s="59"/>
      <c r="W7" s="59"/>
      <c r="X7" s="59"/>
      <c r="Y7" s="59"/>
      <c r="Z7" s="59"/>
      <c r="AA7" s="59"/>
      <c r="AB7" s="59"/>
    </row>
    <row r="8" customFormat="false" ht="225" hidden="false" customHeight="true" outlineLevel="0" collapsed="false">
      <c r="A8" s="54"/>
      <c r="B8" s="54"/>
      <c r="C8" s="6" t="s">
        <v>19</v>
      </c>
      <c r="D8" s="49" t="s">
        <v>196</v>
      </c>
      <c r="E8" s="82" t="n">
        <f aca="false">IFERROR(__xludf.dummyfunction("COUNTA(SPLIT(D8,"" ""))/COUNTA(SPLIT($B$7,"" ""))"),0.553571428571429)</f>
        <v>0.5535714286</v>
      </c>
      <c r="F8" s="6" t="n">
        <v>4</v>
      </c>
      <c r="G8" s="6" t="n">
        <v>4</v>
      </c>
      <c r="H8" s="6" t="n">
        <v>3</v>
      </c>
      <c r="I8" s="6" t="n">
        <v>3</v>
      </c>
      <c r="J8" s="6" t="n">
        <v>4</v>
      </c>
      <c r="K8" s="51"/>
      <c r="L8" s="51"/>
      <c r="M8" s="51"/>
      <c r="N8" s="51"/>
      <c r="O8" s="51"/>
      <c r="P8" s="51"/>
      <c r="Q8" s="51"/>
      <c r="R8" s="51"/>
      <c r="S8" s="51"/>
      <c r="T8" s="51"/>
      <c r="U8" s="51"/>
      <c r="V8" s="51"/>
      <c r="W8" s="51"/>
      <c r="X8" s="51"/>
      <c r="Y8" s="51"/>
      <c r="Z8" s="51"/>
      <c r="AA8" s="51"/>
      <c r="AB8" s="51"/>
    </row>
    <row r="9" customFormat="false" ht="225" hidden="false" customHeight="true" outlineLevel="0" collapsed="false">
      <c r="A9" s="54"/>
      <c r="B9" s="54"/>
      <c r="C9" s="6" t="s">
        <v>8</v>
      </c>
      <c r="D9" s="49" t="s">
        <v>197</v>
      </c>
      <c r="E9" s="83" t="n">
        <f aca="false">IFERROR(__xludf.dummyfunction("COUNTA(SPLIT(D9,"" ""))/COUNTA(SPLIT($B$7,"" ""))"),0.279761904761905)</f>
        <v>0.2797619048</v>
      </c>
      <c r="F9" s="6" t="n">
        <v>2</v>
      </c>
      <c r="G9" s="6" t="n">
        <v>5</v>
      </c>
      <c r="H9" s="6" t="n">
        <v>4</v>
      </c>
      <c r="I9" s="6" t="n">
        <v>4</v>
      </c>
      <c r="J9" s="6" t="n">
        <v>4</v>
      </c>
      <c r="K9" s="51"/>
      <c r="L9" s="51"/>
      <c r="M9" s="51"/>
      <c r="N9" s="51"/>
      <c r="O9" s="51"/>
      <c r="P9" s="51"/>
      <c r="Q9" s="51"/>
      <c r="R9" s="51"/>
      <c r="S9" s="51"/>
      <c r="T9" s="51"/>
      <c r="U9" s="51"/>
      <c r="V9" s="51"/>
      <c r="W9" s="51"/>
      <c r="X9" s="51"/>
      <c r="Y9" s="51"/>
      <c r="Z9" s="51"/>
      <c r="AA9" s="51"/>
      <c r="AB9" s="51"/>
    </row>
    <row r="10" customFormat="false" ht="225" hidden="false" customHeight="true" outlineLevel="0" collapsed="false">
      <c r="A10" s="54"/>
      <c r="B10" s="54"/>
      <c r="C10" s="6" t="s">
        <v>20</v>
      </c>
      <c r="D10" s="49" t="s">
        <v>198</v>
      </c>
      <c r="E10" s="66" t="n">
        <f aca="false">IFERROR(__xludf.dummyfunction("COUNTA(SPLIT(D10,"" ""))/COUNTA(SPLIT($B$7,"" ""))"),0.375)</f>
        <v>0.375</v>
      </c>
      <c r="F10" s="6" t="n">
        <v>5</v>
      </c>
      <c r="G10" s="6" t="n">
        <v>4</v>
      </c>
      <c r="H10" s="6" t="n">
        <v>3</v>
      </c>
      <c r="I10" s="6" t="n">
        <v>5</v>
      </c>
      <c r="J10" s="6" t="n">
        <v>4</v>
      </c>
      <c r="K10" s="51"/>
      <c r="L10" s="51"/>
      <c r="M10" s="51"/>
      <c r="N10" s="51"/>
      <c r="O10" s="51"/>
      <c r="P10" s="51"/>
      <c r="Q10" s="51"/>
      <c r="R10" s="51"/>
      <c r="S10" s="51"/>
      <c r="T10" s="51"/>
      <c r="U10" s="51"/>
      <c r="V10" s="51"/>
      <c r="W10" s="51"/>
      <c r="X10" s="51"/>
      <c r="Y10" s="51"/>
      <c r="Z10" s="51"/>
      <c r="AA10" s="51"/>
      <c r="AB10" s="51"/>
    </row>
    <row r="11" customFormat="false" ht="15.75" hidden="false" customHeight="false" outlineLevel="0" collapsed="false">
      <c r="A11" s="51"/>
      <c r="B11" s="51"/>
      <c r="C11" s="6"/>
      <c r="D11" s="49"/>
      <c r="E11" s="53"/>
      <c r="F11" s="6"/>
      <c r="G11" s="6"/>
      <c r="H11" s="6"/>
      <c r="I11" s="6"/>
      <c r="J11" s="6"/>
      <c r="K11" s="51"/>
      <c r="L11" s="51"/>
      <c r="M11" s="51"/>
      <c r="N11" s="51"/>
      <c r="O11" s="51"/>
      <c r="P11" s="51"/>
      <c r="Q11" s="51"/>
      <c r="R11" s="51"/>
      <c r="S11" s="51"/>
      <c r="T11" s="51"/>
      <c r="U11" s="51"/>
      <c r="V11" s="51"/>
      <c r="W11" s="51"/>
      <c r="X11" s="51"/>
      <c r="Y11" s="51"/>
      <c r="Z11" s="51"/>
      <c r="AA11" s="51"/>
      <c r="AB11" s="51"/>
    </row>
    <row r="12" customFormat="false" ht="225" hidden="false" customHeight="true" outlineLevel="0" collapsed="false">
      <c r="A12" s="54" t="s">
        <v>39</v>
      </c>
      <c r="B12" s="55" t="s">
        <v>40</v>
      </c>
      <c r="C12" s="56" t="s">
        <v>18</v>
      </c>
      <c r="D12" s="57" t="s">
        <v>199</v>
      </c>
      <c r="E12" s="84" t="n">
        <f aca="false">IFERROR(__xludf.dummyfunction("COUNTA(SPLIT(D12,"" ""))/COUNTA(SPLIT($B$12,"" ""))"),0.340961098398169)</f>
        <v>0.3409610984</v>
      </c>
      <c r="F12" s="56" t="n">
        <v>3</v>
      </c>
      <c r="G12" s="56" t="n">
        <v>5</v>
      </c>
      <c r="H12" s="56" t="n">
        <v>4</v>
      </c>
      <c r="I12" s="56" t="n">
        <v>3</v>
      </c>
      <c r="J12" s="56" t="n">
        <v>4</v>
      </c>
      <c r="K12" s="59"/>
      <c r="L12" s="59"/>
      <c r="M12" s="59"/>
      <c r="N12" s="59"/>
      <c r="O12" s="59"/>
      <c r="P12" s="59"/>
      <c r="Q12" s="59"/>
      <c r="R12" s="59"/>
      <c r="S12" s="59"/>
      <c r="T12" s="59"/>
      <c r="U12" s="59"/>
      <c r="V12" s="59"/>
      <c r="W12" s="59"/>
      <c r="X12" s="59"/>
      <c r="Y12" s="59"/>
      <c r="Z12" s="59"/>
      <c r="AA12" s="59"/>
      <c r="AB12" s="59"/>
    </row>
    <row r="13" customFormat="false" ht="225" hidden="false" customHeight="true" outlineLevel="0" collapsed="false">
      <c r="A13" s="54"/>
      <c r="B13" s="54"/>
      <c r="C13" s="6" t="s">
        <v>19</v>
      </c>
      <c r="D13" s="49" t="s">
        <v>200</v>
      </c>
      <c r="E13" s="84" t="n">
        <f aca="false">IFERROR(__xludf.dummyfunction("COUNTA(SPLIT(D13,"" ""))/COUNTA(SPLIT($B$12,"" ""))"),0.203661327231121)</f>
        <v>0.2036613272</v>
      </c>
      <c r="F13" s="6" t="n">
        <v>5</v>
      </c>
      <c r="G13" s="6" t="n">
        <v>3</v>
      </c>
      <c r="H13" s="6" t="n">
        <v>4</v>
      </c>
      <c r="I13" s="6" t="n">
        <v>5</v>
      </c>
      <c r="J13" s="6" t="n">
        <v>3</v>
      </c>
      <c r="K13" s="51"/>
      <c r="L13" s="51"/>
      <c r="M13" s="51"/>
      <c r="N13" s="51"/>
      <c r="O13" s="51"/>
      <c r="P13" s="51"/>
      <c r="Q13" s="51"/>
      <c r="R13" s="51"/>
      <c r="S13" s="51"/>
      <c r="T13" s="51"/>
      <c r="U13" s="51"/>
      <c r="V13" s="51"/>
      <c r="W13" s="51"/>
      <c r="X13" s="51"/>
      <c r="Y13" s="51"/>
      <c r="Z13" s="51"/>
      <c r="AA13" s="51"/>
      <c r="AB13" s="51"/>
    </row>
    <row r="14" customFormat="false" ht="225" hidden="false" customHeight="true" outlineLevel="0" collapsed="false">
      <c r="A14" s="54"/>
      <c r="B14" s="54"/>
      <c r="C14" s="6" t="s">
        <v>8</v>
      </c>
      <c r="D14" s="49" t="s">
        <v>201</v>
      </c>
      <c r="E14" s="85" t="n">
        <f aca="false">IFERROR(__xludf.dummyfunction("COUNTA(SPLIT(D14,"" ""))/COUNTA(SPLIT($B$12,"" ""))"),0.263157894736842)</f>
        <v>0.2631578947</v>
      </c>
      <c r="F14" s="6" t="n">
        <v>2</v>
      </c>
      <c r="G14" s="6" t="n">
        <v>4</v>
      </c>
      <c r="H14" s="6" t="n">
        <v>3</v>
      </c>
      <c r="I14" s="6" t="n">
        <v>4</v>
      </c>
      <c r="J14" s="6" t="n">
        <v>4</v>
      </c>
      <c r="K14" s="51"/>
      <c r="L14" s="51"/>
      <c r="M14" s="51"/>
      <c r="N14" s="51"/>
      <c r="O14" s="51"/>
      <c r="P14" s="51"/>
      <c r="Q14" s="51"/>
      <c r="R14" s="51"/>
      <c r="S14" s="51"/>
      <c r="T14" s="51"/>
      <c r="U14" s="51"/>
      <c r="V14" s="51"/>
      <c r="W14" s="51"/>
      <c r="X14" s="51"/>
      <c r="Y14" s="51"/>
      <c r="Z14" s="51"/>
      <c r="AA14" s="51"/>
      <c r="AB14" s="51"/>
    </row>
    <row r="15" customFormat="false" ht="225" hidden="false" customHeight="true" outlineLevel="0" collapsed="false">
      <c r="A15" s="54"/>
      <c r="B15" s="54"/>
      <c r="C15" s="6" t="s">
        <v>20</v>
      </c>
      <c r="D15" s="49" t="s">
        <v>202</v>
      </c>
      <c r="E15" s="86" t="n">
        <f aca="false">IFERROR(__xludf.dummyfunction("COUNTA(SPLIT(D15,"" ""))/COUNTA(SPLIT($B$12,"" ""))"),0.139588100686499)</f>
        <v>0.1395881007</v>
      </c>
      <c r="F15" s="6" t="n">
        <v>4</v>
      </c>
      <c r="G15" s="6" t="n">
        <v>4</v>
      </c>
      <c r="H15" s="6" t="n">
        <v>4</v>
      </c>
      <c r="I15" s="6" t="n">
        <v>5</v>
      </c>
      <c r="J15" s="6" t="n">
        <v>3</v>
      </c>
      <c r="K15" s="51"/>
      <c r="L15" s="51"/>
      <c r="M15" s="51"/>
      <c r="N15" s="51"/>
      <c r="O15" s="51"/>
      <c r="P15" s="51"/>
      <c r="Q15" s="51"/>
      <c r="R15" s="51"/>
      <c r="S15" s="51"/>
      <c r="T15" s="51"/>
      <c r="U15" s="51"/>
      <c r="V15" s="51"/>
      <c r="W15" s="51"/>
      <c r="X15" s="51"/>
      <c r="Y15" s="51"/>
      <c r="Z15" s="51"/>
      <c r="AA15" s="51"/>
      <c r="AB15" s="51"/>
    </row>
    <row r="16" customFormat="false" ht="15.75" hidden="false" customHeight="false" outlineLevel="0" collapsed="false">
      <c r="A16" s="51"/>
      <c r="B16" s="51"/>
      <c r="C16" s="6"/>
      <c r="D16" s="49"/>
      <c r="E16" s="53"/>
      <c r="F16" s="6"/>
      <c r="G16" s="6"/>
      <c r="H16" s="6"/>
      <c r="I16" s="6"/>
      <c r="J16" s="6"/>
      <c r="K16" s="51"/>
      <c r="L16" s="51"/>
      <c r="M16" s="51"/>
      <c r="N16" s="51"/>
      <c r="O16" s="51"/>
      <c r="P16" s="51"/>
      <c r="Q16" s="51"/>
      <c r="R16" s="51"/>
      <c r="S16" s="51"/>
      <c r="T16" s="51"/>
      <c r="U16" s="51"/>
      <c r="V16" s="51"/>
      <c r="W16" s="51"/>
      <c r="X16" s="51"/>
      <c r="Y16" s="51"/>
      <c r="Z16" s="51"/>
      <c r="AA16" s="51"/>
      <c r="AB16" s="51"/>
    </row>
    <row r="17" customFormat="false" ht="225" hidden="false" customHeight="true" outlineLevel="0" collapsed="false">
      <c r="A17" s="54" t="s">
        <v>43</v>
      </c>
      <c r="B17" s="55" t="s">
        <v>44</v>
      </c>
      <c r="C17" s="56" t="s">
        <v>18</v>
      </c>
      <c r="D17" s="57" t="s">
        <v>203</v>
      </c>
      <c r="E17" s="87" t="n">
        <f aca="false">IFERROR(__xludf.dummyfunction("COUNTA(SPLIT(D17,"" ""))/COUNTA(SPLIT($B$17,"" ""))"),0.32741116751269)</f>
        <v>0.3274111675</v>
      </c>
      <c r="F17" s="56" t="n">
        <v>3</v>
      </c>
      <c r="G17" s="56" t="n">
        <v>4</v>
      </c>
      <c r="H17" s="56" t="n">
        <v>4</v>
      </c>
      <c r="I17" s="56" t="n">
        <v>4</v>
      </c>
      <c r="J17" s="56" t="n">
        <v>5</v>
      </c>
      <c r="K17" s="59"/>
      <c r="L17" s="59"/>
      <c r="M17" s="59"/>
      <c r="N17" s="59"/>
      <c r="O17" s="59"/>
      <c r="P17" s="59"/>
      <c r="Q17" s="59"/>
      <c r="R17" s="59"/>
      <c r="S17" s="59"/>
      <c r="T17" s="59"/>
      <c r="U17" s="59"/>
      <c r="V17" s="59"/>
      <c r="W17" s="59"/>
      <c r="X17" s="59"/>
      <c r="Y17" s="59"/>
      <c r="Z17" s="59"/>
      <c r="AA17" s="59"/>
      <c r="AB17" s="59"/>
    </row>
    <row r="18" customFormat="false" ht="225" hidden="false" customHeight="true" outlineLevel="0" collapsed="false">
      <c r="A18" s="54"/>
      <c r="B18" s="54"/>
      <c r="C18" s="6" t="s">
        <v>19</v>
      </c>
      <c r="D18" s="49" t="s">
        <v>204</v>
      </c>
      <c r="E18" s="88" t="n">
        <f aca="false">IFERROR(__xludf.dummyfunction("COUNTA(SPLIT(D18,"" ""))/COUNTA(SPLIT($B$17,"" ""))"),0.236040609137056)</f>
        <v>0.2360406091</v>
      </c>
      <c r="F18" s="6" t="n">
        <v>4</v>
      </c>
      <c r="G18" s="6" t="n">
        <v>3</v>
      </c>
      <c r="H18" s="6" t="n">
        <v>4</v>
      </c>
      <c r="I18" s="6" t="n">
        <v>5</v>
      </c>
      <c r="J18" s="6" t="n">
        <v>3</v>
      </c>
      <c r="K18" s="51"/>
      <c r="L18" s="51"/>
      <c r="M18" s="51"/>
      <c r="N18" s="51"/>
      <c r="O18" s="51"/>
      <c r="P18" s="51"/>
      <c r="Q18" s="51"/>
      <c r="R18" s="51"/>
      <c r="S18" s="51"/>
      <c r="T18" s="51"/>
      <c r="U18" s="51"/>
      <c r="V18" s="51"/>
      <c r="W18" s="51"/>
      <c r="X18" s="51"/>
      <c r="Y18" s="51"/>
      <c r="Z18" s="51"/>
      <c r="AA18" s="51"/>
      <c r="AB18" s="51"/>
    </row>
    <row r="19" customFormat="false" ht="225" hidden="false" customHeight="true" outlineLevel="0" collapsed="false">
      <c r="A19" s="54"/>
      <c r="B19" s="54"/>
      <c r="C19" s="6" t="s">
        <v>8</v>
      </c>
      <c r="D19" s="49" t="s">
        <v>205</v>
      </c>
      <c r="E19" s="84" t="n">
        <f aca="false">IFERROR(__xludf.dummyfunction("COUNTA(SPLIT(D19,"" ""))/COUNTA(SPLIT($B$17,"" ""))"),0.368020304568528)</f>
        <v>0.3680203046</v>
      </c>
      <c r="F19" s="6" t="n">
        <v>3</v>
      </c>
      <c r="G19" s="6" t="n">
        <v>3</v>
      </c>
      <c r="H19" s="6" t="n">
        <v>4</v>
      </c>
      <c r="I19" s="6" t="n">
        <v>3</v>
      </c>
      <c r="J19" s="6" t="n">
        <v>3</v>
      </c>
      <c r="K19" s="51"/>
      <c r="L19" s="51"/>
      <c r="M19" s="51"/>
      <c r="N19" s="51"/>
      <c r="O19" s="51"/>
      <c r="P19" s="51"/>
      <c r="Q19" s="51"/>
      <c r="R19" s="51"/>
      <c r="S19" s="51"/>
      <c r="T19" s="51"/>
      <c r="U19" s="51"/>
      <c r="V19" s="51"/>
      <c r="W19" s="51"/>
      <c r="X19" s="51"/>
      <c r="Y19" s="51"/>
      <c r="Z19" s="51"/>
      <c r="AA19" s="51"/>
      <c r="AB19" s="51"/>
    </row>
    <row r="20" customFormat="false" ht="225" hidden="false" customHeight="true" outlineLevel="0" collapsed="false">
      <c r="A20" s="54"/>
      <c r="B20" s="54"/>
      <c r="C20" s="6" t="s">
        <v>20</v>
      </c>
      <c r="D20" s="49" t="s">
        <v>206</v>
      </c>
      <c r="E20" s="89" t="n">
        <f aca="false">IFERROR(__xludf.dummyfunction("COUNTA(SPLIT(D20,"" ""))/COUNTA(SPLIT($B$17,"" ""))"),0.228426395939086)</f>
        <v>0.2284263959</v>
      </c>
      <c r="F20" s="6" t="n">
        <v>5</v>
      </c>
      <c r="G20" s="6" t="n">
        <v>3</v>
      </c>
      <c r="H20" s="6" t="n">
        <v>4</v>
      </c>
      <c r="I20" s="6" t="n">
        <v>5</v>
      </c>
      <c r="J20" s="6" t="n">
        <v>3</v>
      </c>
      <c r="K20" s="51"/>
      <c r="L20" s="51"/>
      <c r="M20" s="51"/>
      <c r="N20" s="51"/>
      <c r="O20" s="51"/>
      <c r="P20" s="51"/>
      <c r="Q20" s="51"/>
      <c r="R20" s="51"/>
      <c r="S20" s="51"/>
      <c r="T20" s="51"/>
      <c r="U20" s="51"/>
      <c r="V20" s="51"/>
      <c r="W20" s="51"/>
      <c r="X20" s="51"/>
      <c r="Y20" s="51"/>
      <c r="Z20" s="51"/>
      <c r="AA20" s="51"/>
      <c r="AB20" s="51"/>
    </row>
    <row r="21" customFormat="false" ht="15.75" hidden="false" customHeight="false" outlineLevel="0" collapsed="false">
      <c r="A21" s="51"/>
      <c r="B21" s="51"/>
      <c r="C21" s="6"/>
      <c r="D21" s="49"/>
      <c r="E21" s="53"/>
      <c r="F21" s="6"/>
      <c r="G21" s="6"/>
      <c r="H21" s="6"/>
      <c r="I21" s="6"/>
      <c r="J21" s="6"/>
      <c r="K21" s="51"/>
      <c r="L21" s="51"/>
      <c r="M21" s="51"/>
      <c r="N21" s="51"/>
      <c r="O21" s="51"/>
      <c r="P21" s="51"/>
      <c r="Q21" s="51"/>
      <c r="R21" s="51"/>
      <c r="S21" s="51"/>
      <c r="T21" s="51"/>
      <c r="U21" s="51"/>
      <c r="V21" s="51"/>
      <c r="W21" s="51"/>
      <c r="X21" s="51"/>
      <c r="Y21" s="51"/>
      <c r="Z21" s="51"/>
      <c r="AA21" s="51"/>
      <c r="AB21" s="51"/>
    </row>
    <row r="22" customFormat="false" ht="225" hidden="false" customHeight="true" outlineLevel="0" collapsed="false">
      <c r="A22" s="54" t="s">
        <v>47</v>
      </c>
      <c r="B22" s="55" t="s">
        <v>48</v>
      </c>
      <c r="C22" s="56" t="s">
        <v>18</v>
      </c>
      <c r="D22" s="57" t="s">
        <v>207</v>
      </c>
      <c r="E22" s="90" t="n">
        <f aca="false">IFERROR(__xludf.dummyfunction("COUNTA(SPLIT(D22,"" ""))/COUNTA(SPLIT($B$22,"" ""))"),0.182022471910112)</f>
        <v>0.1820224719</v>
      </c>
      <c r="F22" s="56" t="n">
        <v>4</v>
      </c>
      <c r="G22" s="56" t="n">
        <v>4</v>
      </c>
      <c r="H22" s="56" t="n">
        <v>4</v>
      </c>
      <c r="I22" s="56" t="n">
        <v>5</v>
      </c>
      <c r="J22" s="56" t="n">
        <v>4</v>
      </c>
      <c r="K22" s="59"/>
      <c r="L22" s="59"/>
      <c r="M22" s="59"/>
      <c r="N22" s="59"/>
      <c r="O22" s="59"/>
      <c r="P22" s="59"/>
      <c r="Q22" s="59"/>
      <c r="R22" s="59"/>
      <c r="S22" s="59"/>
      <c r="T22" s="59"/>
      <c r="U22" s="59"/>
      <c r="V22" s="59"/>
      <c r="W22" s="59"/>
      <c r="X22" s="59"/>
      <c r="Y22" s="59"/>
      <c r="Z22" s="59"/>
      <c r="AA22" s="59"/>
      <c r="AB22" s="59"/>
    </row>
    <row r="23" customFormat="false" ht="225" hidden="false" customHeight="true" outlineLevel="0" collapsed="false">
      <c r="A23" s="54"/>
      <c r="B23" s="54"/>
      <c r="C23" s="6" t="s">
        <v>19</v>
      </c>
      <c r="D23" s="49" t="s">
        <v>208</v>
      </c>
      <c r="E23" s="91" t="n">
        <f aca="false">IFERROR(__xludf.dummyfunction("COUNTA(SPLIT(D23,"" ""))/COUNTA(SPLIT($B$22,"" ""))"),0.247191011235955)</f>
        <v>0.2471910112</v>
      </c>
      <c r="F23" s="6" t="n">
        <v>4</v>
      </c>
      <c r="G23" s="6" t="n">
        <v>2</v>
      </c>
      <c r="H23" s="6" t="n">
        <v>4</v>
      </c>
      <c r="I23" s="6" t="n">
        <v>3</v>
      </c>
      <c r="J23" s="6" t="n">
        <v>3</v>
      </c>
      <c r="K23" s="51"/>
      <c r="L23" s="51"/>
      <c r="M23" s="51"/>
      <c r="N23" s="51"/>
      <c r="O23" s="51"/>
      <c r="P23" s="51"/>
      <c r="Q23" s="51"/>
      <c r="R23" s="51"/>
      <c r="S23" s="51"/>
      <c r="T23" s="51"/>
      <c r="U23" s="51"/>
      <c r="V23" s="51"/>
      <c r="W23" s="51"/>
      <c r="X23" s="51"/>
      <c r="Y23" s="51"/>
      <c r="Z23" s="51"/>
      <c r="AA23" s="51"/>
      <c r="AB23" s="51"/>
    </row>
    <row r="24" customFormat="false" ht="225" hidden="false" customHeight="true" outlineLevel="0" collapsed="false">
      <c r="A24" s="54"/>
      <c r="B24" s="54"/>
      <c r="C24" s="6" t="s">
        <v>8</v>
      </c>
      <c r="D24" s="49" t="s">
        <v>209</v>
      </c>
      <c r="E24" s="92" t="n">
        <f aca="false">IFERROR(__xludf.dummyfunction("COUNTA(SPLIT(D24,"" ""))/COUNTA(SPLIT($B$22,"" ""))"),0.289887640449438)</f>
        <v>0.2898876404</v>
      </c>
      <c r="F24" s="6" t="n">
        <v>3</v>
      </c>
      <c r="G24" s="6" t="n">
        <v>3</v>
      </c>
      <c r="H24" s="6" t="n">
        <v>3</v>
      </c>
      <c r="I24" s="6" t="n">
        <v>3</v>
      </c>
      <c r="J24" s="6" t="n">
        <v>3</v>
      </c>
      <c r="K24" s="51"/>
      <c r="L24" s="51"/>
      <c r="M24" s="51"/>
      <c r="N24" s="51"/>
      <c r="O24" s="51"/>
      <c r="P24" s="51"/>
      <c r="Q24" s="51"/>
      <c r="R24" s="51"/>
      <c r="S24" s="51"/>
      <c r="T24" s="51"/>
      <c r="U24" s="51"/>
      <c r="V24" s="51"/>
      <c r="W24" s="51"/>
      <c r="X24" s="51"/>
      <c r="Y24" s="51"/>
      <c r="Z24" s="51"/>
      <c r="AA24" s="51"/>
      <c r="AB24" s="51"/>
    </row>
    <row r="25" customFormat="false" ht="225" hidden="false" customHeight="true" outlineLevel="0" collapsed="false">
      <c r="A25" s="54"/>
      <c r="B25" s="54"/>
      <c r="C25" s="6" t="s">
        <v>20</v>
      </c>
      <c r="D25" s="49" t="s">
        <v>210</v>
      </c>
      <c r="E25" s="69" t="n">
        <f aca="false">IFERROR(__xludf.dummyfunction("COUNTA(SPLIT(D25,"" ""))/COUNTA(SPLIT($B$22,"" ""))"),0.173033707865169)</f>
        <v>0.1730337079</v>
      </c>
      <c r="F25" s="6" t="n">
        <v>4</v>
      </c>
      <c r="G25" s="6" t="n">
        <v>2</v>
      </c>
      <c r="H25" s="6" t="n">
        <v>3</v>
      </c>
      <c r="I25" s="6" t="n">
        <v>4</v>
      </c>
      <c r="J25" s="6" t="n">
        <v>4</v>
      </c>
      <c r="K25" s="51"/>
      <c r="L25" s="51"/>
      <c r="M25" s="51"/>
      <c r="N25" s="51"/>
      <c r="O25" s="51"/>
      <c r="P25" s="51"/>
      <c r="Q25" s="51"/>
      <c r="R25" s="51"/>
      <c r="S25" s="51"/>
      <c r="T25" s="51"/>
      <c r="U25" s="51"/>
      <c r="V25" s="51"/>
      <c r="W25" s="51"/>
      <c r="X25" s="51"/>
      <c r="Y25" s="51"/>
      <c r="Z25" s="51"/>
      <c r="AA25" s="51"/>
      <c r="AB25" s="51"/>
    </row>
    <row r="26" customFormat="false" ht="15.75" hidden="false" customHeight="false" outlineLevel="0" collapsed="false">
      <c r="A26" s="51"/>
      <c r="B26" s="51"/>
      <c r="C26" s="6"/>
      <c r="D26" s="49"/>
      <c r="E26" s="53"/>
      <c r="F26" s="6"/>
      <c r="G26" s="6"/>
      <c r="H26" s="6"/>
      <c r="I26" s="6"/>
      <c r="J26" s="6"/>
      <c r="K26" s="51"/>
      <c r="L26" s="51"/>
      <c r="M26" s="51"/>
      <c r="N26" s="51"/>
      <c r="O26" s="51"/>
      <c r="P26" s="51"/>
      <c r="Q26" s="51"/>
      <c r="R26" s="51"/>
      <c r="S26" s="51"/>
      <c r="T26" s="51"/>
      <c r="U26" s="51"/>
      <c r="V26" s="51"/>
      <c r="W26" s="51"/>
      <c r="X26" s="51"/>
      <c r="Y26" s="51"/>
      <c r="Z26" s="51"/>
      <c r="AA26" s="51"/>
      <c r="AB26" s="51"/>
    </row>
    <row r="27" customFormat="false" ht="225" hidden="false" customHeight="true" outlineLevel="0" collapsed="false">
      <c r="A27" s="54" t="s">
        <v>51</v>
      </c>
      <c r="B27" s="55" t="s">
        <v>52</v>
      </c>
      <c r="C27" s="56" t="s">
        <v>18</v>
      </c>
      <c r="D27" s="57" t="s">
        <v>211</v>
      </c>
      <c r="E27" s="94" t="n">
        <f aca="false">IFERROR(__xludf.dummyfunction("COUNTA(SPLIT(D27,"" ""))/COUNTA(SPLIT($B$27,"" ""))"),0.181818181818182)</f>
        <v>0.1818181818</v>
      </c>
      <c r="F27" s="56" t="n">
        <v>4</v>
      </c>
      <c r="G27" s="56" t="n">
        <v>5</v>
      </c>
      <c r="H27" s="56" t="n">
        <v>4</v>
      </c>
      <c r="I27" s="56" t="n">
        <v>4</v>
      </c>
      <c r="J27" s="56" t="n">
        <v>5</v>
      </c>
      <c r="K27" s="59"/>
      <c r="L27" s="59"/>
      <c r="M27" s="59"/>
      <c r="N27" s="59"/>
      <c r="O27" s="59"/>
      <c r="P27" s="59"/>
      <c r="Q27" s="59"/>
      <c r="R27" s="59"/>
      <c r="S27" s="59"/>
      <c r="T27" s="59"/>
      <c r="U27" s="59"/>
      <c r="V27" s="59"/>
      <c r="W27" s="59"/>
      <c r="X27" s="59"/>
      <c r="Y27" s="59"/>
      <c r="Z27" s="59"/>
      <c r="AA27" s="59"/>
      <c r="AB27" s="59"/>
    </row>
    <row r="28" customFormat="false" ht="225" hidden="false" customHeight="true" outlineLevel="0" collapsed="false">
      <c r="A28" s="54"/>
      <c r="B28" s="54"/>
      <c r="C28" s="6" t="s">
        <v>19</v>
      </c>
      <c r="D28" s="49" t="s">
        <v>212</v>
      </c>
      <c r="E28" s="95" t="n">
        <f aca="false">IFERROR(__xludf.dummyfunction("COUNTA(SPLIT(D28,"" ""))/COUNTA(SPLIT($B$27,"" ""))"),0.206208425720621)</f>
        <v>0.2062084257</v>
      </c>
      <c r="F28" s="6" t="n">
        <v>4</v>
      </c>
      <c r="G28" s="6" t="n">
        <v>5</v>
      </c>
      <c r="H28" s="6" t="n">
        <v>4</v>
      </c>
      <c r="I28" s="6" t="n">
        <v>3</v>
      </c>
      <c r="J28" s="6" t="n">
        <v>4</v>
      </c>
      <c r="K28" s="51"/>
      <c r="L28" s="51"/>
      <c r="M28" s="51"/>
      <c r="N28" s="51"/>
      <c r="O28" s="51"/>
      <c r="P28" s="51"/>
      <c r="Q28" s="51"/>
      <c r="R28" s="51"/>
      <c r="S28" s="51"/>
      <c r="T28" s="51"/>
      <c r="U28" s="51"/>
      <c r="V28" s="51"/>
      <c r="W28" s="51"/>
      <c r="X28" s="51"/>
      <c r="Y28" s="51"/>
      <c r="Z28" s="51"/>
      <c r="AA28" s="51"/>
      <c r="AB28" s="51"/>
    </row>
    <row r="29" customFormat="false" ht="225" hidden="false" customHeight="true" outlineLevel="0" collapsed="false">
      <c r="A29" s="54"/>
      <c r="B29" s="54"/>
      <c r="C29" s="6" t="s">
        <v>8</v>
      </c>
      <c r="D29" s="49" t="s">
        <v>213</v>
      </c>
      <c r="E29" s="89" t="n">
        <f aca="false">IFERROR(__xludf.dummyfunction("COUNTA(SPLIT(D29,"" ""))/COUNTA(SPLIT($B$27,"" ""))"),0.279379157427938)</f>
        <v>0.2793791574</v>
      </c>
      <c r="F29" s="6" t="n">
        <v>3</v>
      </c>
      <c r="G29" s="6" t="n">
        <v>4</v>
      </c>
      <c r="H29" s="6" t="n">
        <v>5</v>
      </c>
      <c r="I29" s="6" t="n">
        <v>3</v>
      </c>
      <c r="J29" s="6" t="n">
        <v>5</v>
      </c>
      <c r="K29" s="51"/>
      <c r="L29" s="51"/>
      <c r="M29" s="51"/>
      <c r="N29" s="51"/>
      <c r="O29" s="51"/>
      <c r="P29" s="51"/>
      <c r="Q29" s="51"/>
      <c r="R29" s="51"/>
      <c r="S29" s="51"/>
      <c r="T29" s="51"/>
      <c r="U29" s="51"/>
      <c r="V29" s="51"/>
      <c r="W29" s="51"/>
      <c r="X29" s="51"/>
      <c r="Y29" s="51"/>
      <c r="Z29" s="51"/>
      <c r="AA29" s="51"/>
      <c r="AB29" s="51"/>
    </row>
    <row r="30" customFormat="false" ht="225" hidden="false" customHeight="true" outlineLevel="0" collapsed="false">
      <c r="A30" s="54"/>
      <c r="B30" s="54"/>
      <c r="C30" s="6" t="s">
        <v>20</v>
      </c>
      <c r="D30" s="49" t="s">
        <v>214</v>
      </c>
      <c r="E30" s="96" t="n">
        <f aca="false">IFERROR(__xludf.dummyfunction("COUNTA(SPLIT(D30,"" ""))/COUNTA(SPLIT($B$27,"" ""))"),0.172949002217295)</f>
        <v>0.1729490022</v>
      </c>
      <c r="F30" s="6" t="n">
        <v>4</v>
      </c>
      <c r="G30" s="6" t="n">
        <v>5</v>
      </c>
      <c r="H30" s="6" t="n">
        <v>4</v>
      </c>
      <c r="I30" s="6" t="n">
        <v>4</v>
      </c>
      <c r="J30" s="6" t="n">
        <v>5</v>
      </c>
      <c r="K30" s="51"/>
      <c r="L30" s="51"/>
      <c r="M30" s="51"/>
      <c r="N30" s="51"/>
      <c r="O30" s="51"/>
      <c r="P30" s="51"/>
      <c r="Q30" s="51"/>
      <c r="R30" s="51"/>
      <c r="S30" s="51"/>
      <c r="T30" s="51"/>
      <c r="U30" s="51"/>
      <c r="V30" s="51"/>
      <c r="W30" s="51"/>
      <c r="X30" s="51"/>
      <c r="Y30" s="51"/>
      <c r="Z30" s="51"/>
      <c r="AA30" s="51"/>
      <c r="AB30" s="51"/>
    </row>
    <row r="31" customFormat="false" ht="15.75" hidden="false" customHeight="false" outlineLevel="0" collapsed="false">
      <c r="A31" s="51"/>
      <c r="B31" s="51"/>
      <c r="C31" s="6"/>
      <c r="D31" s="49"/>
      <c r="E31" s="53"/>
      <c r="F31" s="6"/>
      <c r="G31" s="6"/>
      <c r="H31" s="6"/>
      <c r="I31" s="6"/>
      <c r="J31" s="6"/>
      <c r="K31" s="51"/>
      <c r="L31" s="51"/>
      <c r="M31" s="51"/>
      <c r="N31" s="51"/>
      <c r="O31" s="51"/>
      <c r="P31" s="51"/>
      <c r="Q31" s="51"/>
      <c r="R31" s="51"/>
      <c r="S31" s="51"/>
      <c r="T31" s="51"/>
      <c r="U31" s="51"/>
      <c r="V31" s="51"/>
      <c r="W31" s="51"/>
      <c r="X31" s="51"/>
      <c r="Y31" s="51"/>
      <c r="Z31" s="51"/>
      <c r="AA31" s="51"/>
      <c r="AB31" s="51"/>
    </row>
    <row r="32" customFormat="false" ht="225" hidden="false" customHeight="true" outlineLevel="0" collapsed="false">
      <c r="A32" s="54" t="s">
        <v>55</v>
      </c>
      <c r="B32" s="55" t="s">
        <v>56</v>
      </c>
      <c r="C32" s="56" t="s">
        <v>18</v>
      </c>
      <c r="D32" s="57" t="s">
        <v>215</v>
      </c>
      <c r="E32" s="68" t="n">
        <f aca="false">IFERROR(__xludf.dummyfunction("COUNTA(SPLIT(D32,"" ""))/COUNTA(SPLIT($B$32,"" ""))"),0.359259259259259)</f>
        <v>0.3592592593</v>
      </c>
      <c r="F32" s="56" t="n">
        <v>4</v>
      </c>
      <c r="G32" s="56" t="n">
        <v>3</v>
      </c>
      <c r="H32" s="56" t="n">
        <v>4</v>
      </c>
      <c r="I32" s="56" t="n">
        <v>5</v>
      </c>
      <c r="J32" s="56" t="n">
        <v>4</v>
      </c>
      <c r="K32" s="59"/>
      <c r="L32" s="59"/>
      <c r="M32" s="59"/>
      <c r="N32" s="59"/>
      <c r="O32" s="59"/>
      <c r="P32" s="59"/>
      <c r="Q32" s="59"/>
      <c r="R32" s="59"/>
      <c r="S32" s="59"/>
      <c r="T32" s="59"/>
      <c r="U32" s="59"/>
      <c r="V32" s="59"/>
      <c r="W32" s="59"/>
      <c r="X32" s="59"/>
      <c r="Y32" s="59"/>
      <c r="Z32" s="59"/>
      <c r="AA32" s="59"/>
      <c r="AB32" s="59"/>
    </row>
    <row r="33" customFormat="false" ht="225" hidden="false" customHeight="true" outlineLevel="0" collapsed="false">
      <c r="A33" s="54"/>
      <c r="B33" s="54"/>
      <c r="C33" s="6" t="s">
        <v>19</v>
      </c>
      <c r="D33" s="49" t="s">
        <v>216</v>
      </c>
      <c r="E33" s="97" t="n">
        <f aca="false">IFERROR(__xludf.dummyfunction("COUNTA(SPLIT(D33,"" ""))/COUNTA(SPLIT($B$32,"" ""))"),0.348148148148148)</f>
        <v>0.3481481481</v>
      </c>
      <c r="F33" s="6" t="n">
        <v>4</v>
      </c>
      <c r="G33" s="6" t="n">
        <v>4</v>
      </c>
      <c r="H33" s="6" t="n">
        <v>3</v>
      </c>
      <c r="I33" s="6" t="n">
        <v>5</v>
      </c>
      <c r="J33" s="6" t="n">
        <v>4</v>
      </c>
      <c r="K33" s="51"/>
      <c r="L33" s="51"/>
      <c r="M33" s="51"/>
      <c r="N33" s="51"/>
      <c r="O33" s="51"/>
      <c r="P33" s="51"/>
      <c r="Q33" s="51"/>
      <c r="R33" s="51"/>
      <c r="S33" s="51"/>
      <c r="T33" s="51"/>
      <c r="U33" s="51"/>
      <c r="V33" s="51"/>
      <c r="W33" s="51"/>
      <c r="X33" s="51"/>
      <c r="Y33" s="51"/>
      <c r="Z33" s="51"/>
      <c r="AA33" s="51"/>
      <c r="AB33" s="51"/>
    </row>
    <row r="34" customFormat="false" ht="225" hidden="false" customHeight="true" outlineLevel="0" collapsed="false">
      <c r="A34" s="54"/>
      <c r="B34" s="54"/>
      <c r="C34" s="6" t="s">
        <v>8</v>
      </c>
      <c r="D34" s="49" t="s">
        <v>217</v>
      </c>
      <c r="E34" s="98" t="n">
        <f aca="false">IFERROR(__xludf.dummyfunction("COUNTA(SPLIT(D34,"" ""))/COUNTA(SPLIT($B$32,"" ""))"),0.37037037037037)</f>
        <v>0.3703703704</v>
      </c>
      <c r="F34" s="6" t="n">
        <v>2</v>
      </c>
      <c r="G34" s="6" t="n">
        <v>4</v>
      </c>
      <c r="H34" s="6" t="n">
        <v>4</v>
      </c>
      <c r="I34" s="6" t="n">
        <v>3</v>
      </c>
      <c r="J34" s="6" t="n">
        <v>3</v>
      </c>
      <c r="K34" s="51"/>
      <c r="L34" s="51"/>
      <c r="M34" s="51"/>
      <c r="N34" s="51"/>
      <c r="O34" s="51"/>
      <c r="P34" s="51"/>
      <c r="Q34" s="51"/>
      <c r="R34" s="51"/>
      <c r="S34" s="51"/>
      <c r="T34" s="51"/>
      <c r="U34" s="51"/>
      <c r="V34" s="51"/>
      <c r="W34" s="51"/>
      <c r="X34" s="51"/>
      <c r="Y34" s="51"/>
      <c r="Z34" s="51"/>
      <c r="AA34" s="51"/>
      <c r="AB34" s="51"/>
    </row>
    <row r="35" customFormat="false" ht="225" hidden="false" customHeight="true" outlineLevel="0" collapsed="false">
      <c r="A35" s="54"/>
      <c r="B35" s="54"/>
      <c r="C35" s="6" t="s">
        <v>20</v>
      </c>
      <c r="D35" s="49" t="s">
        <v>218</v>
      </c>
      <c r="E35" s="64" t="n">
        <f aca="false">IFERROR(__xludf.dummyfunction("COUNTA(SPLIT(D35,"" ""))/COUNTA(SPLIT($B$32,"" ""))"),0.196296296296296)</f>
        <v>0.1962962963</v>
      </c>
      <c r="F35" s="6" t="n">
        <v>3</v>
      </c>
      <c r="G35" s="6" t="n">
        <v>5</v>
      </c>
      <c r="H35" s="6" t="n">
        <v>3</v>
      </c>
      <c r="I35" s="6" t="n">
        <v>5</v>
      </c>
      <c r="J35" s="6" t="n">
        <v>3</v>
      </c>
      <c r="K35" s="51"/>
      <c r="L35" s="51"/>
      <c r="M35" s="51"/>
      <c r="N35" s="51"/>
      <c r="O35" s="51"/>
      <c r="P35" s="51"/>
      <c r="Q35" s="51"/>
      <c r="R35" s="51"/>
      <c r="S35" s="51"/>
      <c r="T35" s="51"/>
      <c r="U35" s="51"/>
      <c r="V35" s="51"/>
      <c r="W35" s="51"/>
      <c r="X35" s="51"/>
      <c r="Y35" s="51"/>
      <c r="Z35" s="51"/>
      <c r="AA35" s="51"/>
      <c r="AB35" s="51"/>
    </row>
    <row r="36" customFormat="false" ht="15.75" hidden="false" customHeight="false" outlineLevel="0" collapsed="false">
      <c r="A36" s="51"/>
      <c r="B36" s="51"/>
      <c r="C36" s="6"/>
      <c r="D36" s="49"/>
      <c r="E36" s="53"/>
      <c r="F36" s="6"/>
      <c r="G36" s="6"/>
      <c r="H36" s="6"/>
      <c r="I36" s="6"/>
      <c r="J36" s="6"/>
      <c r="K36" s="51"/>
      <c r="L36" s="51"/>
      <c r="M36" s="51"/>
      <c r="N36" s="51"/>
      <c r="O36" s="51"/>
      <c r="P36" s="51"/>
      <c r="Q36" s="51"/>
      <c r="R36" s="51"/>
      <c r="S36" s="51"/>
      <c r="T36" s="51"/>
      <c r="U36" s="51"/>
      <c r="V36" s="51"/>
      <c r="W36" s="51"/>
      <c r="X36" s="51"/>
      <c r="Y36" s="51"/>
      <c r="Z36" s="51"/>
      <c r="AA36" s="51"/>
      <c r="AB36" s="51"/>
    </row>
    <row r="37" customFormat="false" ht="225" hidden="false" customHeight="true" outlineLevel="0" collapsed="false">
      <c r="A37" s="99" t="s">
        <v>59</v>
      </c>
      <c r="B37" s="55" t="s">
        <v>60</v>
      </c>
      <c r="C37" s="56" t="s">
        <v>18</v>
      </c>
      <c r="D37" s="57" t="s">
        <v>219</v>
      </c>
      <c r="E37" s="78" t="n">
        <f aca="false">IFERROR(__xludf.dummyfunction("COUNTA(SPLIT(D37,"" ""))/COUNTA(SPLIT($B$37,"" ""))"),0.339622641509434)</f>
        <v>0.3396226415</v>
      </c>
      <c r="F37" s="56" t="n">
        <v>3</v>
      </c>
      <c r="G37" s="56" t="n">
        <v>5</v>
      </c>
      <c r="H37" s="56" t="n">
        <v>3</v>
      </c>
      <c r="I37" s="56" t="n">
        <v>4</v>
      </c>
      <c r="J37" s="56" t="n">
        <v>5</v>
      </c>
      <c r="K37" s="59"/>
      <c r="L37" s="59"/>
      <c r="M37" s="59"/>
      <c r="N37" s="59"/>
      <c r="O37" s="59"/>
      <c r="P37" s="59"/>
      <c r="Q37" s="59"/>
      <c r="R37" s="59"/>
      <c r="S37" s="59"/>
      <c r="T37" s="59"/>
      <c r="U37" s="59"/>
      <c r="V37" s="59"/>
      <c r="W37" s="59"/>
      <c r="X37" s="59"/>
      <c r="Y37" s="59"/>
      <c r="Z37" s="59"/>
      <c r="AA37" s="59"/>
      <c r="AB37" s="59"/>
    </row>
    <row r="38" customFormat="false" ht="225" hidden="false" customHeight="true" outlineLevel="0" collapsed="false">
      <c r="A38" s="99"/>
      <c r="B38" s="99"/>
      <c r="C38" s="6" t="s">
        <v>19</v>
      </c>
      <c r="D38" s="49" t="s">
        <v>220</v>
      </c>
      <c r="E38" s="100" t="n">
        <f aca="false">IFERROR(__xludf.dummyfunction("COUNTA(SPLIT(D38,"" ""))/COUNTA(SPLIT($B$37,"" ""))"),0.292452830188679)</f>
        <v>0.2924528302</v>
      </c>
      <c r="F38" s="6" t="n">
        <v>4</v>
      </c>
      <c r="G38" s="6" t="n">
        <v>5</v>
      </c>
      <c r="H38" s="6" t="n">
        <v>4</v>
      </c>
      <c r="I38" s="6" t="n">
        <v>4</v>
      </c>
      <c r="J38" s="6" t="n">
        <v>5</v>
      </c>
      <c r="K38" s="51"/>
      <c r="L38" s="51"/>
      <c r="M38" s="51"/>
      <c r="N38" s="51"/>
      <c r="O38" s="51"/>
      <c r="P38" s="51"/>
      <c r="Q38" s="51"/>
      <c r="R38" s="51"/>
      <c r="S38" s="51"/>
      <c r="T38" s="51"/>
      <c r="U38" s="51"/>
      <c r="V38" s="51"/>
      <c r="W38" s="51"/>
      <c r="X38" s="51"/>
      <c r="Y38" s="51"/>
      <c r="Z38" s="51"/>
      <c r="AA38" s="51"/>
      <c r="AB38" s="51"/>
    </row>
    <row r="39" customFormat="false" ht="225" hidden="false" customHeight="true" outlineLevel="0" collapsed="false">
      <c r="A39" s="99"/>
      <c r="B39" s="99"/>
      <c r="C39" s="6" t="s">
        <v>8</v>
      </c>
      <c r="D39" s="49" t="s">
        <v>221</v>
      </c>
      <c r="E39" s="86" t="n">
        <f aca="false">IFERROR(__xludf.dummyfunction("COUNTA(SPLIT(D39,"" ""))/COUNTA(SPLIT($B$37,"" ""))"),0.292452830188679)</f>
        <v>0.2924528302</v>
      </c>
      <c r="F39" s="6" t="n">
        <v>2</v>
      </c>
      <c r="G39" s="6" t="n">
        <v>4</v>
      </c>
      <c r="H39" s="6" t="n">
        <v>4</v>
      </c>
      <c r="I39" s="6" t="n">
        <v>4</v>
      </c>
      <c r="J39" s="6" t="n">
        <v>4</v>
      </c>
      <c r="K39" s="51"/>
      <c r="L39" s="51"/>
      <c r="M39" s="51"/>
      <c r="N39" s="51"/>
      <c r="O39" s="51"/>
      <c r="P39" s="51"/>
      <c r="Q39" s="51"/>
      <c r="R39" s="51"/>
      <c r="S39" s="51"/>
      <c r="T39" s="51"/>
      <c r="U39" s="51"/>
      <c r="V39" s="51"/>
      <c r="W39" s="51"/>
      <c r="X39" s="51"/>
      <c r="Y39" s="51"/>
      <c r="Z39" s="51"/>
      <c r="AA39" s="51"/>
      <c r="AB39" s="51"/>
    </row>
    <row r="40" customFormat="false" ht="225" hidden="false" customHeight="true" outlineLevel="0" collapsed="false">
      <c r="A40" s="99"/>
      <c r="B40" s="99"/>
      <c r="C40" s="6" t="s">
        <v>20</v>
      </c>
      <c r="D40" s="49" t="s">
        <v>222</v>
      </c>
      <c r="E40" s="80" t="n">
        <f aca="false">IFERROR(__xludf.dummyfunction("COUNTA(SPLIT(D40,"" ""))/COUNTA(SPLIT($B$37,"" ""))"),0.188679245283019)</f>
        <v>0.1886792453</v>
      </c>
      <c r="F40" s="6" t="n">
        <v>4</v>
      </c>
      <c r="G40" s="6" t="n">
        <v>4</v>
      </c>
      <c r="H40" s="6" t="n">
        <v>4</v>
      </c>
      <c r="I40" s="6" t="n">
        <v>5</v>
      </c>
      <c r="J40" s="6" t="n">
        <v>4</v>
      </c>
      <c r="K40" s="51"/>
      <c r="L40" s="51"/>
      <c r="M40" s="51"/>
      <c r="N40" s="51"/>
      <c r="O40" s="51"/>
      <c r="P40" s="51"/>
      <c r="Q40" s="51"/>
      <c r="R40" s="51"/>
      <c r="S40" s="51"/>
      <c r="T40" s="51"/>
      <c r="U40" s="51"/>
      <c r="V40" s="51"/>
      <c r="W40" s="51"/>
      <c r="X40" s="51"/>
      <c r="Y40" s="51"/>
      <c r="Z40" s="51"/>
      <c r="AA40" s="51"/>
      <c r="AB40" s="51"/>
    </row>
    <row r="41" customFormat="false" ht="15.75" hidden="false" customHeight="false" outlineLevel="0" collapsed="false">
      <c r="A41" s="51"/>
      <c r="B41" s="51"/>
      <c r="C41" s="6"/>
      <c r="D41" s="49"/>
      <c r="E41" s="53"/>
      <c r="F41" s="6"/>
      <c r="G41" s="6"/>
      <c r="H41" s="6"/>
      <c r="I41" s="6"/>
      <c r="J41" s="6"/>
      <c r="K41" s="51"/>
      <c r="L41" s="51"/>
      <c r="M41" s="51"/>
      <c r="N41" s="51"/>
      <c r="O41" s="51"/>
      <c r="P41" s="51"/>
      <c r="Q41" s="51"/>
      <c r="R41" s="51"/>
      <c r="S41" s="51"/>
      <c r="T41" s="51"/>
      <c r="U41" s="51"/>
      <c r="V41" s="51"/>
      <c r="W41" s="51"/>
      <c r="X41" s="51"/>
      <c r="Y41" s="51"/>
      <c r="Z41" s="51"/>
      <c r="AA41" s="51"/>
      <c r="AB41" s="51"/>
    </row>
    <row r="42" customFormat="false" ht="225" hidden="false" customHeight="true" outlineLevel="0" collapsed="false">
      <c r="A42" s="54" t="s">
        <v>63</v>
      </c>
      <c r="B42" s="55" t="s">
        <v>64</v>
      </c>
      <c r="C42" s="56" t="s">
        <v>18</v>
      </c>
      <c r="D42" s="57" t="s">
        <v>223</v>
      </c>
      <c r="E42" s="78" t="n">
        <f aca="false">IFERROR(__xludf.dummyfunction("COUNTA(SPLIT(D42,"" ""))/COUNTA(SPLIT($B$42,"" ""))"),0.160899653979239)</f>
        <v>0.160899654</v>
      </c>
      <c r="F42" s="56" t="n">
        <v>4</v>
      </c>
      <c r="G42" s="56" t="n">
        <v>5</v>
      </c>
      <c r="H42" s="56" t="n">
        <v>4</v>
      </c>
      <c r="I42" s="56" t="n">
        <v>5</v>
      </c>
      <c r="J42" s="56" t="n">
        <v>4</v>
      </c>
      <c r="K42" s="59"/>
      <c r="L42" s="59"/>
      <c r="M42" s="59"/>
      <c r="N42" s="59"/>
      <c r="O42" s="59"/>
      <c r="P42" s="59"/>
      <c r="Q42" s="59"/>
      <c r="R42" s="59"/>
      <c r="S42" s="59"/>
      <c r="T42" s="59"/>
      <c r="U42" s="59"/>
      <c r="V42" s="59"/>
      <c r="W42" s="59"/>
      <c r="X42" s="59"/>
      <c r="Y42" s="59"/>
      <c r="Z42" s="59"/>
      <c r="AA42" s="59"/>
      <c r="AB42" s="59"/>
    </row>
    <row r="43" customFormat="false" ht="225" hidden="false" customHeight="true" outlineLevel="0" collapsed="false">
      <c r="A43" s="54"/>
      <c r="B43" s="54"/>
      <c r="C43" s="6" t="s">
        <v>19</v>
      </c>
      <c r="D43" s="49" t="s">
        <v>224</v>
      </c>
      <c r="E43" s="78" t="n">
        <f aca="false">IFERROR(__xludf.dummyfunction("COUNTA(SPLIT(D43,"" ""))/COUNTA(SPLIT($B$42,"" ""))"),0.219723183391003)</f>
        <v>0.2197231834</v>
      </c>
      <c r="F43" s="6" t="n">
        <v>4</v>
      </c>
      <c r="G43" s="6" t="n">
        <v>5</v>
      </c>
      <c r="H43" s="6" t="n">
        <v>4</v>
      </c>
      <c r="I43" s="6" t="n">
        <v>3</v>
      </c>
      <c r="J43" s="6" t="n">
        <v>4</v>
      </c>
      <c r="K43" s="51"/>
      <c r="L43" s="51"/>
      <c r="M43" s="51"/>
      <c r="N43" s="51"/>
      <c r="O43" s="51"/>
      <c r="P43" s="51"/>
      <c r="Q43" s="51"/>
      <c r="R43" s="51"/>
      <c r="S43" s="51"/>
      <c r="T43" s="51"/>
      <c r="U43" s="51"/>
      <c r="V43" s="51"/>
      <c r="W43" s="51"/>
      <c r="X43" s="51"/>
      <c r="Y43" s="51"/>
      <c r="Z43" s="51"/>
      <c r="AA43" s="51"/>
      <c r="AB43" s="51"/>
    </row>
    <row r="44" customFormat="false" ht="225" hidden="false" customHeight="true" outlineLevel="0" collapsed="false">
      <c r="A44" s="54"/>
      <c r="B44" s="54"/>
      <c r="C44" s="6" t="s">
        <v>8</v>
      </c>
      <c r="D44" s="49" t="s">
        <v>225</v>
      </c>
      <c r="E44" s="101" t="n">
        <f aca="false">IFERROR(__xludf.dummyfunction("COUNTA(SPLIT(D44,"" ""))/COUNTA(SPLIT($B$42,"" ""))"),0.186851211072664)</f>
        <v>0.1868512111</v>
      </c>
      <c r="F44" s="6" t="n">
        <v>3</v>
      </c>
      <c r="G44" s="6" t="n">
        <v>5</v>
      </c>
      <c r="H44" s="6" t="n">
        <v>4</v>
      </c>
      <c r="I44" s="6" t="n">
        <v>3</v>
      </c>
      <c r="J44" s="6" t="n">
        <v>3</v>
      </c>
      <c r="K44" s="51"/>
      <c r="L44" s="51"/>
      <c r="M44" s="51"/>
      <c r="N44" s="51"/>
      <c r="O44" s="51"/>
      <c r="P44" s="51"/>
      <c r="Q44" s="51"/>
      <c r="R44" s="51"/>
      <c r="S44" s="51"/>
      <c r="T44" s="51"/>
      <c r="U44" s="51"/>
      <c r="V44" s="51"/>
      <c r="W44" s="51"/>
      <c r="X44" s="51"/>
      <c r="Y44" s="51"/>
      <c r="Z44" s="51"/>
      <c r="AA44" s="51"/>
      <c r="AB44" s="51"/>
    </row>
    <row r="45" customFormat="false" ht="225" hidden="false" customHeight="true" outlineLevel="0" collapsed="false">
      <c r="A45" s="54"/>
      <c r="B45" s="54"/>
      <c r="C45" s="6" t="s">
        <v>20</v>
      </c>
      <c r="D45" s="49" t="s">
        <v>226</v>
      </c>
      <c r="E45" s="96" t="n">
        <f aca="false">IFERROR(__xludf.dummyfunction("COUNTA(SPLIT(D45,"" ""))/COUNTA(SPLIT($B$42,"" ""))"),0.171280276816609)</f>
        <v>0.1712802768</v>
      </c>
      <c r="F45" s="6" t="n">
        <v>4</v>
      </c>
      <c r="G45" s="6" t="n">
        <v>5</v>
      </c>
      <c r="H45" s="6" t="n">
        <v>4</v>
      </c>
      <c r="I45" s="6" t="n">
        <v>4</v>
      </c>
      <c r="J45" s="6" t="n">
        <v>4</v>
      </c>
      <c r="K45" s="51"/>
      <c r="L45" s="51"/>
      <c r="M45" s="51"/>
      <c r="N45" s="51"/>
      <c r="O45" s="51"/>
      <c r="P45" s="51"/>
      <c r="Q45" s="51"/>
      <c r="R45" s="51"/>
      <c r="S45" s="51"/>
      <c r="T45" s="51"/>
      <c r="U45" s="51"/>
      <c r="V45" s="51"/>
      <c r="W45" s="51"/>
      <c r="X45" s="51"/>
      <c r="Y45" s="51"/>
      <c r="Z45" s="51"/>
      <c r="AA45" s="51"/>
      <c r="AB45" s="51"/>
    </row>
    <row r="46" customFormat="false" ht="15.75" hidden="false" customHeight="false" outlineLevel="0" collapsed="false">
      <c r="A46" s="51"/>
      <c r="B46" s="51"/>
      <c r="C46" s="6"/>
      <c r="D46" s="49"/>
      <c r="E46" s="53"/>
      <c r="F46" s="6"/>
      <c r="G46" s="6"/>
      <c r="H46" s="6"/>
      <c r="I46" s="6"/>
      <c r="J46" s="6"/>
      <c r="K46" s="51"/>
      <c r="L46" s="51"/>
      <c r="M46" s="51"/>
      <c r="N46" s="51"/>
      <c r="O46" s="51"/>
      <c r="P46" s="51"/>
      <c r="Q46" s="51"/>
      <c r="R46" s="51"/>
      <c r="S46" s="51"/>
      <c r="T46" s="51"/>
      <c r="U46" s="51"/>
      <c r="V46" s="51"/>
      <c r="W46" s="51"/>
      <c r="X46" s="51"/>
      <c r="Y46" s="51"/>
      <c r="Z46" s="51"/>
      <c r="AA46" s="51"/>
      <c r="AB46" s="51"/>
    </row>
    <row r="47" customFormat="false" ht="225" hidden="false" customHeight="true" outlineLevel="0" collapsed="false">
      <c r="A47" s="54" t="s">
        <v>67</v>
      </c>
      <c r="B47" s="55" t="s">
        <v>68</v>
      </c>
      <c r="C47" s="56" t="s">
        <v>18</v>
      </c>
      <c r="D47" s="57" t="s">
        <v>227</v>
      </c>
      <c r="E47" s="102" t="n">
        <f aca="false">IFERROR(__xludf.dummyfunction("COUNTA(SPLIT(D47,"" ""))/COUNTA(SPLIT($B$47,"" ""))"),0.319047619047619)</f>
        <v>0.319047619</v>
      </c>
      <c r="F47" s="56" t="n">
        <v>4</v>
      </c>
      <c r="G47" s="56" t="n">
        <v>4</v>
      </c>
      <c r="H47" s="56" t="n">
        <v>4</v>
      </c>
      <c r="I47" s="56" t="n">
        <v>4</v>
      </c>
      <c r="J47" s="56" t="n">
        <v>5</v>
      </c>
      <c r="K47" s="59"/>
      <c r="L47" s="59"/>
      <c r="M47" s="59"/>
      <c r="N47" s="59"/>
      <c r="O47" s="59"/>
      <c r="P47" s="59"/>
      <c r="Q47" s="59"/>
      <c r="R47" s="59"/>
      <c r="S47" s="59"/>
      <c r="T47" s="59"/>
      <c r="U47" s="59"/>
      <c r="V47" s="59"/>
      <c r="W47" s="59"/>
      <c r="X47" s="59"/>
      <c r="Y47" s="59"/>
      <c r="Z47" s="59"/>
      <c r="AA47" s="59"/>
      <c r="AB47" s="59"/>
    </row>
    <row r="48" customFormat="false" ht="225" hidden="false" customHeight="true" outlineLevel="0" collapsed="false">
      <c r="A48" s="54"/>
      <c r="B48" s="54"/>
      <c r="C48" s="6" t="s">
        <v>19</v>
      </c>
      <c r="D48" s="49" t="s">
        <v>228</v>
      </c>
      <c r="E48" s="73" t="n">
        <f aca="false">IFERROR(__xludf.dummyfunction("COUNTA(SPLIT(D48,"" ""))/COUNTA(SPLIT($B$47,"" ""))"),0.266666666666667)</f>
        <v>0.2666666667</v>
      </c>
      <c r="F48" s="6" t="n">
        <v>4</v>
      </c>
      <c r="G48" s="6" t="n">
        <v>4</v>
      </c>
      <c r="H48" s="6" t="n">
        <v>4</v>
      </c>
      <c r="I48" s="6" t="n">
        <v>5</v>
      </c>
      <c r="J48" s="6" t="n">
        <v>4</v>
      </c>
      <c r="K48" s="51"/>
      <c r="L48" s="51"/>
      <c r="M48" s="51"/>
      <c r="N48" s="51"/>
      <c r="O48" s="51"/>
      <c r="P48" s="51"/>
      <c r="Q48" s="51"/>
      <c r="R48" s="51"/>
      <c r="S48" s="51"/>
      <c r="T48" s="51"/>
      <c r="U48" s="51"/>
      <c r="V48" s="51"/>
      <c r="W48" s="51"/>
      <c r="X48" s="51"/>
      <c r="Y48" s="51"/>
      <c r="Z48" s="51"/>
      <c r="AA48" s="51"/>
      <c r="AB48" s="51"/>
    </row>
    <row r="49" customFormat="false" ht="225" hidden="false" customHeight="true" outlineLevel="0" collapsed="false">
      <c r="A49" s="54"/>
      <c r="B49" s="54"/>
      <c r="C49" s="6" t="s">
        <v>8</v>
      </c>
      <c r="D49" s="49" t="s">
        <v>229</v>
      </c>
      <c r="E49" s="74" t="n">
        <f aca="false">IFERROR(__xludf.dummyfunction("COUNTA(SPLIT(D49,"" ""))/COUNTA(SPLIT($B$47,"" ""))"),0.571428571428571)</f>
        <v>0.5714285714</v>
      </c>
      <c r="F49" s="6" t="n">
        <v>3</v>
      </c>
      <c r="G49" s="6" t="n">
        <v>5</v>
      </c>
      <c r="H49" s="6" t="n">
        <v>3</v>
      </c>
      <c r="I49" s="6" t="n">
        <v>4</v>
      </c>
      <c r="J49" s="6" t="n">
        <v>4</v>
      </c>
      <c r="K49" s="51"/>
      <c r="L49" s="51"/>
      <c r="M49" s="51"/>
      <c r="N49" s="51"/>
      <c r="O49" s="51"/>
      <c r="P49" s="51"/>
      <c r="Q49" s="51"/>
      <c r="R49" s="51"/>
      <c r="S49" s="51"/>
      <c r="T49" s="51"/>
      <c r="U49" s="51"/>
      <c r="V49" s="51"/>
      <c r="W49" s="51"/>
      <c r="X49" s="51"/>
      <c r="Y49" s="51"/>
      <c r="Z49" s="51"/>
      <c r="AA49" s="51"/>
      <c r="AB49" s="51"/>
    </row>
    <row r="50" customFormat="false" ht="225" hidden="false" customHeight="true" outlineLevel="0" collapsed="false">
      <c r="A50" s="54"/>
      <c r="B50" s="54"/>
      <c r="C50" s="6" t="s">
        <v>20</v>
      </c>
      <c r="D50" s="49" t="s">
        <v>230</v>
      </c>
      <c r="E50" s="75" t="n">
        <f aca="false">IFERROR(__xludf.dummyfunction("COUNTA(SPLIT(D50,"" ""))/COUNTA(SPLIT($B$47,"" ""))"),0.252380952380952)</f>
        <v>0.2523809524</v>
      </c>
      <c r="F50" s="6" t="n">
        <v>4</v>
      </c>
      <c r="G50" s="6" t="n">
        <v>5</v>
      </c>
      <c r="H50" s="6" t="n">
        <v>4</v>
      </c>
      <c r="I50" s="6" t="n">
        <v>5</v>
      </c>
      <c r="J50" s="6" t="n">
        <v>3</v>
      </c>
      <c r="K50" s="51"/>
      <c r="L50" s="51"/>
      <c r="M50" s="51"/>
      <c r="N50" s="51"/>
      <c r="O50" s="51"/>
      <c r="P50" s="51"/>
      <c r="Q50" s="51"/>
      <c r="R50" s="51"/>
      <c r="S50" s="51"/>
      <c r="T50" s="51"/>
      <c r="U50" s="51"/>
      <c r="V50" s="51"/>
      <c r="W50" s="51"/>
      <c r="X50" s="51"/>
      <c r="Y50" s="51"/>
      <c r="Z50" s="51"/>
      <c r="AA50" s="51"/>
      <c r="AB50" s="51"/>
    </row>
    <row r="51" customFormat="false" ht="15.75" hidden="false" customHeight="false" outlineLevel="0" collapsed="false">
      <c r="A51" s="51"/>
      <c r="B51" s="51"/>
      <c r="C51" s="6"/>
      <c r="D51" s="49"/>
      <c r="E51" s="51"/>
      <c r="F51" s="6"/>
      <c r="G51" s="6"/>
      <c r="H51" s="6"/>
      <c r="I51" s="6"/>
      <c r="J51" s="6"/>
      <c r="K51" s="51"/>
      <c r="L51" s="51"/>
      <c r="M51" s="51"/>
      <c r="N51" s="51"/>
      <c r="O51" s="51"/>
      <c r="P51" s="51"/>
      <c r="Q51" s="51"/>
      <c r="R51" s="51"/>
      <c r="S51" s="51"/>
      <c r="T51" s="51"/>
      <c r="U51" s="51"/>
      <c r="V51" s="51"/>
      <c r="W51" s="51"/>
      <c r="X51" s="51"/>
      <c r="Y51" s="51"/>
      <c r="Z51" s="51"/>
      <c r="AA51" s="51"/>
      <c r="AB51" s="51"/>
    </row>
    <row r="52" customFormat="false" ht="15.75" hidden="false" customHeight="false" outlineLevel="0" collapsed="false">
      <c r="A52" s="71"/>
      <c r="B52" s="55"/>
      <c r="C52" s="56" t="s">
        <v>18</v>
      </c>
      <c r="D52" s="57"/>
      <c r="E52" s="72" t="n">
        <f aca="false">IFERROR(__xludf.dummyfunction("COUNTA(SPLIT(D52,"" ""))/COUNTA(SPLIT($B$47,"" ""))"),0.00476190476190476)</f>
        <v>0.004761904762</v>
      </c>
      <c r="F52" s="56"/>
      <c r="G52" s="56"/>
      <c r="H52" s="56"/>
      <c r="I52" s="56"/>
      <c r="J52" s="56"/>
      <c r="K52" s="59"/>
      <c r="L52" s="59"/>
      <c r="M52" s="59"/>
      <c r="N52" s="59"/>
      <c r="O52" s="59"/>
      <c r="P52" s="59"/>
      <c r="Q52" s="59"/>
      <c r="R52" s="59"/>
      <c r="S52" s="59"/>
      <c r="T52" s="59"/>
      <c r="U52" s="59"/>
      <c r="V52" s="59"/>
      <c r="W52" s="59"/>
      <c r="X52" s="59"/>
      <c r="Y52" s="59"/>
      <c r="Z52" s="59"/>
      <c r="AA52" s="59"/>
      <c r="AB52" s="59"/>
    </row>
    <row r="53" customFormat="false" ht="15.75" hidden="false" customHeight="false" outlineLevel="0" collapsed="false">
      <c r="A53" s="71"/>
      <c r="B53" s="71"/>
      <c r="C53" s="6" t="s">
        <v>19</v>
      </c>
      <c r="D53" s="49"/>
      <c r="E53" s="73" t="n">
        <f aca="false">IFERROR(__xludf.dummyfunction("COUNTA(SPLIT(D53,"" ""))/COUNTA(SPLIT($B$47,"" ""))"),0.00476190476190476)</f>
        <v>0.004761904762</v>
      </c>
      <c r="F53" s="6"/>
      <c r="G53" s="6"/>
      <c r="H53" s="6"/>
      <c r="I53" s="6"/>
      <c r="J53" s="6"/>
      <c r="K53" s="51"/>
      <c r="L53" s="51"/>
      <c r="M53" s="51"/>
      <c r="N53" s="51"/>
      <c r="O53" s="51"/>
      <c r="P53" s="51"/>
      <c r="Q53" s="51"/>
      <c r="R53" s="51"/>
      <c r="S53" s="51"/>
      <c r="T53" s="51"/>
      <c r="U53" s="51"/>
      <c r="V53" s="51"/>
      <c r="W53" s="51"/>
      <c r="X53" s="51"/>
      <c r="Y53" s="51"/>
      <c r="Z53" s="51"/>
      <c r="AA53" s="51"/>
      <c r="AB53" s="51"/>
    </row>
    <row r="54" customFormat="false" ht="15.75" hidden="false" customHeight="false" outlineLevel="0" collapsed="false">
      <c r="A54" s="71"/>
      <c r="B54" s="71"/>
      <c r="C54" s="6" t="s">
        <v>8</v>
      </c>
      <c r="D54" s="49"/>
      <c r="E54" s="74" t="n">
        <f aca="false">IFERROR(__xludf.dummyfunction("COUNTA(SPLIT(D54,"" ""))/COUNTA(SPLIT($B$47,"" ""))"),0.00476190476190476)</f>
        <v>0.004761904762</v>
      </c>
      <c r="F54" s="6"/>
      <c r="G54" s="6"/>
      <c r="H54" s="6"/>
      <c r="I54" s="6"/>
      <c r="J54" s="6"/>
      <c r="K54" s="51"/>
      <c r="L54" s="51"/>
      <c r="M54" s="51"/>
      <c r="N54" s="51"/>
      <c r="O54" s="51"/>
      <c r="P54" s="51"/>
      <c r="Q54" s="51"/>
      <c r="R54" s="51"/>
      <c r="S54" s="51"/>
      <c r="T54" s="51"/>
      <c r="U54" s="51"/>
      <c r="V54" s="51"/>
      <c r="W54" s="51"/>
      <c r="X54" s="51"/>
      <c r="Y54" s="51"/>
      <c r="Z54" s="51"/>
      <c r="AA54" s="51"/>
      <c r="AB54" s="51"/>
    </row>
    <row r="55" customFormat="false" ht="15.75" hidden="false" customHeight="false" outlineLevel="0" collapsed="false">
      <c r="A55" s="71"/>
      <c r="B55" s="71"/>
      <c r="C55" s="6" t="s">
        <v>20</v>
      </c>
      <c r="D55" s="49"/>
      <c r="E55" s="75" t="n">
        <f aca="false">IFERROR(__xludf.dummyfunction("COUNTA(SPLIT(D55,"" ""))/COUNTA(SPLIT($B$47,"" ""))"),0.00476190476190476)</f>
        <v>0.004761904762</v>
      </c>
      <c r="F55" s="6"/>
      <c r="G55" s="6"/>
      <c r="H55" s="6"/>
      <c r="I55" s="6"/>
      <c r="J55" s="6"/>
      <c r="K55" s="51"/>
      <c r="L55" s="51"/>
      <c r="M55" s="51"/>
      <c r="N55" s="51"/>
      <c r="O55" s="51"/>
      <c r="P55" s="51"/>
      <c r="Q55" s="51"/>
      <c r="R55" s="51"/>
      <c r="S55" s="51"/>
      <c r="T55" s="51"/>
      <c r="U55" s="51"/>
      <c r="V55" s="51"/>
      <c r="W55" s="51"/>
      <c r="X55" s="51"/>
      <c r="Y55" s="51"/>
      <c r="Z55" s="51"/>
      <c r="AA55" s="51"/>
      <c r="AB55" s="51"/>
    </row>
    <row r="56" customFormat="false" ht="15.75" hidden="false" customHeight="false" outlineLevel="0" collapsed="false">
      <c r="A56" s="51"/>
      <c r="B56" s="51"/>
      <c r="C56" s="6"/>
      <c r="D56" s="49"/>
      <c r="E56" s="51"/>
      <c r="F56" s="6"/>
      <c r="G56" s="6"/>
      <c r="H56" s="6"/>
      <c r="I56" s="6"/>
      <c r="J56" s="6"/>
      <c r="K56" s="51"/>
      <c r="L56" s="51"/>
      <c r="M56" s="51"/>
      <c r="N56" s="51"/>
      <c r="O56" s="51"/>
      <c r="P56" s="51"/>
      <c r="Q56" s="51"/>
      <c r="R56" s="51"/>
      <c r="S56" s="51"/>
      <c r="T56" s="51"/>
      <c r="U56" s="51"/>
      <c r="V56" s="51"/>
      <c r="W56" s="51"/>
      <c r="X56" s="51"/>
      <c r="Y56" s="51"/>
      <c r="Z56" s="51"/>
      <c r="AA56" s="51"/>
      <c r="AB56" s="51"/>
    </row>
    <row r="57" customFormat="false" ht="15.75" hidden="false" customHeight="false" outlineLevel="0" collapsed="false">
      <c r="A57" s="71"/>
      <c r="B57" s="55"/>
      <c r="C57" s="56" t="s">
        <v>18</v>
      </c>
      <c r="D57" s="57"/>
      <c r="E57" s="72" t="n">
        <f aca="false">IFERROR(__xludf.dummyfunction("COUNTA(SPLIT(D57,"" ""))/COUNTA(SPLIT($B$47,"" ""))"),0.00476190476190476)</f>
        <v>0.004761904762</v>
      </c>
      <c r="F57" s="56"/>
      <c r="G57" s="56"/>
      <c r="H57" s="56"/>
      <c r="I57" s="56"/>
      <c r="J57" s="56"/>
      <c r="K57" s="59"/>
      <c r="L57" s="59"/>
      <c r="M57" s="59"/>
      <c r="N57" s="59"/>
      <c r="O57" s="59"/>
      <c r="P57" s="59"/>
      <c r="Q57" s="59"/>
      <c r="R57" s="59"/>
      <c r="S57" s="59"/>
      <c r="T57" s="59"/>
      <c r="U57" s="59"/>
      <c r="V57" s="59"/>
      <c r="W57" s="59"/>
      <c r="X57" s="59"/>
      <c r="Y57" s="59"/>
      <c r="Z57" s="59"/>
      <c r="AA57" s="59"/>
      <c r="AB57" s="59"/>
    </row>
    <row r="58" customFormat="false" ht="15.75" hidden="false" customHeight="false" outlineLevel="0" collapsed="false">
      <c r="A58" s="71"/>
      <c r="B58" s="71"/>
      <c r="C58" s="6" t="s">
        <v>19</v>
      </c>
      <c r="D58" s="49"/>
      <c r="E58" s="73" t="n">
        <f aca="false">IFERROR(__xludf.dummyfunction("COUNTA(SPLIT(D58,"" ""))/COUNTA(SPLIT($B$47,"" ""))"),0.00476190476190476)</f>
        <v>0.004761904762</v>
      </c>
      <c r="F58" s="6"/>
      <c r="G58" s="6"/>
      <c r="H58" s="6"/>
      <c r="I58" s="6"/>
      <c r="J58" s="6"/>
      <c r="K58" s="51"/>
      <c r="L58" s="51"/>
      <c r="M58" s="51"/>
      <c r="N58" s="51"/>
      <c r="O58" s="51"/>
      <c r="P58" s="51"/>
      <c r="Q58" s="51"/>
      <c r="R58" s="51"/>
      <c r="S58" s="51"/>
      <c r="T58" s="51"/>
      <c r="U58" s="51"/>
      <c r="V58" s="51"/>
      <c r="W58" s="51"/>
      <c r="X58" s="51"/>
      <c r="Y58" s="51"/>
      <c r="Z58" s="51"/>
      <c r="AA58" s="51"/>
      <c r="AB58" s="51"/>
    </row>
    <row r="59" customFormat="false" ht="15.75" hidden="false" customHeight="false" outlineLevel="0" collapsed="false">
      <c r="A59" s="71"/>
      <c r="B59" s="71"/>
      <c r="C59" s="6" t="s">
        <v>8</v>
      </c>
      <c r="D59" s="49"/>
      <c r="E59" s="74" t="n">
        <f aca="false">IFERROR(__xludf.dummyfunction("COUNTA(SPLIT(D59,"" ""))/COUNTA(SPLIT($B$47,"" ""))"),0.00476190476190476)</f>
        <v>0.004761904762</v>
      </c>
      <c r="F59" s="6"/>
      <c r="G59" s="6"/>
      <c r="H59" s="6"/>
      <c r="I59" s="6"/>
      <c r="J59" s="6"/>
      <c r="K59" s="51"/>
      <c r="L59" s="51"/>
      <c r="M59" s="51"/>
      <c r="N59" s="51"/>
      <c r="O59" s="51"/>
      <c r="P59" s="51"/>
      <c r="Q59" s="51"/>
      <c r="R59" s="51"/>
      <c r="S59" s="51"/>
      <c r="T59" s="51"/>
      <c r="U59" s="51"/>
      <c r="V59" s="51"/>
      <c r="W59" s="51"/>
      <c r="X59" s="51"/>
      <c r="Y59" s="51"/>
      <c r="Z59" s="51"/>
      <c r="AA59" s="51"/>
      <c r="AB59" s="51"/>
    </row>
    <row r="60" customFormat="false" ht="15.75" hidden="false" customHeight="false" outlineLevel="0" collapsed="false">
      <c r="A60" s="71"/>
      <c r="B60" s="71"/>
      <c r="C60" s="6" t="s">
        <v>20</v>
      </c>
      <c r="D60" s="49"/>
      <c r="E60" s="75" t="n">
        <f aca="false">IFERROR(__xludf.dummyfunction("COUNTA(SPLIT(D60,"" ""))/COUNTA(SPLIT($B$47,"" ""))"),0.00476190476190476)</f>
        <v>0.004761904762</v>
      </c>
      <c r="F60" s="6"/>
      <c r="G60" s="6"/>
      <c r="H60" s="6"/>
      <c r="I60" s="6"/>
      <c r="J60" s="6"/>
      <c r="K60" s="51"/>
      <c r="L60" s="51"/>
      <c r="M60" s="51"/>
      <c r="N60" s="51"/>
      <c r="O60" s="51"/>
      <c r="P60" s="51"/>
      <c r="Q60" s="51"/>
      <c r="R60" s="51"/>
      <c r="S60" s="51"/>
      <c r="T60" s="51"/>
      <c r="U60" s="51"/>
      <c r="V60" s="51"/>
      <c r="W60" s="51"/>
      <c r="X60" s="51"/>
      <c r="Y60" s="51"/>
      <c r="Z60" s="51"/>
      <c r="AA60" s="51"/>
      <c r="AB60" s="51"/>
    </row>
    <row r="61" customFormat="false" ht="15.75" hidden="false" customHeight="false" outlineLevel="0" collapsed="false">
      <c r="A61" s="51"/>
      <c r="B61" s="51"/>
      <c r="C61" s="6"/>
      <c r="D61" s="49"/>
      <c r="E61" s="51"/>
      <c r="F61" s="6"/>
      <c r="G61" s="6"/>
      <c r="H61" s="6"/>
      <c r="I61" s="6"/>
      <c r="J61" s="6"/>
      <c r="K61" s="51"/>
      <c r="L61" s="51"/>
      <c r="M61" s="51"/>
      <c r="N61" s="51"/>
      <c r="O61" s="51"/>
      <c r="P61" s="51"/>
      <c r="Q61" s="51"/>
      <c r="R61" s="51"/>
      <c r="S61" s="51"/>
      <c r="T61" s="51"/>
      <c r="U61" s="51"/>
      <c r="V61" s="51"/>
      <c r="W61" s="51"/>
      <c r="X61" s="51"/>
      <c r="Y61" s="51"/>
      <c r="Z61" s="51"/>
      <c r="AA61" s="51"/>
      <c r="AB61" s="51"/>
    </row>
    <row r="62" customFormat="false" ht="15.75" hidden="false" customHeight="false" outlineLevel="0" collapsed="false">
      <c r="A62" s="71"/>
      <c r="B62" s="55"/>
      <c r="C62" s="56" t="s">
        <v>18</v>
      </c>
      <c r="D62" s="57"/>
      <c r="E62" s="72" t="n">
        <f aca="false">IFERROR(__xludf.dummyfunction("COUNTA(SPLIT(D62,"" ""))/COUNTA(SPLIT($B$47,"" ""))"),0.00476190476190476)</f>
        <v>0.004761904762</v>
      </c>
      <c r="F62" s="56"/>
      <c r="G62" s="56"/>
      <c r="H62" s="56"/>
      <c r="I62" s="56"/>
      <c r="J62" s="56"/>
      <c r="K62" s="59"/>
      <c r="L62" s="59"/>
      <c r="M62" s="59"/>
      <c r="N62" s="59"/>
      <c r="O62" s="59"/>
      <c r="P62" s="59"/>
      <c r="Q62" s="59"/>
      <c r="R62" s="59"/>
      <c r="S62" s="59"/>
      <c r="T62" s="59"/>
      <c r="U62" s="59"/>
      <c r="V62" s="59"/>
      <c r="W62" s="59"/>
      <c r="X62" s="59"/>
      <c r="Y62" s="59"/>
      <c r="Z62" s="59"/>
      <c r="AA62" s="59"/>
      <c r="AB62" s="59"/>
    </row>
    <row r="63" customFormat="false" ht="15.75" hidden="false" customHeight="false" outlineLevel="0" collapsed="false">
      <c r="A63" s="71"/>
      <c r="B63" s="71"/>
      <c r="C63" s="6" t="s">
        <v>19</v>
      </c>
      <c r="D63" s="49"/>
      <c r="E63" s="73" t="n">
        <f aca="false">IFERROR(__xludf.dummyfunction("COUNTA(SPLIT(D63,"" ""))/COUNTA(SPLIT($B$47,"" ""))"),0.00476190476190476)</f>
        <v>0.004761904762</v>
      </c>
      <c r="F63" s="6"/>
      <c r="G63" s="6"/>
      <c r="H63" s="6"/>
      <c r="I63" s="6"/>
      <c r="J63" s="6"/>
      <c r="K63" s="51"/>
      <c r="L63" s="51"/>
      <c r="M63" s="51"/>
      <c r="N63" s="51"/>
      <c r="O63" s="51"/>
      <c r="P63" s="51"/>
      <c r="Q63" s="51"/>
      <c r="R63" s="51"/>
      <c r="S63" s="51"/>
      <c r="T63" s="51"/>
      <c r="U63" s="51"/>
      <c r="V63" s="51"/>
      <c r="W63" s="51"/>
      <c r="X63" s="51"/>
      <c r="Y63" s="51"/>
      <c r="Z63" s="51"/>
      <c r="AA63" s="51"/>
      <c r="AB63" s="51"/>
    </row>
    <row r="64" customFormat="false" ht="15.75" hidden="false" customHeight="false" outlineLevel="0" collapsed="false">
      <c r="A64" s="71"/>
      <c r="B64" s="71"/>
      <c r="C64" s="6" t="s">
        <v>8</v>
      </c>
      <c r="D64" s="49"/>
      <c r="E64" s="74" t="n">
        <f aca="false">IFERROR(__xludf.dummyfunction("COUNTA(SPLIT(D64,"" ""))/COUNTA(SPLIT($B$47,"" ""))"),0.00476190476190476)</f>
        <v>0.004761904762</v>
      </c>
      <c r="F64" s="6"/>
      <c r="G64" s="6"/>
      <c r="H64" s="6"/>
      <c r="I64" s="6"/>
      <c r="J64" s="6"/>
      <c r="K64" s="51"/>
      <c r="L64" s="51"/>
      <c r="M64" s="51"/>
      <c r="N64" s="51"/>
      <c r="O64" s="51"/>
      <c r="P64" s="51"/>
      <c r="Q64" s="51"/>
      <c r="R64" s="51"/>
      <c r="S64" s="51"/>
      <c r="T64" s="51"/>
      <c r="U64" s="51"/>
      <c r="V64" s="51"/>
      <c r="W64" s="51"/>
      <c r="X64" s="51"/>
      <c r="Y64" s="51"/>
      <c r="Z64" s="51"/>
      <c r="AA64" s="51"/>
      <c r="AB64" s="51"/>
    </row>
    <row r="65" customFormat="false" ht="15.75" hidden="false" customHeight="false" outlineLevel="0" collapsed="false">
      <c r="A65" s="71"/>
      <c r="B65" s="71"/>
      <c r="C65" s="6" t="s">
        <v>20</v>
      </c>
      <c r="D65" s="49"/>
      <c r="E65" s="75" t="n">
        <f aca="false">IFERROR(__xludf.dummyfunction("COUNTA(SPLIT(D65,"" ""))/COUNTA(SPLIT($B$47,"" ""))"),0.00476190476190476)</f>
        <v>0.004761904762</v>
      </c>
      <c r="F65" s="6"/>
      <c r="G65" s="6"/>
      <c r="H65" s="6"/>
      <c r="I65" s="6"/>
      <c r="J65" s="6"/>
      <c r="K65" s="51"/>
      <c r="L65" s="51"/>
      <c r="M65" s="51"/>
      <c r="N65" s="51"/>
      <c r="O65" s="51"/>
      <c r="P65" s="51"/>
      <c r="Q65" s="51"/>
      <c r="R65" s="51"/>
      <c r="S65" s="51"/>
      <c r="T65" s="51"/>
      <c r="U65" s="51"/>
      <c r="V65" s="51"/>
      <c r="W65" s="51"/>
      <c r="X65" s="51"/>
      <c r="Y65" s="51"/>
      <c r="Z65" s="51"/>
      <c r="AA65" s="51"/>
      <c r="AB65" s="51"/>
    </row>
    <row r="66" customFormat="false" ht="15.75" hidden="false" customHeight="false" outlineLevel="0" collapsed="false">
      <c r="A66" s="51"/>
      <c r="B66" s="51"/>
      <c r="C66" s="6"/>
      <c r="D66" s="49"/>
      <c r="E66" s="51"/>
      <c r="F66" s="6"/>
      <c r="G66" s="6"/>
      <c r="H66" s="6"/>
      <c r="I66" s="6"/>
      <c r="J66" s="6"/>
      <c r="K66" s="51"/>
      <c r="L66" s="51"/>
      <c r="M66" s="51"/>
      <c r="N66" s="51"/>
      <c r="O66" s="51"/>
      <c r="P66" s="51"/>
      <c r="Q66" s="51"/>
      <c r="R66" s="51"/>
      <c r="S66" s="51"/>
      <c r="T66" s="51"/>
      <c r="U66" s="51"/>
      <c r="V66" s="51"/>
      <c r="W66" s="51"/>
      <c r="X66" s="51"/>
      <c r="Y66" s="51"/>
      <c r="Z66" s="51"/>
      <c r="AA66" s="51"/>
      <c r="AB66" s="51"/>
    </row>
    <row r="67" customFormat="false" ht="15.75" hidden="false" customHeight="false" outlineLevel="0" collapsed="false">
      <c r="A67" s="71"/>
      <c r="B67" s="55"/>
      <c r="C67" s="56" t="s">
        <v>18</v>
      </c>
      <c r="D67" s="57"/>
      <c r="E67" s="72" t="n">
        <f aca="false">IFERROR(__xludf.dummyfunction("COUNTA(SPLIT(D67,"" ""))/COUNTA(SPLIT($B$47,"" ""))"),0.00476190476190476)</f>
        <v>0.004761904762</v>
      </c>
      <c r="F67" s="56"/>
      <c r="G67" s="56"/>
      <c r="H67" s="56"/>
      <c r="I67" s="56"/>
      <c r="J67" s="56"/>
      <c r="K67" s="59"/>
      <c r="L67" s="59"/>
      <c r="M67" s="59"/>
      <c r="N67" s="59"/>
      <c r="O67" s="59"/>
      <c r="P67" s="59"/>
      <c r="Q67" s="59"/>
      <c r="R67" s="59"/>
      <c r="S67" s="59"/>
      <c r="T67" s="59"/>
      <c r="U67" s="59"/>
      <c r="V67" s="59"/>
      <c r="W67" s="59"/>
      <c r="X67" s="59"/>
      <c r="Y67" s="59"/>
      <c r="Z67" s="59"/>
      <c r="AA67" s="59"/>
      <c r="AB67" s="59"/>
    </row>
    <row r="68" customFormat="false" ht="15.75" hidden="false" customHeight="false" outlineLevel="0" collapsed="false">
      <c r="A68" s="71"/>
      <c r="B68" s="71"/>
      <c r="C68" s="6" t="s">
        <v>19</v>
      </c>
      <c r="D68" s="49"/>
      <c r="E68" s="73" t="n">
        <f aca="false">IFERROR(__xludf.dummyfunction("COUNTA(SPLIT(D68,"" ""))/COUNTA(SPLIT($B$47,"" ""))"),0.00476190476190476)</f>
        <v>0.004761904762</v>
      </c>
      <c r="F68" s="6"/>
      <c r="G68" s="6"/>
      <c r="H68" s="6"/>
      <c r="I68" s="6"/>
      <c r="J68" s="6"/>
      <c r="K68" s="51"/>
      <c r="L68" s="51"/>
      <c r="M68" s="51"/>
      <c r="N68" s="51"/>
      <c r="O68" s="51"/>
      <c r="P68" s="51"/>
      <c r="Q68" s="51"/>
      <c r="R68" s="51"/>
      <c r="S68" s="51"/>
      <c r="T68" s="51"/>
      <c r="U68" s="51"/>
      <c r="V68" s="51"/>
      <c r="W68" s="51"/>
      <c r="X68" s="51"/>
      <c r="Y68" s="51"/>
      <c r="Z68" s="51"/>
      <c r="AA68" s="51"/>
      <c r="AB68" s="51"/>
    </row>
    <row r="69" customFormat="false" ht="15.75" hidden="false" customHeight="false" outlineLevel="0" collapsed="false">
      <c r="A69" s="71"/>
      <c r="B69" s="71"/>
      <c r="C69" s="6" t="s">
        <v>8</v>
      </c>
      <c r="D69" s="49"/>
      <c r="E69" s="74" t="n">
        <f aca="false">IFERROR(__xludf.dummyfunction("COUNTA(SPLIT(D69,"" ""))/COUNTA(SPLIT($B$47,"" ""))"),0.00476190476190476)</f>
        <v>0.004761904762</v>
      </c>
      <c r="F69" s="6"/>
      <c r="G69" s="6"/>
      <c r="H69" s="6"/>
      <c r="I69" s="6"/>
      <c r="J69" s="6"/>
      <c r="K69" s="51"/>
      <c r="L69" s="51"/>
      <c r="M69" s="51"/>
      <c r="N69" s="51"/>
      <c r="O69" s="51"/>
      <c r="P69" s="51"/>
      <c r="Q69" s="51"/>
      <c r="R69" s="51"/>
      <c r="S69" s="51"/>
      <c r="T69" s="51"/>
      <c r="U69" s="51"/>
      <c r="V69" s="51"/>
      <c r="W69" s="51"/>
      <c r="X69" s="51"/>
      <c r="Y69" s="51"/>
      <c r="Z69" s="51"/>
      <c r="AA69" s="51"/>
      <c r="AB69" s="51"/>
    </row>
    <row r="70" customFormat="false" ht="15.75" hidden="false" customHeight="false" outlineLevel="0" collapsed="false">
      <c r="A70" s="71"/>
      <c r="B70" s="71"/>
      <c r="C70" s="6" t="s">
        <v>20</v>
      </c>
      <c r="D70" s="49"/>
      <c r="E70" s="75" t="n">
        <f aca="false">IFERROR(__xludf.dummyfunction("COUNTA(SPLIT(D70,"" ""))/COUNTA(SPLIT($B$47,"" ""))"),0.00476190476190476)</f>
        <v>0.004761904762</v>
      </c>
      <c r="F70" s="6"/>
      <c r="G70" s="6"/>
      <c r="H70" s="6"/>
      <c r="I70" s="6"/>
      <c r="J70" s="6"/>
      <c r="K70" s="51"/>
      <c r="L70" s="51"/>
      <c r="M70" s="51"/>
      <c r="N70" s="51"/>
      <c r="O70" s="51"/>
      <c r="P70" s="51"/>
      <c r="Q70" s="51"/>
      <c r="R70" s="51"/>
      <c r="S70" s="51"/>
      <c r="T70" s="51"/>
      <c r="U70" s="51"/>
      <c r="V70" s="51"/>
      <c r="W70" s="51"/>
      <c r="X70" s="51"/>
      <c r="Y70" s="51"/>
      <c r="Z70" s="51"/>
      <c r="AA70" s="51"/>
      <c r="AB70" s="51"/>
    </row>
    <row r="71" customFormat="false" ht="15.75" hidden="false" customHeight="false" outlineLevel="0" collapsed="false">
      <c r="A71" s="51"/>
      <c r="B71" s="51"/>
      <c r="C71" s="6"/>
      <c r="D71" s="49"/>
      <c r="E71" s="51"/>
      <c r="F71" s="6"/>
      <c r="G71" s="6"/>
      <c r="H71" s="6"/>
      <c r="I71" s="6"/>
      <c r="J71" s="6"/>
      <c r="K71" s="51"/>
      <c r="L71" s="51"/>
      <c r="M71" s="51"/>
      <c r="N71" s="51"/>
      <c r="O71" s="51"/>
      <c r="P71" s="51"/>
      <c r="Q71" s="51"/>
      <c r="R71" s="51"/>
      <c r="S71" s="51"/>
      <c r="T71" s="51"/>
      <c r="U71" s="51"/>
      <c r="V71" s="51"/>
      <c r="W71" s="51"/>
      <c r="X71" s="51"/>
      <c r="Y71" s="51"/>
      <c r="Z71" s="51"/>
      <c r="AA71" s="51"/>
      <c r="AB71" s="51"/>
    </row>
    <row r="72" customFormat="false" ht="15.75" hidden="false" customHeight="false" outlineLevel="0" collapsed="false">
      <c r="A72" s="71"/>
      <c r="B72" s="55"/>
      <c r="C72" s="56" t="s">
        <v>18</v>
      </c>
      <c r="D72" s="57"/>
      <c r="E72" s="72" t="n">
        <f aca="false">IFERROR(__xludf.dummyfunction("COUNTA(SPLIT(D72,"" ""))/COUNTA(SPLIT($B$47,"" ""))"),0.00476190476190476)</f>
        <v>0.004761904762</v>
      </c>
      <c r="F72" s="56"/>
      <c r="G72" s="56"/>
      <c r="H72" s="56"/>
      <c r="I72" s="56"/>
      <c r="J72" s="56"/>
      <c r="K72" s="59"/>
      <c r="L72" s="59"/>
      <c r="M72" s="59"/>
      <c r="N72" s="59"/>
      <c r="O72" s="59"/>
      <c r="P72" s="59"/>
      <c r="Q72" s="59"/>
      <c r="R72" s="59"/>
      <c r="S72" s="59"/>
      <c r="T72" s="59"/>
      <c r="U72" s="59"/>
      <c r="V72" s="59"/>
      <c r="W72" s="59"/>
      <c r="X72" s="59"/>
      <c r="Y72" s="59"/>
      <c r="Z72" s="59"/>
      <c r="AA72" s="59"/>
      <c r="AB72" s="59"/>
    </row>
    <row r="73" customFormat="false" ht="15.75" hidden="false" customHeight="false" outlineLevel="0" collapsed="false">
      <c r="A73" s="71"/>
      <c r="B73" s="71"/>
      <c r="C73" s="6" t="s">
        <v>19</v>
      </c>
      <c r="D73" s="49"/>
      <c r="E73" s="73" t="n">
        <f aca="false">IFERROR(__xludf.dummyfunction("COUNTA(SPLIT(D73,"" ""))/COUNTA(SPLIT($B$47,"" ""))"),0.00476190476190476)</f>
        <v>0.004761904762</v>
      </c>
      <c r="F73" s="6"/>
      <c r="G73" s="6"/>
      <c r="H73" s="6"/>
      <c r="I73" s="6"/>
      <c r="J73" s="6"/>
      <c r="K73" s="51"/>
      <c r="L73" s="51"/>
      <c r="M73" s="51"/>
      <c r="N73" s="51"/>
      <c r="O73" s="51"/>
      <c r="P73" s="51"/>
      <c r="Q73" s="51"/>
      <c r="R73" s="51"/>
      <c r="S73" s="51"/>
      <c r="T73" s="51"/>
      <c r="U73" s="51"/>
      <c r="V73" s="51"/>
      <c r="W73" s="51"/>
      <c r="X73" s="51"/>
      <c r="Y73" s="51"/>
      <c r="Z73" s="51"/>
      <c r="AA73" s="51"/>
      <c r="AB73" s="51"/>
    </row>
    <row r="74" customFormat="false" ht="15.75" hidden="false" customHeight="false" outlineLevel="0" collapsed="false">
      <c r="A74" s="71"/>
      <c r="B74" s="71"/>
      <c r="C74" s="6" t="s">
        <v>8</v>
      </c>
      <c r="D74" s="49"/>
      <c r="E74" s="74" t="n">
        <f aca="false">IFERROR(__xludf.dummyfunction("COUNTA(SPLIT(D74,"" ""))/COUNTA(SPLIT($B$47,"" ""))"),0.00476190476190476)</f>
        <v>0.004761904762</v>
      </c>
      <c r="F74" s="6"/>
      <c r="G74" s="6"/>
      <c r="H74" s="6"/>
      <c r="I74" s="6"/>
      <c r="J74" s="6"/>
      <c r="K74" s="51"/>
      <c r="L74" s="51"/>
      <c r="M74" s="51"/>
      <c r="N74" s="51"/>
      <c r="O74" s="51"/>
      <c r="P74" s="51"/>
      <c r="Q74" s="51"/>
      <c r="R74" s="51"/>
      <c r="S74" s="51"/>
      <c r="T74" s="51"/>
      <c r="U74" s="51"/>
      <c r="V74" s="51"/>
      <c r="W74" s="51"/>
      <c r="X74" s="51"/>
      <c r="Y74" s="51"/>
      <c r="Z74" s="51"/>
      <c r="AA74" s="51"/>
      <c r="AB74" s="51"/>
    </row>
    <row r="75" customFormat="false" ht="15.75" hidden="false" customHeight="false" outlineLevel="0" collapsed="false">
      <c r="A75" s="71"/>
      <c r="B75" s="71"/>
      <c r="C75" s="6" t="s">
        <v>20</v>
      </c>
      <c r="D75" s="49"/>
      <c r="E75" s="75" t="n">
        <f aca="false">IFERROR(__xludf.dummyfunction("COUNTA(SPLIT(D75,"" ""))/COUNTA(SPLIT($B$47,"" ""))"),0.00476190476190476)</f>
        <v>0.004761904762</v>
      </c>
      <c r="F75" s="6"/>
      <c r="G75" s="6"/>
      <c r="H75" s="6"/>
      <c r="I75" s="6"/>
      <c r="J75" s="6"/>
      <c r="K75" s="51"/>
      <c r="L75" s="51"/>
      <c r="M75" s="51"/>
      <c r="N75" s="51"/>
      <c r="O75" s="51"/>
      <c r="P75" s="51"/>
      <c r="Q75" s="51"/>
      <c r="R75" s="51"/>
      <c r="S75" s="51"/>
      <c r="T75" s="51"/>
      <c r="U75" s="51"/>
      <c r="V75" s="51"/>
      <c r="W75" s="51"/>
      <c r="X75" s="51"/>
      <c r="Y75" s="51"/>
      <c r="Z75" s="51"/>
      <c r="AA75" s="51"/>
      <c r="AB75" s="51"/>
    </row>
    <row r="76" customFormat="false" ht="15.75" hidden="false" customHeight="false" outlineLevel="0" collapsed="false">
      <c r="A76" s="51"/>
      <c r="B76" s="51"/>
      <c r="C76" s="6"/>
      <c r="D76" s="49"/>
      <c r="E76" s="51"/>
      <c r="F76" s="6"/>
      <c r="G76" s="6"/>
      <c r="H76" s="6"/>
      <c r="I76" s="6"/>
      <c r="J76" s="6"/>
      <c r="K76" s="51"/>
      <c r="L76" s="51"/>
      <c r="M76" s="51"/>
      <c r="N76" s="51"/>
      <c r="O76" s="51"/>
      <c r="P76" s="51"/>
      <c r="Q76" s="51"/>
      <c r="R76" s="51"/>
      <c r="S76" s="51"/>
      <c r="T76" s="51"/>
      <c r="U76" s="51"/>
      <c r="V76" s="51"/>
      <c r="W76" s="51"/>
      <c r="X76" s="51"/>
      <c r="Y76" s="51"/>
      <c r="Z76" s="51"/>
      <c r="AA76" s="51"/>
      <c r="AB76" s="51"/>
    </row>
    <row r="77" customFormat="false" ht="15.75" hidden="false" customHeight="false" outlineLevel="0" collapsed="false">
      <c r="A77" s="71"/>
      <c r="B77" s="55"/>
      <c r="C77" s="56" t="s">
        <v>18</v>
      </c>
      <c r="D77" s="57"/>
      <c r="E77" s="72" t="n">
        <f aca="false">IFERROR(__xludf.dummyfunction("COUNTA(SPLIT(D77,"" ""))/COUNTA(SPLIT($B$47,"" ""))"),0.00476190476190476)</f>
        <v>0.004761904762</v>
      </c>
      <c r="F77" s="56"/>
      <c r="G77" s="56"/>
      <c r="H77" s="56"/>
      <c r="I77" s="56"/>
      <c r="J77" s="56"/>
      <c r="K77" s="59"/>
      <c r="L77" s="59"/>
      <c r="M77" s="59"/>
      <c r="N77" s="59"/>
      <c r="O77" s="59"/>
      <c r="P77" s="59"/>
      <c r="Q77" s="59"/>
      <c r="R77" s="59"/>
      <c r="S77" s="59"/>
      <c r="T77" s="59"/>
      <c r="U77" s="59"/>
      <c r="V77" s="59"/>
      <c r="W77" s="59"/>
      <c r="X77" s="59"/>
      <c r="Y77" s="59"/>
      <c r="Z77" s="59"/>
      <c r="AA77" s="59"/>
      <c r="AB77" s="59"/>
    </row>
    <row r="78" customFormat="false" ht="15.75" hidden="false" customHeight="false" outlineLevel="0" collapsed="false">
      <c r="A78" s="71"/>
      <c r="B78" s="71"/>
      <c r="C78" s="6" t="s">
        <v>19</v>
      </c>
      <c r="D78" s="49"/>
      <c r="E78" s="73" t="n">
        <f aca="false">IFERROR(__xludf.dummyfunction("COUNTA(SPLIT(D78,"" ""))/COUNTA(SPLIT($B$47,"" ""))"),0.00476190476190476)</f>
        <v>0.004761904762</v>
      </c>
      <c r="F78" s="6"/>
      <c r="G78" s="6"/>
      <c r="H78" s="6"/>
      <c r="I78" s="6"/>
      <c r="J78" s="6"/>
      <c r="K78" s="51"/>
      <c r="L78" s="51"/>
      <c r="M78" s="51"/>
      <c r="N78" s="51"/>
      <c r="O78" s="51"/>
      <c r="P78" s="51"/>
      <c r="Q78" s="51"/>
      <c r="R78" s="51"/>
      <c r="S78" s="51"/>
      <c r="T78" s="51"/>
      <c r="U78" s="51"/>
      <c r="V78" s="51"/>
      <c r="W78" s="51"/>
      <c r="X78" s="51"/>
      <c r="Y78" s="51"/>
      <c r="Z78" s="51"/>
      <c r="AA78" s="51"/>
      <c r="AB78" s="51"/>
    </row>
    <row r="79" customFormat="false" ht="15.75" hidden="false" customHeight="false" outlineLevel="0" collapsed="false">
      <c r="A79" s="71"/>
      <c r="B79" s="71"/>
      <c r="C79" s="6" t="s">
        <v>8</v>
      </c>
      <c r="D79" s="49"/>
      <c r="E79" s="74" t="n">
        <f aca="false">IFERROR(__xludf.dummyfunction("COUNTA(SPLIT(D79,"" ""))/COUNTA(SPLIT($B$47,"" ""))"),0.00476190476190476)</f>
        <v>0.004761904762</v>
      </c>
      <c r="F79" s="6"/>
      <c r="G79" s="6"/>
      <c r="H79" s="6"/>
      <c r="I79" s="6"/>
      <c r="J79" s="6"/>
      <c r="K79" s="51"/>
      <c r="L79" s="51"/>
      <c r="M79" s="51"/>
      <c r="N79" s="51"/>
      <c r="O79" s="51"/>
      <c r="P79" s="51"/>
      <c r="Q79" s="51"/>
      <c r="R79" s="51"/>
      <c r="S79" s="51"/>
      <c r="T79" s="51"/>
      <c r="U79" s="51"/>
      <c r="V79" s="51"/>
      <c r="W79" s="51"/>
      <c r="X79" s="51"/>
      <c r="Y79" s="51"/>
      <c r="Z79" s="51"/>
      <c r="AA79" s="51"/>
      <c r="AB79" s="51"/>
    </row>
    <row r="80" customFormat="false" ht="15.75" hidden="false" customHeight="false" outlineLevel="0" collapsed="false">
      <c r="A80" s="71"/>
      <c r="B80" s="71"/>
      <c r="C80" s="6" t="s">
        <v>20</v>
      </c>
      <c r="D80" s="49"/>
      <c r="E80" s="75" t="n">
        <f aca="false">IFERROR(__xludf.dummyfunction("COUNTA(SPLIT(D80,"" ""))/COUNTA(SPLIT($B$47,"" ""))"),0.00476190476190476)</f>
        <v>0.004761904762</v>
      </c>
      <c r="F80" s="6"/>
      <c r="G80" s="6"/>
      <c r="H80" s="6"/>
      <c r="I80" s="6"/>
      <c r="J80" s="6"/>
      <c r="K80" s="51"/>
      <c r="L80" s="51"/>
      <c r="M80" s="51"/>
      <c r="N80" s="51"/>
      <c r="O80" s="51"/>
      <c r="P80" s="51"/>
      <c r="Q80" s="51"/>
      <c r="R80" s="51"/>
      <c r="S80" s="51"/>
      <c r="T80" s="51"/>
      <c r="U80" s="51"/>
      <c r="V80" s="51"/>
      <c r="W80" s="51"/>
      <c r="X80" s="51"/>
      <c r="Y80" s="51"/>
      <c r="Z80" s="51"/>
      <c r="AA80" s="51"/>
      <c r="AB80" s="51"/>
    </row>
    <row r="81" customFormat="false" ht="15.75" hidden="false" customHeight="false" outlineLevel="0" collapsed="false">
      <c r="A81" s="51"/>
      <c r="B81" s="51"/>
      <c r="C81" s="6"/>
      <c r="D81" s="49"/>
      <c r="E81" s="51"/>
      <c r="F81" s="6"/>
      <c r="G81" s="6"/>
      <c r="H81" s="6"/>
      <c r="I81" s="6"/>
      <c r="J81" s="6"/>
      <c r="K81" s="51"/>
      <c r="L81" s="51"/>
      <c r="M81" s="51"/>
      <c r="N81" s="51"/>
      <c r="O81" s="51"/>
      <c r="P81" s="51"/>
      <c r="Q81" s="51"/>
      <c r="R81" s="51"/>
      <c r="S81" s="51"/>
      <c r="T81" s="51"/>
      <c r="U81" s="51"/>
      <c r="V81" s="51"/>
      <c r="W81" s="51"/>
      <c r="X81" s="51"/>
      <c r="Y81" s="51"/>
      <c r="Z81" s="51"/>
      <c r="AA81" s="51"/>
      <c r="AB81" s="51"/>
    </row>
    <row r="82" customFormat="false" ht="15.75" hidden="false" customHeight="false" outlineLevel="0" collapsed="false">
      <c r="A82" s="71"/>
      <c r="B82" s="55"/>
      <c r="C82" s="56" t="s">
        <v>18</v>
      </c>
      <c r="D82" s="57"/>
      <c r="E82" s="72" t="n">
        <f aca="false">IFERROR(__xludf.dummyfunction("COUNTA(SPLIT(D82,"" ""))/COUNTA(SPLIT($B$47,"" ""))"),0.00476190476190476)</f>
        <v>0.004761904762</v>
      </c>
      <c r="F82" s="56"/>
      <c r="G82" s="56"/>
      <c r="H82" s="56"/>
      <c r="I82" s="56"/>
      <c r="J82" s="56"/>
      <c r="K82" s="59"/>
      <c r="L82" s="59"/>
      <c r="M82" s="59"/>
      <c r="N82" s="59"/>
      <c r="O82" s="59"/>
      <c r="P82" s="59"/>
      <c r="Q82" s="59"/>
      <c r="R82" s="59"/>
      <c r="S82" s="59"/>
      <c r="T82" s="59"/>
      <c r="U82" s="59"/>
      <c r="V82" s="59"/>
      <c r="W82" s="59"/>
      <c r="X82" s="59"/>
      <c r="Y82" s="59"/>
      <c r="Z82" s="59"/>
      <c r="AA82" s="59"/>
      <c r="AB82" s="59"/>
    </row>
    <row r="83" customFormat="false" ht="15.75" hidden="false" customHeight="false" outlineLevel="0" collapsed="false">
      <c r="A83" s="71"/>
      <c r="B83" s="71"/>
      <c r="C83" s="6" t="s">
        <v>19</v>
      </c>
      <c r="D83" s="49"/>
      <c r="E83" s="73" t="n">
        <f aca="false">IFERROR(__xludf.dummyfunction("COUNTA(SPLIT(D83,"" ""))/COUNTA(SPLIT($B$47,"" ""))"),0.00476190476190476)</f>
        <v>0.004761904762</v>
      </c>
      <c r="F83" s="6"/>
      <c r="G83" s="6"/>
      <c r="H83" s="6"/>
      <c r="I83" s="6"/>
      <c r="J83" s="6"/>
      <c r="K83" s="51"/>
      <c r="L83" s="51"/>
      <c r="M83" s="51"/>
      <c r="N83" s="51"/>
      <c r="O83" s="51"/>
      <c r="P83" s="51"/>
      <c r="Q83" s="51"/>
      <c r="R83" s="51"/>
      <c r="S83" s="51"/>
      <c r="T83" s="51"/>
      <c r="U83" s="51"/>
      <c r="V83" s="51"/>
      <c r="W83" s="51"/>
      <c r="X83" s="51"/>
      <c r="Y83" s="51"/>
      <c r="Z83" s="51"/>
      <c r="AA83" s="51"/>
      <c r="AB83" s="51"/>
    </row>
    <row r="84" customFormat="false" ht="15.75" hidden="false" customHeight="false" outlineLevel="0" collapsed="false">
      <c r="A84" s="71"/>
      <c r="B84" s="71"/>
      <c r="C84" s="6" t="s">
        <v>8</v>
      </c>
      <c r="D84" s="49"/>
      <c r="E84" s="74" t="n">
        <f aca="false">IFERROR(__xludf.dummyfunction("COUNTA(SPLIT(D84,"" ""))/COUNTA(SPLIT($B$47,"" ""))"),0.00476190476190476)</f>
        <v>0.004761904762</v>
      </c>
      <c r="F84" s="6"/>
      <c r="G84" s="6"/>
      <c r="H84" s="6"/>
      <c r="I84" s="6"/>
      <c r="J84" s="6"/>
      <c r="K84" s="51"/>
      <c r="L84" s="51"/>
      <c r="M84" s="51"/>
      <c r="N84" s="51"/>
      <c r="O84" s="51"/>
      <c r="P84" s="51"/>
      <c r="Q84" s="51"/>
      <c r="R84" s="51"/>
      <c r="S84" s="51"/>
      <c r="T84" s="51"/>
      <c r="U84" s="51"/>
      <c r="V84" s="51"/>
      <c r="W84" s="51"/>
      <c r="X84" s="51"/>
      <c r="Y84" s="51"/>
      <c r="Z84" s="51"/>
      <c r="AA84" s="51"/>
      <c r="AB84" s="51"/>
    </row>
    <row r="85" customFormat="false" ht="15.75" hidden="false" customHeight="false" outlineLevel="0" collapsed="false">
      <c r="A85" s="71"/>
      <c r="B85" s="71"/>
      <c r="C85" s="6" t="s">
        <v>20</v>
      </c>
      <c r="D85" s="49"/>
      <c r="E85" s="75" t="n">
        <f aca="false">IFERROR(__xludf.dummyfunction("COUNTA(SPLIT(D85,"" ""))/COUNTA(SPLIT($B$47,"" ""))"),0.00476190476190476)</f>
        <v>0.004761904762</v>
      </c>
      <c r="F85" s="6"/>
      <c r="G85" s="6"/>
      <c r="H85" s="6"/>
      <c r="I85" s="6"/>
      <c r="J85" s="6"/>
      <c r="K85" s="51"/>
      <c r="L85" s="51"/>
      <c r="M85" s="51"/>
      <c r="N85" s="51"/>
      <c r="O85" s="51"/>
      <c r="P85" s="51"/>
      <c r="Q85" s="51"/>
      <c r="R85" s="51"/>
      <c r="S85" s="51"/>
      <c r="T85" s="51"/>
      <c r="U85" s="51"/>
      <c r="V85" s="51"/>
      <c r="W85" s="51"/>
      <c r="X85" s="51"/>
      <c r="Y85" s="51"/>
      <c r="Z85" s="51"/>
      <c r="AA85" s="51"/>
      <c r="AB85" s="51"/>
    </row>
    <row r="86" customFormat="false" ht="15.75" hidden="false" customHeight="false" outlineLevel="0" collapsed="false">
      <c r="A86" s="51"/>
      <c r="B86" s="51"/>
      <c r="C86" s="6"/>
      <c r="D86" s="49"/>
      <c r="E86" s="51"/>
      <c r="F86" s="6"/>
      <c r="G86" s="6"/>
      <c r="H86" s="6"/>
      <c r="I86" s="6"/>
      <c r="J86" s="6"/>
      <c r="K86" s="51"/>
      <c r="L86" s="51"/>
      <c r="M86" s="51"/>
      <c r="N86" s="51"/>
      <c r="O86" s="51"/>
      <c r="P86" s="51"/>
      <c r="Q86" s="51"/>
      <c r="R86" s="51"/>
      <c r="S86" s="51"/>
      <c r="T86" s="51"/>
      <c r="U86" s="51"/>
      <c r="V86" s="51"/>
      <c r="W86" s="51"/>
      <c r="X86" s="51"/>
      <c r="Y86" s="51"/>
      <c r="Z86" s="51"/>
      <c r="AA86" s="51"/>
      <c r="AB86" s="51"/>
    </row>
    <row r="87" customFormat="false" ht="15.75" hidden="false" customHeight="false" outlineLevel="0" collapsed="false">
      <c r="A87" s="71"/>
      <c r="B87" s="55"/>
      <c r="C87" s="56" t="s">
        <v>18</v>
      </c>
      <c r="D87" s="57"/>
      <c r="E87" s="72" t="n">
        <f aca="false">IFERROR(__xludf.dummyfunction("COUNTA(SPLIT(D87,"" ""))/COUNTA(SPLIT($B$47,"" ""))"),0.00476190476190476)</f>
        <v>0.004761904762</v>
      </c>
      <c r="F87" s="56"/>
      <c r="G87" s="56"/>
      <c r="H87" s="56"/>
      <c r="I87" s="56"/>
      <c r="J87" s="56"/>
      <c r="K87" s="59"/>
      <c r="L87" s="59"/>
      <c r="M87" s="59"/>
      <c r="N87" s="59"/>
      <c r="O87" s="59"/>
      <c r="P87" s="59"/>
      <c r="Q87" s="59"/>
      <c r="R87" s="59"/>
      <c r="S87" s="59"/>
      <c r="T87" s="59"/>
      <c r="U87" s="59"/>
      <c r="V87" s="59"/>
      <c r="W87" s="59"/>
      <c r="X87" s="59"/>
      <c r="Y87" s="59"/>
      <c r="Z87" s="59"/>
      <c r="AA87" s="59"/>
      <c r="AB87" s="59"/>
    </row>
    <row r="88" customFormat="false" ht="15.75" hidden="false" customHeight="false" outlineLevel="0" collapsed="false">
      <c r="A88" s="71"/>
      <c r="B88" s="71"/>
      <c r="C88" s="6" t="s">
        <v>19</v>
      </c>
      <c r="D88" s="49"/>
      <c r="E88" s="73" t="n">
        <f aca="false">IFERROR(__xludf.dummyfunction("COUNTA(SPLIT(D88,"" ""))/COUNTA(SPLIT($B$47,"" ""))"),0.00476190476190476)</f>
        <v>0.004761904762</v>
      </c>
      <c r="F88" s="6"/>
      <c r="G88" s="6"/>
      <c r="H88" s="6"/>
      <c r="I88" s="6"/>
      <c r="J88" s="6"/>
      <c r="K88" s="51"/>
      <c r="L88" s="51"/>
      <c r="M88" s="51"/>
      <c r="N88" s="51"/>
      <c r="O88" s="51"/>
      <c r="P88" s="51"/>
      <c r="Q88" s="51"/>
      <c r="R88" s="51"/>
      <c r="S88" s="51"/>
      <c r="T88" s="51"/>
      <c r="U88" s="51"/>
      <c r="V88" s="51"/>
      <c r="W88" s="51"/>
      <c r="X88" s="51"/>
      <c r="Y88" s="51"/>
      <c r="Z88" s="51"/>
      <c r="AA88" s="51"/>
      <c r="AB88" s="51"/>
    </row>
    <row r="89" customFormat="false" ht="15.75" hidden="false" customHeight="false" outlineLevel="0" collapsed="false">
      <c r="A89" s="71"/>
      <c r="B89" s="71"/>
      <c r="C89" s="6" t="s">
        <v>8</v>
      </c>
      <c r="D89" s="49"/>
      <c r="E89" s="74" t="n">
        <f aca="false">IFERROR(__xludf.dummyfunction("COUNTA(SPLIT(D89,"" ""))/COUNTA(SPLIT($B$47,"" ""))"),0.00476190476190476)</f>
        <v>0.004761904762</v>
      </c>
      <c r="F89" s="6"/>
      <c r="G89" s="6"/>
      <c r="H89" s="6"/>
      <c r="I89" s="6"/>
      <c r="J89" s="6"/>
      <c r="K89" s="51"/>
      <c r="L89" s="51"/>
      <c r="M89" s="51"/>
      <c r="N89" s="51"/>
      <c r="O89" s="51"/>
      <c r="P89" s="51"/>
      <c r="Q89" s="51"/>
      <c r="R89" s="51"/>
      <c r="S89" s="51"/>
      <c r="T89" s="51"/>
      <c r="U89" s="51"/>
      <c r="V89" s="51"/>
      <c r="W89" s="51"/>
      <c r="X89" s="51"/>
      <c r="Y89" s="51"/>
      <c r="Z89" s="51"/>
      <c r="AA89" s="51"/>
      <c r="AB89" s="51"/>
    </row>
    <row r="90" customFormat="false" ht="15.75" hidden="false" customHeight="false" outlineLevel="0" collapsed="false">
      <c r="A90" s="71"/>
      <c r="B90" s="71"/>
      <c r="C90" s="6" t="s">
        <v>20</v>
      </c>
      <c r="D90" s="49"/>
      <c r="E90" s="75" t="n">
        <f aca="false">IFERROR(__xludf.dummyfunction("COUNTA(SPLIT(D90,"" ""))/COUNTA(SPLIT($B$47,"" ""))"),0.00476190476190476)</f>
        <v>0.004761904762</v>
      </c>
      <c r="F90" s="6"/>
      <c r="G90" s="6"/>
      <c r="H90" s="6"/>
      <c r="I90" s="6"/>
      <c r="J90" s="6"/>
      <c r="K90" s="51"/>
      <c r="L90" s="51"/>
      <c r="M90" s="51"/>
      <c r="N90" s="51"/>
      <c r="O90" s="51"/>
      <c r="P90" s="51"/>
      <c r="Q90" s="51"/>
      <c r="R90" s="51"/>
      <c r="S90" s="51"/>
      <c r="T90" s="51"/>
      <c r="U90" s="51"/>
      <c r="V90" s="51"/>
      <c r="W90" s="51"/>
      <c r="X90" s="51"/>
      <c r="Y90" s="51"/>
      <c r="Z90" s="51"/>
      <c r="AA90" s="51"/>
      <c r="AB90" s="51"/>
    </row>
    <row r="91" customFormat="false" ht="15.75" hidden="false" customHeight="false" outlineLevel="0" collapsed="false">
      <c r="A91" s="51"/>
      <c r="B91" s="51"/>
      <c r="C91" s="6"/>
      <c r="D91" s="49"/>
      <c r="E91" s="51"/>
      <c r="F91" s="6"/>
      <c r="G91" s="6"/>
      <c r="H91" s="6"/>
      <c r="I91" s="6"/>
      <c r="J91" s="6"/>
      <c r="K91" s="51"/>
      <c r="L91" s="51"/>
      <c r="M91" s="51"/>
      <c r="N91" s="51"/>
      <c r="O91" s="51"/>
      <c r="P91" s="51"/>
      <c r="Q91" s="51"/>
      <c r="R91" s="51"/>
      <c r="S91" s="51"/>
      <c r="T91" s="51"/>
      <c r="U91" s="51"/>
      <c r="V91" s="51"/>
      <c r="W91" s="51"/>
      <c r="X91" s="51"/>
      <c r="Y91" s="51"/>
      <c r="Z91" s="51"/>
      <c r="AA91" s="51"/>
      <c r="AB91" s="51"/>
    </row>
    <row r="92" customFormat="false" ht="15.75" hidden="false" customHeight="false" outlineLevel="0" collapsed="false">
      <c r="A92" s="71"/>
      <c r="B92" s="55"/>
      <c r="C92" s="56" t="s">
        <v>18</v>
      </c>
      <c r="D92" s="57"/>
      <c r="E92" s="72" t="n">
        <f aca="false">IFERROR(__xludf.dummyfunction("COUNTA(SPLIT(D92,"" ""))/COUNTA(SPLIT($B$47,"" ""))"),0.00476190476190476)</f>
        <v>0.004761904762</v>
      </c>
      <c r="F92" s="56"/>
      <c r="G92" s="56"/>
      <c r="H92" s="56"/>
      <c r="I92" s="56"/>
      <c r="J92" s="56"/>
      <c r="K92" s="59"/>
      <c r="L92" s="59"/>
      <c r="M92" s="59"/>
      <c r="N92" s="59"/>
      <c r="O92" s="59"/>
      <c r="P92" s="59"/>
      <c r="Q92" s="59"/>
      <c r="R92" s="59"/>
      <c r="S92" s="59"/>
      <c r="T92" s="59"/>
      <c r="U92" s="59"/>
      <c r="V92" s="59"/>
      <c r="W92" s="59"/>
      <c r="X92" s="59"/>
      <c r="Y92" s="59"/>
      <c r="Z92" s="59"/>
      <c r="AA92" s="59"/>
      <c r="AB92" s="59"/>
    </row>
    <row r="93" customFormat="false" ht="15.75" hidden="false" customHeight="false" outlineLevel="0" collapsed="false">
      <c r="A93" s="71"/>
      <c r="B93" s="71"/>
      <c r="C93" s="6" t="s">
        <v>19</v>
      </c>
      <c r="D93" s="49"/>
      <c r="E93" s="73" t="n">
        <f aca="false">IFERROR(__xludf.dummyfunction("COUNTA(SPLIT(D93,"" ""))/COUNTA(SPLIT($B$47,"" ""))"),0.00476190476190476)</f>
        <v>0.004761904762</v>
      </c>
      <c r="F93" s="6"/>
      <c r="G93" s="6"/>
      <c r="H93" s="6"/>
      <c r="I93" s="6"/>
      <c r="J93" s="6"/>
      <c r="K93" s="51"/>
      <c r="L93" s="51"/>
      <c r="M93" s="51"/>
      <c r="N93" s="51"/>
      <c r="O93" s="51"/>
      <c r="P93" s="51"/>
      <c r="Q93" s="51"/>
      <c r="R93" s="51"/>
      <c r="S93" s="51"/>
      <c r="T93" s="51"/>
      <c r="U93" s="51"/>
      <c r="V93" s="51"/>
      <c r="W93" s="51"/>
      <c r="X93" s="51"/>
      <c r="Y93" s="51"/>
      <c r="Z93" s="51"/>
      <c r="AA93" s="51"/>
      <c r="AB93" s="51"/>
    </row>
    <row r="94" customFormat="false" ht="15.75" hidden="false" customHeight="false" outlineLevel="0" collapsed="false">
      <c r="A94" s="71"/>
      <c r="B94" s="71"/>
      <c r="C94" s="6" t="s">
        <v>8</v>
      </c>
      <c r="D94" s="49"/>
      <c r="E94" s="74" t="n">
        <f aca="false">IFERROR(__xludf.dummyfunction("COUNTA(SPLIT(D94,"" ""))/COUNTA(SPLIT($B$47,"" ""))"),0.00476190476190476)</f>
        <v>0.004761904762</v>
      </c>
      <c r="F94" s="6"/>
      <c r="G94" s="6"/>
      <c r="H94" s="6"/>
      <c r="I94" s="6"/>
      <c r="J94" s="6"/>
      <c r="K94" s="51"/>
      <c r="L94" s="51"/>
      <c r="M94" s="51"/>
      <c r="N94" s="51"/>
      <c r="O94" s="51"/>
      <c r="P94" s="51"/>
      <c r="Q94" s="51"/>
      <c r="R94" s="51"/>
      <c r="S94" s="51"/>
      <c r="T94" s="51"/>
      <c r="U94" s="51"/>
      <c r="V94" s="51"/>
      <c r="W94" s="51"/>
      <c r="X94" s="51"/>
      <c r="Y94" s="51"/>
      <c r="Z94" s="51"/>
      <c r="AA94" s="51"/>
      <c r="AB94" s="51"/>
    </row>
    <row r="95" customFormat="false" ht="15.75" hidden="false" customHeight="false" outlineLevel="0" collapsed="false">
      <c r="A95" s="71"/>
      <c r="B95" s="71"/>
      <c r="C95" s="6" t="s">
        <v>20</v>
      </c>
      <c r="D95" s="49"/>
      <c r="E95" s="75" t="n">
        <f aca="false">IFERROR(__xludf.dummyfunction("COUNTA(SPLIT(D95,"" ""))/COUNTA(SPLIT($B$47,"" ""))"),0.00476190476190476)</f>
        <v>0.004761904762</v>
      </c>
      <c r="F95" s="6"/>
      <c r="G95" s="6"/>
      <c r="H95" s="6"/>
      <c r="I95" s="6"/>
      <c r="J95" s="6"/>
      <c r="K95" s="51"/>
      <c r="L95" s="51"/>
      <c r="M95" s="51"/>
      <c r="N95" s="51"/>
      <c r="O95" s="51"/>
      <c r="P95" s="51"/>
      <c r="Q95" s="51"/>
      <c r="R95" s="51"/>
      <c r="S95" s="51"/>
      <c r="T95" s="51"/>
      <c r="U95" s="51"/>
      <c r="V95" s="51"/>
      <c r="W95" s="51"/>
      <c r="X95" s="51"/>
      <c r="Y95" s="51"/>
      <c r="Z95" s="51"/>
      <c r="AA95" s="51"/>
      <c r="AB95" s="51"/>
    </row>
    <row r="96" customFormat="false" ht="15.75" hidden="false" customHeight="false" outlineLevel="0" collapsed="false">
      <c r="A96" s="51"/>
      <c r="B96" s="51"/>
      <c r="C96" s="6"/>
      <c r="D96" s="49"/>
      <c r="E96" s="51"/>
      <c r="F96" s="6"/>
      <c r="G96" s="6"/>
      <c r="H96" s="6"/>
      <c r="I96" s="6"/>
      <c r="J96" s="6"/>
      <c r="K96" s="51"/>
      <c r="L96" s="51"/>
      <c r="M96" s="51"/>
      <c r="N96" s="51"/>
      <c r="O96" s="51"/>
      <c r="P96" s="51"/>
      <c r="Q96" s="51"/>
      <c r="R96" s="51"/>
      <c r="S96" s="51"/>
      <c r="T96" s="51"/>
      <c r="U96" s="51"/>
      <c r="V96" s="51"/>
      <c r="W96" s="51"/>
      <c r="X96" s="51"/>
      <c r="Y96" s="51"/>
      <c r="Z96" s="51"/>
      <c r="AA96" s="51"/>
      <c r="AB96" s="51"/>
    </row>
    <row r="97" customFormat="false" ht="15.75" hidden="false" customHeight="false" outlineLevel="0" collapsed="false">
      <c r="A97" s="71"/>
      <c r="B97" s="55"/>
      <c r="C97" s="56" t="s">
        <v>18</v>
      </c>
      <c r="D97" s="57"/>
      <c r="E97" s="72" t="n">
        <f aca="false">IFERROR(__xludf.dummyfunction("COUNTA(SPLIT(D97,"" ""))/COUNTA(SPLIT($B$47,"" ""))"),0.00476190476190476)</f>
        <v>0.004761904762</v>
      </c>
      <c r="F97" s="56"/>
      <c r="G97" s="56"/>
      <c r="H97" s="56"/>
      <c r="I97" s="56"/>
      <c r="J97" s="56"/>
      <c r="K97" s="59"/>
      <c r="L97" s="59"/>
      <c r="M97" s="59"/>
      <c r="N97" s="59"/>
      <c r="O97" s="59"/>
      <c r="P97" s="59"/>
      <c r="Q97" s="59"/>
      <c r="R97" s="59"/>
      <c r="S97" s="59"/>
      <c r="T97" s="59"/>
      <c r="U97" s="59"/>
      <c r="V97" s="59"/>
      <c r="W97" s="59"/>
      <c r="X97" s="59"/>
      <c r="Y97" s="59"/>
      <c r="Z97" s="59"/>
      <c r="AA97" s="59"/>
      <c r="AB97" s="59"/>
    </row>
    <row r="98" customFormat="false" ht="15.75" hidden="false" customHeight="false" outlineLevel="0" collapsed="false">
      <c r="A98" s="71"/>
      <c r="B98" s="71"/>
      <c r="C98" s="6" t="s">
        <v>19</v>
      </c>
      <c r="D98" s="49"/>
      <c r="E98" s="73" t="n">
        <f aca="false">IFERROR(__xludf.dummyfunction("COUNTA(SPLIT(D98,"" ""))/COUNTA(SPLIT($B$47,"" ""))"),0.00476190476190476)</f>
        <v>0.004761904762</v>
      </c>
      <c r="F98" s="6"/>
      <c r="G98" s="6"/>
      <c r="H98" s="6"/>
      <c r="I98" s="6"/>
      <c r="J98" s="6"/>
      <c r="K98" s="5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71"/>
      <c r="B99" s="71"/>
      <c r="C99" s="6" t="s">
        <v>8</v>
      </c>
      <c r="D99" s="49"/>
      <c r="E99" s="74" t="n">
        <f aca="false">IFERROR(__xludf.dummyfunction("COUNTA(SPLIT(D99,"" ""))/COUNTA(SPLIT($B$47,"" ""))"),0.00476190476190476)</f>
        <v>0.004761904762</v>
      </c>
      <c r="F99" s="6"/>
      <c r="G99" s="6"/>
      <c r="H99" s="6"/>
      <c r="I99" s="6"/>
      <c r="J99" s="6"/>
      <c r="K99" s="51"/>
      <c r="L99" s="51"/>
      <c r="M99" s="51"/>
      <c r="N99" s="51"/>
      <c r="O99" s="51"/>
      <c r="P99" s="51"/>
      <c r="Q99" s="51"/>
      <c r="R99" s="51"/>
      <c r="S99" s="51"/>
      <c r="T99" s="51"/>
      <c r="U99" s="51"/>
      <c r="V99" s="51"/>
      <c r="W99" s="51"/>
      <c r="X99" s="51"/>
      <c r="Y99" s="51"/>
      <c r="Z99" s="51"/>
      <c r="AA99" s="51"/>
      <c r="AB99" s="51"/>
    </row>
    <row r="100" customFormat="false" ht="15.75" hidden="false" customHeight="false" outlineLevel="0" collapsed="false">
      <c r="A100" s="71"/>
      <c r="B100" s="71"/>
      <c r="C100" s="6" t="s">
        <v>20</v>
      </c>
      <c r="D100" s="49"/>
      <c r="E100" s="75" t="n">
        <f aca="false">IFERROR(__xludf.dummyfunction("COUNTA(SPLIT(D100,"" ""))/COUNTA(SPLIT($B$47,"" ""))"),0.00476190476190476)</f>
        <v>0.004761904762</v>
      </c>
      <c r="F100" s="6"/>
      <c r="G100" s="6"/>
      <c r="H100" s="6"/>
      <c r="I100" s="6"/>
      <c r="J100" s="6"/>
      <c r="K100" s="51"/>
      <c r="L100" s="51"/>
      <c r="M100" s="51"/>
      <c r="N100" s="51"/>
      <c r="O100" s="51"/>
      <c r="P100" s="51"/>
      <c r="Q100" s="51"/>
      <c r="R100" s="51"/>
      <c r="S100" s="51"/>
      <c r="T100" s="51"/>
      <c r="U100" s="51"/>
      <c r="V100" s="51"/>
      <c r="W100" s="51"/>
      <c r="X100" s="51"/>
      <c r="Y100" s="51"/>
      <c r="Z100" s="51"/>
      <c r="AA100" s="51"/>
      <c r="AB100" s="51"/>
    </row>
    <row r="101" customFormat="false" ht="15.75" hidden="false" customHeight="false" outlineLevel="0" collapsed="false">
      <c r="A101" s="51"/>
      <c r="B101" s="51"/>
      <c r="C101" s="6"/>
      <c r="D101" s="49"/>
      <c r="E101" s="51"/>
      <c r="F101" s="6"/>
      <c r="G101" s="6"/>
      <c r="H101" s="6"/>
      <c r="I101" s="6"/>
      <c r="J101" s="6"/>
      <c r="K101" s="5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71"/>
      <c r="B102" s="55"/>
      <c r="C102" s="56" t="s">
        <v>18</v>
      </c>
      <c r="D102" s="57"/>
      <c r="E102" s="72" t="n">
        <f aca="false">IFERROR(__xludf.dummyfunction("COUNTA(SPLIT(D102,"" ""))/COUNTA(SPLIT($B$47,"" ""))"),0.00476190476190476)</f>
        <v>0.004761904762</v>
      </c>
      <c r="F102" s="56"/>
      <c r="G102" s="56"/>
      <c r="H102" s="56"/>
      <c r="I102" s="56"/>
      <c r="J102" s="56"/>
      <c r="K102" s="59"/>
      <c r="L102" s="59"/>
      <c r="M102" s="59"/>
      <c r="N102" s="59"/>
      <c r="O102" s="59"/>
      <c r="P102" s="59"/>
      <c r="Q102" s="59"/>
      <c r="R102" s="59"/>
      <c r="S102" s="59"/>
      <c r="T102" s="59"/>
      <c r="U102" s="59"/>
      <c r="V102" s="59"/>
      <c r="W102" s="59"/>
      <c r="X102" s="59"/>
      <c r="Y102" s="59"/>
      <c r="Z102" s="59"/>
      <c r="AA102" s="59"/>
      <c r="AB102" s="59"/>
    </row>
    <row r="103" customFormat="false" ht="15.75" hidden="false" customHeight="false" outlineLevel="0" collapsed="false">
      <c r="A103" s="71"/>
      <c r="B103" s="71"/>
      <c r="C103" s="6" t="s">
        <v>19</v>
      </c>
      <c r="D103" s="49"/>
      <c r="E103" s="73" t="n">
        <f aca="false">IFERROR(__xludf.dummyfunction("COUNTA(SPLIT(D103,"" ""))/COUNTA(SPLIT($B$47,"" ""))"),0.00476190476190476)</f>
        <v>0.004761904762</v>
      </c>
      <c r="F103" s="6"/>
      <c r="G103" s="6"/>
      <c r="H103" s="6"/>
      <c r="I103" s="6"/>
      <c r="J103" s="6"/>
      <c r="K103" s="51"/>
      <c r="L103" s="51"/>
      <c r="M103" s="51"/>
      <c r="N103" s="51"/>
      <c r="O103" s="51"/>
      <c r="P103" s="51"/>
      <c r="Q103" s="51"/>
      <c r="R103" s="51"/>
      <c r="S103" s="51"/>
      <c r="T103" s="51"/>
      <c r="U103" s="51"/>
      <c r="V103" s="51"/>
      <c r="W103" s="51"/>
      <c r="X103" s="51"/>
      <c r="Y103" s="51"/>
      <c r="Z103" s="51"/>
      <c r="AA103" s="51"/>
      <c r="AB103" s="51"/>
    </row>
    <row r="104" customFormat="false" ht="15.75" hidden="false" customHeight="false" outlineLevel="0" collapsed="false">
      <c r="A104" s="71"/>
      <c r="B104" s="71"/>
      <c r="C104" s="6" t="s">
        <v>8</v>
      </c>
      <c r="D104" s="49"/>
      <c r="E104" s="74" t="n">
        <f aca="false">IFERROR(__xludf.dummyfunction("COUNTA(SPLIT(D104,"" ""))/COUNTA(SPLIT($B$47,"" ""))"),0.00476190476190476)</f>
        <v>0.004761904762</v>
      </c>
      <c r="F104" s="6"/>
      <c r="G104" s="6"/>
      <c r="H104" s="6"/>
      <c r="I104" s="6"/>
      <c r="J104" s="6"/>
      <c r="K104" s="51"/>
      <c r="L104" s="51"/>
      <c r="M104" s="51"/>
      <c r="N104" s="51"/>
      <c r="O104" s="51"/>
      <c r="P104" s="51"/>
      <c r="Q104" s="51"/>
      <c r="R104" s="51"/>
      <c r="S104" s="51"/>
      <c r="T104" s="51"/>
      <c r="U104" s="51"/>
      <c r="V104" s="51"/>
      <c r="W104" s="51"/>
      <c r="X104" s="51"/>
      <c r="Y104" s="51"/>
      <c r="Z104" s="51"/>
      <c r="AA104" s="51"/>
      <c r="AB104" s="51"/>
    </row>
    <row r="105" customFormat="false" ht="15.75" hidden="false" customHeight="false" outlineLevel="0" collapsed="false">
      <c r="A105" s="71"/>
      <c r="B105" s="71"/>
      <c r="C105" s="6" t="s">
        <v>20</v>
      </c>
      <c r="D105" s="49"/>
      <c r="E105" s="75" t="n">
        <f aca="false">IFERROR(__xludf.dummyfunction("COUNTA(SPLIT(D105,"" ""))/COUNTA(SPLIT($B$47,"" ""))"),0.00476190476190476)</f>
        <v>0.004761904762</v>
      </c>
      <c r="F105" s="6"/>
      <c r="G105" s="6"/>
      <c r="H105" s="6"/>
      <c r="I105" s="6"/>
      <c r="J105" s="6"/>
      <c r="K105" s="51"/>
      <c r="L105" s="51"/>
      <c r="M105" s="51"/>
      <c r="N105" s="51"/>
      <c r="O105" s="51"/>
      <c r="P105" s="51"/>
      <c r="Q105" s="51"/>
      <c r="R105" s="51"/>
      <c r="S105" s="51"/>
      <c r="T105" s="51"/>
      <c r="U105" s="51"/>
      <c r="V105" s="51"/>
      <c r="W105" s="51"/>
      <c r="X105" s="51"/>
      <c r="Y105" s="51"/>
      <c r="Z105" s="51"/>
      <c r="AA105" s="51"/>
      <c r="AB105" s="51"/>
    </row>
    <row r="106" customFormat="false" ht="15.75" hidden="false" customHeight="false" outlineLevel="0" collapsed="false">
      <c r="A106" s="51"/>
      <c r="B106" s="51"/>
      <c r="C106" s="6"/>
      <c r="D106" s="49"/>
      <c r="E106" s="51"/>
      <c r="F106" s="6"/>
      <c r="G106" s="6"/>
      <c r="H106" s="6"/>
      <c r="I106" s="6"/>
      <c r="J106" s="6"/>
      <c r="K106" s="51"/>
      <c r="L106" s="51"/>
      <c r="M106" s="51"/>
      <c r="N106" s="51"/>
      <c r="O106" s="51"/>
      <c r="P106" s="51"/>
      <c r="Q106" s="51"/>
      <c r="R106" s="51"/>
      <c r="S106" s="51"/>
      <c r="T106" s="51"/>
      <c r="U106" s="51"/>
      <c r="V106" s="51"/>
      <c r="W106" s="51"/>
      <c r="X106" s="51"/>
      <c r="Y106" s="51"/>
      <c r="Z106" s="51"/>
      <c r="AA106" s="51"/>
      <c r="AB106" s="51"/>
    </row>
    <row r="107" customFormat="false" ht="15.75" hidden="false" customHeight="false" outlineLevel="0" collapsed="false">
      <c r="A107" s="71"/>
      <c r="B107" s="55"/>
      <c r="C107" s="56" t="s">
        <v>18</v>
      </c>
      <c r="D107" s="57"/>
      <c r="E107" s="72" t="n">
        <f aca="false">IFERROR(__xludf.dummyfunction("COUNTA(SPLIT(D107,"" ""))/COUNTA(SPLIT($B$47,"" ""))"),0.00476190476190476)</f>
        <v>0.004761904762</v>
      </c>
      <c r="F107" s="56"/>
      <c r="G107" s="56"/>
      <c r="H107" s="56"/>
      <c r="I107" s="56"/>
      <c r="J107" s="56"/>
      <c r="K107" s="59"/>
      <c r="L107" s="59"/>
      <c r="M107" s="59"/>
      <c r="N107" s="59"/>
      <c r="O107" s="59"/>
      <c r="P107" s="59"/>
      <c r="Q107" s="59"/>
      <c r="R107" s="59"/>
      <c r="S107" s="59"/>
      <c r="T107" s="59"/>
      <c r="U107" s="59"/>
      <c r="V107" s="59"/>
      <c r="W107" s="59"/>
      <c r="X107" s="59"/>
      <c r="Y107" s="59"/>
      <c r="Z107" s="59"/>
      <c r="AA107" s="59"/>
      <c r="AB107" s="59"/>
    </row>
    <row r="108" customFormat="false" ht="15.75" hidden="false" customHeight="false" outlineLevel="0" collapsed="false">
      <c r="A108" s="71"/>
      <c r="B108" s="71"/>
      <c r="C108" s="6" t="s">
        <v>19</v>
      </c>
      <c r="D108" s="49"/>
      <c r="E108" s="73" t="n">
        <f aca="false">IFERROR(__xludf.dummyfunction("COUNTA(SPLIT(D108,"" ""))/COUNTA(SPLIT($B$47,"" ""))"),0.00476190476190476)</f>
        <v>0.004761904762</v>
      </c>
      <c r="F108" s="6"/>
      <c r="G108" s="6"/>
      <c r="H108" s="6"/>
      <c r="I108" s="6"/>
      <c r="J108" s="6"/>
      <c r="K108" s="51"/>
      <c r="L108" s="51"/>
      <c r="M108" s="51"/>
      <c r="N108" s="51"/>
      <c r="O108" s="51"/>
      <c r="P108" s="51"/>
      <c r="Q108" s="51"/>
      <c r="R108" s="51"/>
      <c r="S108" s="51"/>
      <c r="T108" s="51"/>
      <c r="U108" s="51"/>
      <c r="V108" s="51"/>
      <c r="W108" s="51"/>
      <c r="X108" s="51"/>
      <c r="Y108" s="51"/>
      <c r="Z108" s="51"/>
      <c r="AA108" s="51"/>
      <c r="AB108" s="51"/>
    </row>
    <row r="109" customFormat="false" ht="15.75" hidden="false" customHeight="false" outlineLevel="0" collapsed="false">
      <c r="A109" s="71"/>
      <c r="B109" s="71"/>
      <c r="C109" s="6" t="s">
        <v>8</v>
      </c>
      <c r="D109" s="49"/>
      <c r="E109" s="74" t="n">
        <f aca="false">IFERROR(__xludf.dummyfunction("COUNTA(SPLIT(D109,"" ""))/COUNTA(SPLIT($B$47,"" ""))"),0.00476190476190476)</f>
        <v>0.004761904762</v>
      </c>
      <c r="F109" s="6"/>
      <c r="G109" s="6"/>
      <c r="H109" s="6"/>
      <c r="I109" s="6"/>
      <c r="J109" s="6"/>
      <c r="K109" s="51"/>
      <c r="L109" s="51"/>
      <c r="M109" s="51"/>
      <c r="N109" s="51"/>
      <c r="O109" s="51"/>
      <c r="P109" s="51"/>
      <c r="Q109" s="51"/>
      <c r="R109" s="51"/>
      <c r="S109" s="51"/>
      <c r="T109" s="51"/>
      <c r="U109" s="51"/>
      <c r="V109" s="51"/>
      <c r="W109" s="51"/>
      <c r="X109" s="51"/>
      <c r="Y109" s="51"/>
      <c r="Z109" s="51"/>
      <c r="AA109" s="51"/>
      <c r="AB109" s="51"/>
    </row>
    <row r="110" customFormat="false" ht="15.75" hidden="false" customHeight="false" outlineLevel="0" collapsed="false">
      <c r="A110" s="71"/>
      <c r="B110" s="71"/>
      <c r="C110" s="6" t="s">
        <v>20</v>
      </c>
      <c r="D110" s="49"/>
      <c r="E110" s="75" t="n">
        <f aca="false">IFERROR(__xludf.dummyfunction("COUNTA(SPLIT(D110,"" ""))/COUNTA(SPLIT($B$47,"" ""))"),0.00476190476190476)</f>
        <v>0.004761904762</v>
      </c>
      <c r="F110" s="6"/>
      <c r="G110" s="6"/>
      <c r="H110" s="6"/>
      <c r="I110" s="6"/>
      <c r="J110" s="6"/>
      <c r="K110" s="51"/>
      <c r="L110" s="51"/>
      <c r="M110" s="51"/>
      <c r="N110" s="51"/>
      <c r="O110" s="51"/>
      <c r="P110" s="51"/>
      <c r="Q110" s="51"/>
      <c r="R110" s="51"/>
      <c r="S110" s="51"/>
      <c r="T110" s="51"/>
      <c r="U110" s="51"/>
      <c r="V110" s="51"/>
      <c r="W110" s="51"/>
      <c r="X110" s="51"/>
      <c r="Y110" s="51"/>
      <c r="Z110" s="51"/>
      <c r="AA110" s="51"/>
      <c r="AB110" s="51"/>
    </row>
    <row r="111" customFormat="false" ht="15.75" hidden="false" customHeight="false" outlineLevel="0" collapsed="false">
      <c r="A111" s="51"/>
      <c r="B111" s="51"/>
      <c r="C111" s="6"/>
      <c r="D111" s="49"/>
      <c r="E111" s="51"/>
      <c r="F111" s="6"/>
      <c r="G111" s="6"/>
      <c r="H111" s="6"/>
      <c r="I111" s="6"/>
      <c r="J111" s="6"/>
      <c r="K111" s="51"/>
      <c r="L111" s="51"/>
      <c r="M111" s="51"/>
      <c r="N111" s="51"/>
      <c r="O111" s="51"/>
      <c r="P111" s="51"/>
      <c r="Q111" s="51"/>
      <c r="R111" s="51"/>
      <c r="S111" s="51"/>
      <c r="T111" s="51"/>
      <c r="U111" s="51"/>
      <c r="V111" s="51"/>
      <c r="W111" s="51"/>
      <c r="X111" s="51"/>
      <c r="Y111" s="51"/>
      <c r="Z111" s="51"/>
      <c r="AA111" s="51"/>
      <c r="AB111" s="51"/>
    </row>
    <row r="112" customFormat="false" ht="15.75" hidden="false" customHeight="false" outlineLevel="0" collapsed="false">
      <c r="A112" s="71"/>
      <c r="B112" s="55"/>
      <c r="C112" s="56" t="s">
        <v>18</v>
      </c>
      <c r="D112" s="57"/>
      <c r="E112" s="72" t="n">
        <f aca="false">IFERROR(__xludf.dummyfunction("COUNTA(SPLIT(D112,"" ""))/COUNTA(SPLIT($B$47,"" ""))"),0.00476190476190476)</f>
        <v>0.004761904762</v>
      </c>
      <c r="F112" s="56"/>
      <c r="G112" s="56"/>
      <c r="H112" s="56"/>
      <c r="I112" s="56"/>
      <c r="J112" s="56"/>
      <c r="K112" s="59"/>
      <c r="L112" s="59"/>
      <c r="M112" s="59"/>
      <c r="N112" s="59"/>
      <c r="O112" s="59"/>
      <c r="P112" s="59"/>
      <c r="Q112" s="59"/>
      <c r="R112" s="59"/>
      <c r="S112" s="59"/>
      <c r="T112" s="59"/>
      <c r="U112" s="59"/>
      <c r="V112" s="59"/>
      <c r="W112" s="59"/>
      <c r="X112" s="59"/>
      <c r="Y112" s="59"/>
      <c r="Z112" s="59"/>
      <c r="AA112" s="59"/>
      <c r="AB112" s="59"/>
    </row>
    <row r="113" customFormat="false" ht="15.75" hidden="false" customHeight="false" outlineLevel="0" collapsed="false">
      <c r="A113" s="71"/>
      <c r="B113" s="71"/>
      <c r="C113" s="6" t="s">
        <v>19</v>
      </c>
      <c r="D113" s="49"/>
      <c r="E113" s="73" t="n">
        <f aca="false">IFERROR(__xludf.dummyfunction("COUNTA(SPLIT(D113,"" ""))/COUNTA(SPLIT($B$47,"" ""))"),0.00476190476190476)</f>
        <v>0.004761904762</v>
      </c>
      <c r="F113" s="6"/>
      <c r="G113" s="6"/>
      <c r="H113" s="6"/>
      <c r="I113" s="6"/>
      <c r="J113" s="6"/>
      <c r="K113" s="51"/>
      <c r="L113" s="51"/>
      <c r="M113" s="51"/>
      <c r="N113" s="51"/>
      <c r="O113" s="51"/>
      <c r="P113" s="51"/>
      <c r="Q113" s="51"/>
      <c r="R113" s="51"/>
      <c r="S113" s="51"/>
      <c r="T113" s="51"/>
      <c r="U113" s="51"/>
      <c r="V113" s="51"/>
      <c r="W113" s="51"/>
      <c r="X113" s="51"/>
      <c r="Y113" s="51"/>
      <c r="Z113" s="51"/>
      <c r="AA113" s="51"/>
      <c r="AB113" s="51"/>
    </row>
    <row r="114" customFormat="false" ht="15.75" hidden="false" customHeight="false" outlineLevel="0" collapsed="false">
      <c r="A114" s="71"/>
      <c r="B114" s="71"/>
      <c r="C114" s="6" t="s">
        <v>8</v>
      </c>
      <c r="D114" s="49"/>
      <c r="E114" s="74" t="n">
        <f aca="false">IFERROR(__xludf.dummyfunction("COUNTA(SPLIT(D114,"" ""))/COUNTA(SPLIT($B$47,"" ""))"),0.00476190476190476)</f>
        <v>0.004761904762</v>
      </c>
      <c r="F114" s="6"/>
      <c r="G114" s="6"/>
      <c r="H114" s="6"/>
      <c r="I114" s="6"/>
      <c r="J114" s="6"/>
      <c r="K114" s="51"/>
      <c r="L114" s="51"/>
      <c r="M114" s="51"/>
      <c r="N114" s="51"/>
      <c r="O114" s="51"/>
      <c r="P114" s="51"/>
      <c r="Q114" s="51"/>
      <c r="R114" s="51"/>
      <c r="S114" s="51"/>
      <c r="T114" s="51"/>
      <c r="U114" s="51"/>
      <c r="V114" s="51"/>
      <c r="W114" s="51"/>
      <c r="X114" s="51"/>
      <c r="Y114" s="51"/>
      <c r="Z114" s="51"/>
      <c r="AA114" s="51"/>
      <c r="AB114" s="51"/>
    </row>
    <row r="115" customFormat="false" ht="15.75" hidden="false" customHeight="false" outlineLevel="0" collapsed="false">
      <c r="A115" s="71"/>
      <c r="B115" s="71"/>
      <c r="C115" s="6" t="s">
        <v>20</v>
      </c>
      <c r="D115" s="49"/>
      <c r="E115" s="75" t="n">
        <f aca="false">IFERROR(__xludf.dummyfunction("COUNTA(SPLIT(D115,"" ""))/COUNTA(SPLIT($B$47,"" ""))"),0.00476190476190476)</f>
        <v>0.004761904762</v>
      </c>
      <c r="F115" s="6"/>
      <c r="G115" s="6"/>
      <c r="H115" s="6"/>
      <c r="I115" s="6"/>
      <c r="J115" s="6"/>
      <c r="K115" s="51"/>
      <c r="L115" s="51"/>
      <c r="M115" s="51"/>
      <c r="N115" s="51"/>
      <c r="O115" s="51"/>
      <c r="P115" s="51"/>
      <c r="Q115" s="51"/>
      <c r="R115" s="51"/>
      <c r="S115" s="51"/>
      <c r="T115" s="51"/>
      <c r="U115" s="51"/>
      <c r="V115" s="51"/>
      <c r="W115" s="51"/>
      <c r="X115" s="51"/>
      <c r="Y115" s="51"/>
      <c r="Z115" s="51"/>
      <c r="AA115" s="51"/>
      <c r="AB115" s="51"/>
    </row>
    <row r="116" customFormat="false" ht="15.75" hidden="false" customHeight="false" outlineLevel="0" collapsed="false">
      <c r="A116" s="51"/>
      <c r="B116" s="51"/>
      <c r="C116" s="6"/>
      <c r="D116" s="49"/>
      <c r="E116" s="51"/>
      <c r="F116" s="6"/>
      <c r="G116" s="6"/>
      <c r="H116" s="6"/>
      <c r="I116" s="6"/>
      <c r="J116" s="6"/>
      <c r="K116" s="51"/>
      <c r="L116" s="51"/>
      <c r="M116" s="51"/>
      <c r="N116" s="51"/>
      <c r="O116" s="51"/>
      <c r="P116" s="51"/>
      <c r="Q116" s="51"/>
      <c r="R116" s="51"/>
      <c r="S116" s="51"/>
      <c r="T116" s="51"/>
      <c r="U116" s="51"/>
      <c r="V116" s="51"/>
      <c r="W116" s="51"/>
      <c r="X116" s="51"/>
      <c r="Y116" s="51"/>
      <c r="Z116" s="51"/>
      <c r="AA116" s="51"/>
      <c r="AB116" s="51"/>
    </row>
    <row r="117" customFormat="false" ht="15.75" hidden="false" customHeight="false" outlineLevel="0" collapsed="false">
      <c r="A117" s="71"/>
      <c r="B117" s="55"/>
      <c r="C117" s="56" t="s">
        <v>18</v>
      </c>
      <c r="D117" s="57"/>
      <c r="E117" s="72" t="n">
        <f aca="false">IFERROR(__xludf.dummyfunction("COUNTA(SPLIT(D117,"" ""))/COUNTA(SPLIT($B$47,"" ""))"),0.00476190476190476)</f>
        <v>0.004761904762</v>
      </c>
      <c r="F117" s="56"/>
      <c r="G117" s="56"/>
      <c r="H117" s="56"/>
      <c r="I117" s="56"/>
      <c r="J117" s="56"/>
      <c r="K117" s="59"/>
      <c r="L117" s="59"/>
      <c r="M117" s="59"/>
      <c r="N117" s="59"/>
      <c r="O117" s="59"/>
      <c r="P117" s="59"/>
      <c r="Q117" s="59"/>
      <c r="R117" s="59"/>
      <c r="S117" s="59"/>
      <c r="T117" s="59"/>
      <c r="U117" s="59"/>
      <c r="V117" s="59"/>
      <c r="W117" s="59"/>
      <c r="X117" s="59"/>
      <c r="Y117" s="59"/>
      <c r="Z117" s="59"/>
      <c r="AA117" s="59"/>
      <c r="AB117" s="59"/>
    </row>
    <row r="118" customFormat="false" ht="15.75" hidden="false" customHeight="false" outlineLevel="0" collapsed="false">
      <c r="A118" s="71"/>
      <c r="B118" s="71"/>
      <c r="C118" s="6" t="s">
        <v>19</v>
      </c>
      <c r="D118" s="49"/>
      <c r="E118" s="73" t="n">
        <f aca="false">IFERROR(__xludf.dummyfunction("COUNTA(SPLIT(D118,"" ""))/COUNTA(SPLIT($B$47,"" ""))"),0.00476190476190476)</f>
        <v>0.004761904762</v>
      </c>
      <c r="F118" s="6"/>
      <c r="G118" s="6"/>
      <c r="H118" s="6"/>
      <c r="I118" s="6"/>
      <c r="J118" s="6"/>
      <c r="K118" s="51"/>
      <c r="L118" s="51"/>
      <c r="M118" s="51"/>
      <c r="N118" s="51"/>
      <c r="O118" s="51"/>
      <c r="P118" s="51"/>
      <c r="Q118" s="51"/>
      <c r="R118" s="51"/>
      <c r="S118" s="51"/>
      <c r="T118" s="51"/>
      <c r="U118" s="51"/>
      <c r="V118" s="51"/>
      <c r="W118" s="51"/>
      <c r="X118" s="51"/>
      <c r="Y118" s="51"/>
      <c r="Z118" s="51"/>
      <c r="AA118" s="51"/>
      <c r="AB118" s="51"/>
    </row>
    <row r="119" customFormat="false" ht="15.75" hidden="false" customHeight="false" outlineLevel="0" collapsed="false">
      <c r="A119" s="71"/>
      <c r="B119" s="71"/>
      <c r="C119" s="6" t="s">
        <v>8</v>
      </c>
      <c r="D119" s="49"/>
      <c r="E119" s="74" t="n">
        <f aca="false">IFERROR(__xludf.dummyfunction("COUNTA(SPLIT(D119,"" ""))/COUNTA(SPLIT($B$47,"" ""))"),0.00476190476190476)</f>
        <v>0.004761904762</v>
      </c>
      <c r="F119" s="6"/>
      <c r="G119" s="6"/>
      <c r="H119" s="6"/>
      <c r="I119" s="6"/>
      <c r="J119" s="6"/>
      <c r="K119" s="51"/>
      <c r="L119" s="51"/>
      <c r="M119" s="51"/>
      <c r="N119" s="51"/>
      <c r="O119" s="51"/>
      <c r="P119" s="51"/>
      <c r="Q119" s="51"/>
      <c r="R119" s="51"/>
      <c r="S119" s="51"/>
      <c r="T119" s="51"/>
      <c r="U119" s="51"/>
      <c r="V119" s="51"/>
      <c r="W119" s="51"/>
      <c r="X119" s="51"/>
      <c r="Y119" s="51"/>
      <c r="Z119" s="51"/>
      <c r="AA119" s="51"/>
      <c r="AB119" s="51"/>
    </row>
    <row r="120" customFormat="false" ht="15.75" hidden="false" customHeight="false" outlineLevel="0" collapsed="false">
      <c r="A120" s="71"/>
      <c r="B120" s="71"/>
      <c r="C120" s="6" t="s">
        <v>20</v>
      </c>
      <c r="D120" s="49"/>
      <c r="E120" s="75" t="n">
        <f aca="false">IFERROR(__xludf.dummyfunction("COUNTA(SPLIT(D120,"" ""))/COUNTA(SPLIT($B$47,"" ""))"),0.00476190476190476)</f>
        <v>0.004761904762</v>
      </c>
      <c r="F120" s="6"/>
      <c r="G120" s="6"/>
      <c r="H120" s="6"/>
      <c r="I120" s="6"/>
      <c r="J120" s="6"/>
      <c r="K120" s="51"/>
      <c r="L120" s="51"/>
      <c r="M120" s="51"/>
      <c r="N120" s="51"/>
      <c r="O120" s="51"/>
      <c r="P120" s="51"/>
      <c r="Q120" s="51"/>
      <c r="R120" s="51"/>
      <c r="S120" s="51"/>
      <c r="T120" s="51"/>
      <c r="U120" s="51"/>
      <c r="V120" s="51"/>
      <c r="W120" s="51"/>
      <c r="X120" s="51"/>
      <c r="Y120" s="51"/>
      <c r="Z120" s="51"/>
      <c r="AA120" s="51"/>
      <c r="AB120" s="51"/>
    </row>
    <row r="121" customFormat="false" ht="15.75" hidden="false" customHeight="false" outlineLevel="0" collapsed="false">
      <c r="A121" s="51"/>
      <c r="B121" s="51"/>
      <c r="C121" s="6"/>
      <c r="D121" s="49"/>
      <c r="E121" s="51"/>
      <c r="F121" s="6"/>
      <c r="G121" s="6"/>
      <c r="H121" s="6"/>
      <c r="I121" s="6"/>
      <c r="J121" s="6"/>
      <c r="K121" s="51"/>
      <c r="L121" s="51"/>
      <c r="M121" s="51"/>
      <c r="N121" s="51"/>
      <c r="O121" s="51"/>
      <c r="P121" s="51"/>
      <c r="Q121" s="51"/>
      <c r="R121" s="51"/>
      <c r="S121" s="51"/>
      <c r="T121" s="51"/>
      <c r="U121" s="51"/>
      <c r="V121" s="51"/>
      <c r="W121" s="51"/>
      <c r="X121" s="51"/>
      <c r="Y121" s="51"/>
      <c r="Z121" s="51"/>
      <c r="AA121" s="51"/>
      <c r="AB121" s="51"/>
    </row>
    <row r="122" customFormat="false" ht="15.75" hidden="false" customHeight="false" outlineLevel="0" collapsed="false">
      <c r="A122" s="71"/>
      <c r="B122" s="55"/>
      <c r="C122" s="56" t="s">
        <v>18</v>
      </c>
      <c r="D122" s="57"/>
      <c r="E122" s="72" t="n">
        <f aca="false">IFERROR(__xludf.dummyfunction("COUNTA(SPLIT(D122,"" ""))/COUNTA(SPLIT($B$47,"" ""))"),0.00476190476190476)</f>
        <v>0.004761904762</v>
      </c>
      <c r="F122" s="56"/>
      <c r="G122" s="56"/>
      <c r="H122" s="56"/>
      <c r="I122" s="56"/>
      <c r="J122" s="56"/>
      <c r="K122" s="59"/>
      <c r="L122" s="59"/>
      <c r="M122" s="59"/>
      <c r="N122" s="59"/>
      <c r="O122" s="59"/>
      <c r="P122" s="59"/>
      <c r="Q122" s="59"/>
      <c r="R122" s="59"/>
      <c r="S122" s="59"/>
      <c r="T122" s="59"/>
      <c r="U122" s="59"/>
      <c r="V122" s="59"/>
      <c r="W122" s="59"/>
      <c r="X122" s="59"/>
      <c r="Y122" s="59"/>
      <c r="Z122" s="59"/>
      <c r="AA122" s="59"/>
      <c r="AB122" s="59"/>
    </row>
    <row r="123" customFormat="false" ht="15.75" hidden="false" customHeight="false" outlineLevel="0" collapsed="false">
      <c r="A123" s="71"/>
      <c r="B123" s="71"/>
      <c r="C123" s="6" t="s">
        <v>19</v>
      </c>
      <c r="D123" s="49"/>
      <c r="E123" s="73" t="n">
        <f aca="false">IFERROR(__xludf.dummyfunction("COUNTA(SPLIT(D123,"" ""))/COUNTA(SPLIT($B$47,"" ""))"),0.00476190476190476)</f>
        <v>0.004761904762</v>
      </c>
      <c r="F123" s="6"/>
      <c r="G123" s="6"/>
      <c r="H123" s="6"/>
      <c r="I123" s="6"/>
      <c r="J123" s="6"/>
      <c r="K123" s="51"/>
      <c r="L123" s="51"/>
      <c r="M123" s="51"/>
      <c r="N123" s="51"/>
      <c r="O123" s="51"/>
      <c r="P123" s="51"/>
      <c r="Q123" s="51"/>
      <c r="R123" s="51"/>
      <c r="S123" s="51"/>
      <c r="T123" s="51"/>
      <c r="U123" s="51"/>
      <c r="V123" s="51"/>
      <c r="W123" s="51"/>
      <c r="X123" s="51"/>
      <c r="Y123" s="51"/>
      <c r="Z123" s="51"/>
      <c r="AA123" s="51"/>
      <c r="AB123" s="51"/>
    </row>
    <row r="124" customFormat="false" ht="15.75" hidden="false" customHeight="false" outlineLevel="0" collapsed="false">
      <c r="A124" s="71"/>
      <c r="B124" s="71"/>
      <c r="C124" s="6" t="s">
        <v>8</v>
      </c>
      <c r="D124" s="49"/>
      <c r="E124" s="74" t="n">
        <f aca="false">IFERROR(__xludf.dummyfunction("COUNTA(SPLIT(D124,"" ""))/COUNTA(SPLIT($B$47,"" ""))"),0.00476190476190476)</f>
        <v>0.004761904762</v>
      </c>
      <c r="F124" s="6"/>
      <c r="G124" s="6"/>
      <c r="H124" s="6"/>
      <c r="I124" s="6"/>
      <c r="J124" s="6"/>
      <c r="K124" s="51"/>
      <c r="L124" s="51"/>
      <c r="M124" s="51"/>
      <c r="N124" s="51"/>
      <c r="O124" s="51"/>
      <c r="P124" s="51"/>
      <c r="Q124" s="51"/>
      <c r="R124" s="51"/>
      <c r="S124" s="51"/>
      <c r="T124" s="51"/>
      <c r="U124" s="51"/>
      <c r="V124" s="51"/>
      <c r="W124" s="51"/>
      <c r="X124" s="51"/>
      <c r="Y124" s="51"/>
      <c r="Z124" s="51"/>
      <c r="AA124" s="51"/>
      <c r="AB124" s="51"/>
    </row>
    <row r="125" customFormat="false" ht="15.75" hidden="false" customHeight="false" outlineLevel="0" collapsed="false">
      <c r="A125" s="71"/>
      <c r="B125" s="71"/>
      <c r="C125" s="6" t="s">
        <v>20</v>
      </c>
      <c r="D125" s="49"/>
      <c r="E125" s="75" t="n">
        <f aca="false">IFERROR(__xludf.dummyfunction("COUNTA(SPLIT(D125,"" ""))/COUNTA(SPLIT($B$47,"" ""))"),0.00476190476190476)</f>
        <v>0.004761904762</v>
      </c>
      <c r="F125" s="6"/>
      <c r="G125" s="6"/>
      <c r="H125" s="6"/>
      <c r="I125" s="6"/>
      <c r="J125" s="6"/>
      <c r="K125" s="51"/>
      <c r="L125" s="51"/>
      <c r="M125" s="51"/>
      <c r="N125" s="51"/>
      <c r="O125" s="51"/>
      <c r="P125" s="51"/>
      <c r="Q125" s="51"/>
      <c r="R125" s="51"/>
      <c r="S125" s="51"/>
      <c r="T125" s="51"/>
      <c r="U125" s="51"/>
      <c r="V125" s="51"/>
      <c r="W125" s="51"/>
      <c r="X125" s="51"/>
      <c r="Y125" s="51"/>
      <c r="Z125" s="51"/>
      <c r="AA125" s="51"/>
      <c r="AB125" s="51"/>
    </row>
    <row r="126" customFormat="false" ht="15.75" hidden="false" customHeight="false" outlineLevel="0" collapsed="false">
      <c r="A126" s="51"/>
      <c r="B126" s="51"/>
      <c r="C126" s="6"/>
      <c r="D126" s="49"/>
      <c r="E126" s="51"/>
      <c r="F126" s="6"/>
      <c r="G126" s="6"/>
      <c r="H126" s="6"/>
      <c r="I126" s="6"/>
      <c r="J126" s="6"/>
      <c r="K126" s="51"/>
      <c r="L126" s="51"/>
      <c r="M126" s="51"/>
      <c r="N126" s="51"/>
      <c r="O126" s="51"/>
      <c r="P126" s="51"/>
      <c r="Q126" s="51"/>
      <c r="R126" s="51"/>
      <c r="S126" s="51"/>
      <c r="T126" s="51"/>
      <c r="U126" s="51"/>
      <c r="V126" s="51"/>
      <c r="W126" s="51"/>
      <c r="X126" s="51"/>
      <c r="Y126" s="51"/>
      <c r="Z126" s="51"/>
      <c r="AA126" s="51"/>
      <c r="AB126" s="51"/>
    </row>
    <row r="127" customFormat="false" ht="15.75" hidden="false" customHeight="false" outlineLevel="0" collapsed="false">
      <c r="A127" s="71"/>
      <c r="B127" s="55"/>
      <c r="C127" s="56" t="s">
        <v>18</v>
      </c>
      <c r="D127" s="57"/>
      <c r="E127" s="72" t="n">
        <f aca="false">IFERROR(__xludf.dummyfunction("COUNTA(SPLIT(D127,"" ""))/COUNTA(SPLIT($B$47,"" ""))"),0.00476190476190476)</f>
        <v>0.004761904762</v>
      </c>
      <c r="F127" s="56"/>
      <c r="G127" s="56"/>
      <c r="H127" s="56"/>
      <c r="I127" s="56"/>
      <c r="J127" s="56"/>
      <c r="K127" s="59"/>
      <c r="L127" s="59"/>
      <c r="M127" s="59"/>
      <c r="N127" s="59"/>
      <c r="O127" s="59"/>
      <c r="P127" s="59"/>
      <c r="Q127" s="59"/>
      <c r="R127" s="59"/>
      <c r="S127" s="59"/>
      <c r="T127" s="59"/>
      <c r="U127" s="59"/>
      <c r="V127" s="59"/>
      <c r="W127" s="59"/>
      <c r="X127" s="59"/>
      <c r="Y127" s="59"/>
      <c r="Z127" s="59"/>
      <c r="AA127" s="59"/>
      <c r="AB127" s="59"/>
    </row>
    <row r="128" customFormat="false" ht="15.75" hidden="false" customHeight="false" outlineLevel="0" collapsed="false">
      <c r="A128" s="71"/>
      <c r="B128" s="71"/>
      <c r="C128" s="6" t="s">
        <v>19</v>
      </c>
      <c r="D128" s="49"/>
      <c r="E128" s="73" t="n">
        <f aca="false">IFERROR(__xludf.dummyfunction("COUNTA(SPLIT(D128,"" ""))/COUNTA(SPLIT($B$47,"" ""))"),0.00476190476190476)</f>
        <v>0.004761904762</v>
      </c>
      <c r="F128" s="6"/>
      <c r="G128" s="6"/>
      <c r="H128" s="6"/>
      <c r="I128" s="6"/>
      <c r="J128" s="6"/>
      <c r="K128" s="51"/>
      <c r="L128" s="51"/>
      <c r="M128" s="51"/>
      <c r="N128" s="51"/>
      <c r="O128" s="51"/>
      <c r="P128" s="51"/>
      <c r="Q128" s="51"/>
      <c r="R128" s="51"/>
      <c r="S128" s="51"/>
      <c r="T128" s="51"/>
      <c r="U128" s="51"/>
      <c r="V128" s="51"/>
      <c r="W128" s="51"/>
      <c r="X128" s="51"/>
      <c r="Y128" s="51"/>
      <c r="Z128" s="51"/>
      <c r="AA128" s="51"/>
      <c r="AB128" s="51"/>
    </row>
    <row r="129" customFormat="false" ht="15.75" hidden="false" customHeight="false" outlineLevel="0" collapsed="false">
      <c r="A129" s="71"/>
      <c r="B129" s="71"/>
      <c r="C129" s="6" t="s">
        <v>8</v>
      </c>
      <c r="D129" s="49"/>
      <c r="E129" s="74" t="n">
        <f aca="false">IFERROR(__xludf.dummyfunction("COUNTA(SPLIT(D129,"" ""))/COUNTA(SPLIT($B$47,"" ""))"),0.00476190476190476)</f>
        <v>0.004761904762</v>
      </c>
      <c r="F129" s="6"/>
      <c r="G129" s="6"/>
      <c r="H129" s="6"/>
      <c r="I129" s="6"/>
      <c r="J129" s="6"/>
      <c r="K129" s="51"/>
      <c r="L129" s="51"/>
      <c r="M129" s="51"/>
      <c r="N129" s="51"/>
      <c r="O129" s="51"/>
      <c r="P129" s="51"/>
      <c r="Q129" s="51"/>
      <c r="R129" s="51"/>
      <c r="S129" s="51"/>
      <c r="T129" s="51"/>
      <c r="U129" s="51"/>
      <c r="V129" s="51"/>
      <c r="W129" s="51"/>
      <c r="X129" s="51"/>
      <c r="Y129" s="51"/>
      <c r="Z129" s="51"/>
      <c r="AA129" s="51"/>
      <c r="AB129" s="51"/>
    </row>
    <row r="130" customFormat="false" ht="15.75" hidden="false" customHeight="false" outlineLevel="0" collapsed="false">
      <c r="A130" s="71"/>
      <c r="B130" s="71"/>
      <c r="C130" s="6" t="s">
        <v>20</v>
      </c>
      <c r="D130" s="49"/>
      <c r="E130" s="75" t="n">
        <f aca="false">IFERROR(__xludf.dummyfunction("COUNTA(SPLIT(D130,"" ""))/COUNTA(SPLIT($B$47,"" ""))"),0.00476190476190476)</f>
        <v>0.004761904762</v>
      </c>
      <c r="F130" s="6"/>
      <c r="G130" s="6"/>
      <c r="H130" s="6"/>
      <c r="I130" s="6"/>
      <c r="J130" s="6"/>
      <c r="K130" s="51"/>
      <c r="L130" s="51"/>
      <c r="M130" s="51"/>
      <c r="N130" s="51"/>
      <c r="O130" s="51"/>
      <c r="P130" s="51"/>
      <c r="Q130" s="51"/>
      <c r="R130" s="51"/>
      <c r="S130" s="51"/>
      <c r="T130" s="51"/>
      <c r="U130" s="51"/>
      <c r="V130" s="51"/>
      <c r="W130" s="51"/>
      <c r="X130" s="51"/>
      <c r="Y130" s="51"/>
      <c r="Z130" s="51"/>
      <c r="AA130" s="51"/>
      <c r="AB130" s="51"/>
    </row>
    <row r="131" customFormat="false" ht="15.75" hidden="false" customHeight="false" outlineLevel="0" collapsed="false">
      <c r="A131" s="51"/>
      <c r="B131" s="51"/>
      <c r="C131" s="6"/>
      <c r="D131" s="49"/>
      <c r="E131" s="51"/>
      <c r="F131" s="6"/>
      <c r="G131" s="6"/>
      <c r="H131" s="6"/>
      <c r="I131" s="6"/>
      <c r="J131" s="6"/>
      <c r="K131" s="51"/>
      <c r="L131" s="51"/>
      <c r="M131" s="51"/>
      <c r="N131" s="51"/>
      <c r="O131" s="51"/>
      <c r="P131" s="51"/>
      <c r="Q131" s="51"/>
      <c r="R131" s="51"/>
      <c r="S131" s="51"/>
      <c r="T131" s="51"/>
      <c r="U131" s="51"/>
      <c r="V131" s="51"/>
      <c r="W131" s="51"/>
      <c r="X131" s="51"/>
      <c r="Y131" s="51"/>
      <c r="Z131" s="51"/>
      <c r="AA131" s="51"/>
      <c r="AB131" s="51"/>
    </row>
    <row r="132" customFormat="false" ht="15.75" hidden="false" customHeight="false" outlineLevel="0" collapsed="false">
      <c r="A132" s="71"/>
      <c r="B132" s="55"/>
      <c r="C132" s="56" t="s">
        <v>18</v>
      </c>
      <c r="D132" s="57"/>
      <c r="E132" s="72" t="n">
        <f aca="false">IFERROR(__xludf.dummyfunction("COUNTA(SPLIT(D132,"" ""))/COUNTA(SPLIT($B$47,"" ""))"),0.00476190476190476)</f>
        <v>0.004761904762</v>
      </c>
      <c r="F132" s="56"/>
      <c r="G132" s="56"/>
      <c r="H132" s="56"/>
      <c r="I132" s="56"/>
      <c r="J132" s="56"/>
      <c r="K132" s="59"/>
      <c r="L132" s="59"/>
      <c r="M132" s="59"/>
      <c r="N132" s="59"/>
      <c r="O132" s="59"/>
      <c r="P132" s="59"/>
      <c r="Q132" s="59"/>
      <c r="R132" s="59"/>
      <c r="S132" s="59"/>
      <c r="T132" s="59"/>
      <c r="U132" s="59"/>
      <c r="V132" s="59"/>
      <c r="W132" s="59"/>
      <c r="X132" s="59"/>
      <c r="Y132" s="59"/>
      <c r="Z132" s="59"/>
      <c r="AA132" s="59"/>
      <c r="AB132" s="59"/>
    </row>
    <row r="133" customFormat="false" ht="15.75" hidden="false" customHeight="false" outlineLevel="0" collapsed="false">
      <c r="A133" s="71"/>
      <c r="B133" s="71"/>
      <c r="C133" s="6" t="s">
        <v>19</v>
      </c>
      <c r="D133" s="49"/>
      <c r="E133" s="73" t="n">
        <f aca="false">IFERROR(__xludf.dummyfunction("COUNTA(SPLIT(D133,"" ""))/COUNTA(SPLIT($B$47,"" ""))"),0.00476190476190476)</f>
        <v>0.004761904762</v>
      </c>
      <c r="F133" s="6"/>
      <c r="G133" s="6"/>
      <c r="H133" s="6"/>
      <c r="I133" s="6"/>
      <c r="J133" s="6"/>
      <c r="K133" s="51"/>
      <c r="L133" s="51"/>
      <c r="M133" s="51"/>
      <c r="N133" s="51"/>
      <c r="O133" s="51"/>
      <c r="P133" s="51"/>
      <c r="Q133" s="51"/>
      <c r="R133" s="51"/>
      <c r="S133" s="51"/>
      <c r="T133" s="51"/>
      <c r="U133" s="51"/>
      <c r="V133" s="51"/>
      <c r="W133" s="51"/>
      <c r="X133" s="51"/>
      <c r="Y133" s="51"/>
      <c r="Z133" s="51"/>
      <c r="AA133" s="51"/>
      <c r="AB133" s="51"/>
    </row>
    <row r="134" customFormat="false" ht="15.75" hidden="false" customHeight="false" outlineLevel="0" collapsed="false">
      <c r="A134" s="71"/>
      <c r="B134" s="71"/>
      <c r="C134" s="6" t="s">
        <v>8</v>
      </c>
      <c r="D134" s="49"/>
      <c r="E134" s="74" t="n">
        <f aca="false">IFERROR(__xludf.dummyfunction("COUNTA(SPLIT(D134,"" ""))/COUNTA(SPLIT($B$47,"" ""))"),0.00476190476190476)</f>
        <v>0.004761904762</v>
      </c>
      <c r="F134" s="6"/>
      <c r="G134" s="6"/>
      <c r="H134" s="6"/>
      <c r="I134" s="6"/>
      <c r="J134" s="6"/>
      <c r="K134" s="51"/>
      <c r="L134" s="51"/>
      <c r="M134" s="51"/>
      <c r="N134" s="51"/>
      <c r="O134" s="51"/>
      <c r="P134" s="51"/>
      <c r="Q134" s="51"/>
      <c r="R134" s="51"/>
      <c r="S134" s="51"/>
      <c r="T134" s="51"/>
      <c r="U134" s="51"/>
      <c r="V134" s="51"/>
      <c r="W134" s="51"/>
      <c r="X134" s="51"/>
      <c r="Y134" s="51"/>
      <c r="Z134" s="51"/>
      <c r="AA134" s="51"/>
      <c r="AB134" s="51"/>
    </row>
    <row r="135" customFormat="false" ht="15.75" hidden="false" customHeight="false" outlineLevel="0" collapsed="false">
      <c r="A135" s="71"/>
      <c r="B135" s="71"/>
      <c r="C135" s="6" t="s">
        <v>20</v>
      </c>
      <c r="D135" s="49"/>
      <c r="E135" s="75" t="n">
        <f aca="false">IFERROR(__xludf.dummyfunction("COUNTA(SPLIT(D135,"" ""))/COUNTA(SPLIT($B$47,"" ""))"),0.00476190476190476)</f>
        <v>0.004761904762</v>
      </c>
      <c r="F135" s="6"/>
      <c r="G135" s="6"/>
      <c r="H135" s="6"/>
      <c r="I135" s="6"/>
      <c r="J135" s="6"/>
      <c r="K135" s="51"/>
      <c r="L135" s="51"/>
      <c r="M135" s="51"/>
      <c r="N135" s="51"/>
      <c r="O135" s="51"/>
      <c r="P135" s="51"/>
      <c r="Q135" s="51"/>
      <c r="R135" s="51"/>
      <c r="S135" s="51"/>
      <c r="T135" s="51"/>
      <c r="U135" s="51"/>
      <c r="V135" s="51"/>
      <c r="W135" s="51"/>
      <c r="X135" s="51"/>
      <c r="Y135" s="51"/>
      <c r="Z135" s="51"/>
      <c r="AA135" s="51"/>
      <c r="AB135" s="51"/>
    </row>
    <row r="136" customFormat="false" ht="15.75" hidden="false" customHeight="false" outlineLevel="0" collapsed="false">
      <c r="A136" s="51"/>
      <c r="B136" s="51"/>
      <c r="C136" s="6"/>
      <c r="D136" s="49"/>
      <c r="E136" s="51"/>
      <c r="F136" s="6"/>
      <c r="G136" s="6"/>
      <c r="H136" s="6"/>
      <c r="I136" s="6"/>
      <c r="J136" s="6"/>
      <c r="K136" s="51"/>
      <c r="L136" s="51"/>
      <c r="M136" s="51"/>
      <c r="N136" s="51"/>
      <c r="O136" s="51"/>
      <c r="P136" s="51"/>
      <c r="Q136" s="51"/>
      <c r="R136" s="51"/>
      <c r="S136" s="51"/>
      <c r="T136" s="51"/>
      <c r="U136" s="51"/>
      <c r="V136" s="51"/>
      <c r="W136" s="51"/>
      <c r="X136" s="51"/>
      <c r="Y136" s="51"/>
      <c r="Z136" s="51"/>
      <c r="AA136" s="51"/>
      <c r="AB136" s="51"/>
    </row>
    <row r="137" customFormat="false" ht="15.75" hidden="false" customHeight="false" outlineLevel="0" collapsed="false">
      <c r="A137" s="71"/>
      <c r="B137" s="55"/>
      <c r="C137" s="56" t="s">
        <v>18</v>
      </c>
      <c r="D137" s="57"/>
      <c r="E137" s="72" t="n">
        <f aca="false">IFERROR(__xludf.dummyfunction("COUNTA(SPLIT(D137,"" ""))/COUNTA(SPLIT($B$47,"" ""))"),0.00476190476190476)</f>
        <v>0.004761904762</v>
      </c>
      <c r="F137" s="56"/>
      <c r="G137" s="56"/>
      <c r="H137" s="56"/>
      <c r="I137" s="56"/>
      <c r="J137" s="56"/>
      <c r="K137" s="59"/>
      <c r="L137" s="59"/>
      <c r="M137" s="59"/>
      <c r="N137" s="59"/>
      <c r="O137" s="59"/>
      <c r="P137" s="59"/>
      <c r="Q137" s="59"/>
      <c r="R137" s="59"/>
      <c r="S137" s="59"/>
      <c r="T137" s="59"/>
      <c r="U137" s="59"/>
      <c r="V137" s="59"/>
      <c r="W137" s="59"/>
      <c r="X137" s="59"/>
      <c r="Y137" s="59"/>
      <c r="Z137" s="59"/>
      <c r="AA137" s="59"/>
      <c r="AB137" s="59"/>
    </row>
    <row r="138" customFormat="false" ht="15.75" hidden="false" customHeight="false" outlineLevel="0" collapsed="false">
      <c r="A138" s="71"/>
      <c r="B138" s="71"/>
      <c r="C138" s="6" t="s">
        <v>19</v>
      </c>
      <c r="D138" s="49"/>
      <c r="E138" s="73" t="n">
        <f aca="false">IFERROR(__xludf.dummyfunction("COUNTA(SPLIT(D138,"" ""))/COUNTA(SPLIT($B$47,"" ""))"),0.00476190476190476)</f>
        <v>0.004761904762</v>
      </c>
      <c r="F138" s="6"/>
      <c r="G138" s="6"/>
      <c r="H138" s="6"/>
      <c r="I138" s="6"/>
      <c r="J138" s="6"/>
      <c r="K138" s="51"/>
      <c r="L138" s="51"/>
      <c r="M138" s="51"/>
      <c r="N138" s="51"/>
      <c r="O138" s="51"/>
      <c r="P138" s="51"/>
      <c r="Q138" s="51"/>
      <c r="R138" s="51"/>
      <c r="S138" s="51"/>
      <c r="T138" s="51"/>
      <c r="U138" s="51"/>
      <c r="V138" s="51"/>
      <c r="W138" s="51"/>
      <c r="X138" s="51"/>
      <c r="Y138" s="51"/>
      <c r="Z138" s="51"/>
      <c r="AA138" s="51"/>
      <c r="AB138" s="51"/>
    </row>
    <row r="139" customFormat="false" ht="15.75" hidden="false" customHeight="false" outlineLevel="0" collapsed="false">
      <c r="A139" s="71"/>
      <c r="B139" s="71"/>
      <c r="C139" s="6" t="s">
        <v>8</v>
      </c>
      <c r="D139" s="49"/>
      <c r="E139" s="74" t="n">
        <f aca="false">IFERROR(__xludf.dummyfunction("COUNTA(SPLIT(D139,"" ""))/COUNTA(SPLIT($B$47,"" ""))"),0.00476190476190476)</f>
        <v>0.004761904762</v>
      </c>
      <c r="F139" s="6"/>
      <c r="G139" s="6"/>
      <c r="H139" s="6"/>
      <c r="I139" s="6"/>
      <c r="J139" s="6"/>
      <c r="K139" s="51"/>
      <c r="L139" s="51"/>
      <c r="M139" s="51"/>
      <c r="N139" s="51"/>
      <c r="O139" s="51"/>
      <c r="P139" s="51"/>
      <c r="Q139" s="51"/>
      <c r="R139" s="51"/>
      <c r="S139" s="51"/>
      <c r="T139" s="51"/>
      <c r="U139" s="51"/>
      <c r="V139" s="51"/>
      <c r="W139" s="51"/>
      <c r="X139" s="51"/>
      <c r="Y139" s="51"/>
      <c r="Z139" s="51"/>
      <c r="AA139" s="51"/>
      <c r="AB139" s="51"/>
    </row>
    <row r="140" customFormat="false" ht="15.75" hidden="false" customHeight="false" outlineLevel="0" collapsed="false">
      <c r="A140" s="71"/>
      <c r="B140" s="71"/>
      <c r="C140" s="6" t="s">
        <v>20</v>
      </c>
      <c r="D140" s="49"/>
      <c r="E140" s="75" t="n">
        <f aca="false">IFERROR(__xludf.dummyfunction("COUNTA(SPLIT(D140,"" ""))/COUNTA(SPLIT($B$47,"" ""))"),0.00476190476190476)</f>
        <v>0.004761904762</v>
      </c>
      <c r="F140" s="6"/>
      <c r="G140" s="6"/>
      <c r="H140" s="6"/>
      <c r="I140" s="6"/>
      <c r="J140" s="6"/>
      <c r="K140" s="51"/>
      <c r="L140" s="51"/>
      <c r="M140" s="51"/>
      <c r="N140" s="51"/>
      <c r="O140" s="51"/>
      <c r="P140" s="51"/>
      <c r="Q140" s="51"/>
      <c r="R140" s="51"/>
      <c r="S140" s="51"/>
      <c r="T140" s="51"/>
      <c r="U140" s="51"/>
      <c r="V140" s="51"/>
      <c r="W140" s="51"/>
      <c r="X140" s="51"/>
      <c r="Y140" s="51"/>
      <c r="Z140" s="51"/>
      <c r="AA140" s="51"/>
      <c r="AB140" s="51"/>
    </row>
    <row r="141" customFormat="false" ht="15.75" hidden="false" customHeight="false" outlineLevel="0" collapsed="false">
      <c r="A141" s="51"/>
      <c r="B141" s="51"/>
      <c r="C141" s="6"/>
      <c r="D141" s="49"/>
      <c r="E141" s="51"/>
      <c r="F141" s="6"/>
      <c r="G141" s="6"/>
      <c r="H141" s="6"/>
      <c r="I141" s="6"/>
      <c r="J141" s="6"/>
      <c r="K141" s="51"/>
      <c r="L141" s="51"/>
      <c r="M141" s="51"/>
      <c r="N141" s="51"/>
      <c r="O141" s="51"/>
      <c r="P141" s="51"/>
      <c r="Q141" s="51"/>
      <c r="R141" s="51"/>
      <c r="S141" s="51"/>
      <c r="T141" s="51"/>
      <c r="U141" s="51"/>
      <c r="V141" s="51"/>
      <c r="W141" s="51"/>
      <c r="X141" s="51"/>
      <c r="Y141" s="51"/>
      <c r="Z141" s="51"/>
      <c r="AA141" s="51"/>
      <c r="AB141" s="51"/>
    </row>
    <row r="142" customFormat="false" ht="15.75" hidden="false" customHeight="false" outlineLevel="0" collapsed="false">
      <c r="A142" s="71"/>
      <c r="B142" s="55"/>
      <c r="C142" s="56" t="s">
        <v>18</v>
      </c>
      <c r="D142" s="57"/>
      <c r="E142" s="72" t="n">
        <f aca="false">IFERROR(__xludf.dummyfunction("COUNTA(SPLIT(D142,"" ""))/COUNTA(SPLIT($B$47,"" ""))"),0.00476190476190476)</f>
        <v>0.004761904762</v>
      </c>
      <c r="F142" s="56"/>
      <c r="G142" s="56"/>
      <c r="H142" s="56"/>
      <c r="I142" s="56"/>
      <c r="J142" s="56"/>
      <c r="K142" s="59"/>
      <c r="L142" s="59"/>
      <c r="M142" s="59"/>
      <c r="N142" s="59"/>
      <c r="O142" s="59"/>
      <c r="P142" s="59"/>
      <c r="Q142" s="59"/>
      <c r="R142" s="59"/>
      <c r="S142" s="59"/>
      <c r="T142" s="59"/>
      <c r="U142" s="59"/>
      <c r="V142" s="59"/>
      <c r="W142" s="59"/>
      <c r="X142" s="59"/>
      <c r="Y142" s="59"/>
      <c r="Z142" s="59"/>
      <c r="AA142" s="59"/>
      <c r="AB142" s="59"/>
    </row>
    <row r="143" customFormat="false" ht="15.75" hidden="false" customHeight="false" outlineLevel="0" collapsed="false">
      <c r="A143" s="71"/>
      <c r="B143" s="71"/>
      <c r="C143" s="6" t="s">
        <v>19</v>
      </c>
      <c r="D143" s="49"/>
      <c r="E143" s="73" t="n">
        <f aca="false">IFERROR(__xludf.dummyfunction("COUNTA(SPLIT(D143,"" ""))/COUNTA(SPLIT($B$47,"" ""))"),0.00476190476190476)</f>
        <v>0.004761904762</v>
      </c>
      <c r="F143" s="6"/>
      <c r="G143" s="6"/>
      <c r="H143" s="6"/>
      <c r="I143" s="6"/>
      <c r="J143" s="6"/>
      <c r="K143" s="51"/>
      <c r="L143" s="51"/>
      <c r="M143" s="51"/>
      <c r="N143" s="51"/>
      <c r="O143" s="51"/>
      <c r="P143" s="51"/>
      <c r="Q143" s="51"/>
      <c r="R143" s="51"/>
      <c r="S143" s="51"/>
      <c r="T143" s="51"/>
      <c r="U143" s="51"/>
      <c r="V143" s="51"/>
      <c r="W143" s="51"/>
      <c r="X143" s="51"/>
      <c r="Y143" s="51"/>
      <c r="Z143" s="51"/>
      <c r="AA143" s="51"/>
      <c r="AB143" s="51"/>
    </row>
    <row r="144" customFormat="false" ht="15.75" hidden="false" customHeight="false" outlineLevel="0" collapsed="false">
      <c r="A144" s="71"/>
      <c r="B144" s="71"/>
      <c r="C144" s="6" t="s">
        <v>8</v>
      </c>
      <c r="D144" s="49"/>
      <c r="E144" s="74" t="n">
        <f aca="false">IFERROR(__xludf.dummyfunction("COUNTA(SPLIT(D144,"" ""))/COUNTA(SPLIT($B$47,"" ""))"),0.00476190476190476)</f>
        <v>0.004761904762</v>
      </c>
      <c r="F144" s="6"/>
      <c r="G144" s="6"/>
      <c r="H144" s="6"/>
      <c r="I144" s="6"/>
      <c r="J144" s="6"/>
      <c r="K144" s="51"/>
      <c r="L144" s="51"/>
      <c r="M144" s="51"/>
      <c r="N144" s="51"/>
      <c r="O144" s="51"/>
      <c r="P144" s="51"/>
      <c r="Q144" s="51"/>
      <c r="R144" s="51"/>
      <c r="S144" s="51"/>
      <c r="T144" s="51"/>
      <c r="U144" s="51"/>
      <c r="V144" s="51"/>
      <c r="W144" s="51"/>
      <c r="X144" s="51"/>
      <c r="Y144" s="51"/>
      <c r="Z144" s="51"/>
      <c r="AA144" s="51"/>
      <c r="AB144" s="51"/>
    </row>
    <row r="145" customFormat="false" ht="15.75" hidden="false" customHeight="false" outlineLevel="0" collapsed="false">
      <c r="A145" s="71"/>
      <c r="B145" s="71"/>
      <c r="C145" s="6" t="s">
        <v>20</v>
      </c>
      <c r="D145" s="49"/>
      <c r="E145" s="75" t="n">
        <f aca="false">IFERROR(__xludf.dummyfunction("COUNTA(SPLIT(D145,"" ""))/COUNTA(SPLIT($B$47,"" ""))"),0.00476190476190476)</f>
        <v>0.004761904762</v>
      </c>
      <c r="F145" s="6"/>
      <c r="G145" s="6"/>
      <c r="H145" s="6"/>
      <c r="I145" s="6"/>
      <c r="J145" s="6"/>
      <c r="K145" s="51"/>
      <c r="L145" s="51"/>
      <c r="M145" s="51"/>
      <c r="N145" s="51"/>
      <c r="O145" s="51"/>
      <c r="P145" s="51"/>
      <c r="Q145" s="51"/>
      <c r="R145" s="51"/>
      <c r="S145" s="51"/>
      <c r="T145" s="51"/>
      <c r="U145" s="51"/>
      <c r="V145" s="51"/>
      <c r="W145" s="51"/>
      <c r="X145" s="51"/>
      <c r="Y145" s="51"/>
      <c r="Z145" s="51"/>
      <c r="AA145" s="51"/>
      <c r="AB145" s="51"/>
    </row>
    <row r="146" customFormat="false" ht="15.75" hidden="false" customHeight="false" outlineLevel="0" collapsed="false">
      <c r="A146" s="51"/>
      <c r="B146" s="51"/>
      <c r="C146" s="6"/>
      <c r="D146" s="49"/>
      <c r="E146" s="51"/>
      <c r="F146" s="6"/>
      <c r="G146" s="6"/>
      <c r="H146" s="6"/>
      <c r="I146" s="6"/>
      <c r="J146" s="6"/>
      <c r="K146" s="51"/>
      <c r="L146" s="51"/>
      <c r="M146" s="51"/>
      <c r="N146" s="51"/>
      <c r="O146" s="51"/>
      <c r="P146" s="51"/>
      <c r="Q146" s="51"/>
      <c r="R146" s="51"/>
      <c r="S146" s="51"/>
      <c r="T146" s="51"/>
      <c r="U146" s="51"/>
      <c r="V146" s="51"/>
      <c r="W146" s="51"/>
      <c r="X146" s="51"/>
      <c r="Y146" s="51"/>
      <c r="Z146" s="51"/>
      <c r="AA146" s="51"/>
      <c r="AB146" s="51"/>
    </row>
    <row r="147" customFormat="false" ht="15.75" hidden="false" customHeight="false" outlineLevel="0" collapsed="false">
      <c r="A147" s="71"/>
      <c r="B147" s="55"/>
      <c r="C147" s="56" t="s">
        <v>18</v>
      </c>
      <c r="D147" s="57"/>
      <c r="E147" s="72" t="n">
        <f aca="false">IFERROR(__xludf.dummyfunction("COUNTA(SPLIT(D147,"" ""))/COUNTA(SPLIT($B$47,"" ""))"),0.00476190476190476)</f>
        <v>0.004761904762</v>
      </c>
      <c r="F147" s="56"/>
      <c r="G147" s="56"/>
      <c r="H147" s="56"/>
      <c r="I147" s="56"/>
      <c r="J147" s="56"/>
      <c r="K147" s="59"/>
      <c r="L147" s="59"/>
      <c r="M147" s="59"/>
      <c r="N147" s="59"/>
      <c r="O147" s="59"/>
      <c r="P147" s="59"/>
      <c r="Q147" s="59"/>
      <c r="R147" s="59"/>
      <c r="S147" s="59"/>
      <c r="T147" s="59"/>
      <c r="U147" s="59"/>
      <c r="V147" s="59"/>
      <c r="W147" s="59"/>
      <c r="X147" s="59"/>
      <c r="Y147" s="59"/>
      <c r="Z147" s="59"/>
      <c r="AA147" s="59"/>
      <c r="AB147" s="59"/>
    </row>
    <row r="148" customFormat="false" ht="15.75" hidden="false" customHeight="false" outlineLevel="0" collapsed="false">
      <c r="A148" s="71"/>
      <c r="B148" s="71"/>
      <c r="C148" s="6" t="s">
        <v>19</v>
      </c>
      <c r="D148" s="49"/>
      <c r="E148" s="73" t="n">
        <f aca="false">IFERROR(__xludf.dummyfunction("COUNTA(SPLIT(D148,"" ""))/COUNTA(SPLIT($B$47,"" ""))"),0.00476190476190476)</f>
        <v>0.004761904762</v>
      </c>
      <c r="F148" s="6"/>
      <c r="G148" s="6"/>
      <c r="H148" s="6"/>
      <c r="I148" s="6"/>
      <c r="J148" s="6"/>
      <c r="K148" s="51"/>
      <c r="L148" s="51"/>
      <c r="M148" s="51"/>
      <c r="N148" s="51"/>
      <c r="O148" s="51"/>
      <c r="P148" s="51"/>
      <c r="Q148" s="51"/>
      <c r="R148" s="51"/>
      <c r="S148" s="51"/>
      <c r="T148" s="51"/>
      <c r="U148" s="51"/>
      <c r="V148" s="51"/>
      <c r="W148" s="51"/>
      <c r="X148" s="51"/>
      <c r="Y148" s="51"/>
      <c r="Z148" s="51"/>
      <c r="AA148" s="51"/>
      <c r="AB148" s="51"/>
    </row>
    <row r="149" customFormat="false" ht="15.75" hidden="false" customHeight="false" outlineLevel="0" collapsed="false">
      <c r="A149" s="71"/>
      <c r="B149" s="71"/>
      <c r="C149" s="6" t="s">
        <v>8</v>
      </c>
      <c r="D149" s="49"/>
      <c r="E149" s="74" t="n">
        <f aca="false">IFERROR(__xludf.dummyfunction("COUNTA(SPLIT(D149,"" ""))/COUNTA(SPLIT($B$47,"" ""))"),0.00476190476190476)</f>
        <v>0.004761904762</v>
      </c>
      <c r="F149" s="6"/>
      <c r="G149" s="6"/>
      <c r="H149" s="6"/>
      <c r="I149" s="6"/>
      <c r="J149" s="6"/>
      <c r="K149" s="51"/>
      <c r="L149" s="51"/>
      <c r="M149" s="51"/>
      <c r="N149" s="51"/>
      <c r="O149" s="51"/>
      <c r="P149" s="51"/>
      <c r="Q149" s="51"/>
      <c r="R149" s="51"/>
      <c r="S149" s="51"/>
      <c r="T149" s="51"/>
      <c r="U149" s="51"/>
      <c r="V149" s="51"/>
      <c r="W149" s="51"/>
      <c r="X149" s="51"/>
      <c r="Y149" s="51"/>
      <c r="Z149" s="51"/>
      <c r="AA149" s="51"/>
      <c r="AB149" s="51"/>
    </row>
    <row r="150" customFormat="false" ht="15.75" hidden="false" customHeight="false" outlineLevel="0" collapsed="false">
      <c r="A150" s="71"/>
      <c r="B150" s="71"/>
      <c r="C150" s="6" t="s">
        <v>20</v>
      </c>
      <c r="D150" s="49"/>
      <c r="E150" s="75" t="n">
        <f aca="false">IFERROR(__xludf.dummyfunction("COUNTA(SPLIT(D150,"" ""))/COUNTA(SPLIT($B$47,"" ""))"),0.00476190476190476)</f>
        <v>0.004761904762</v>
      </c>
      <c r="F150" s="6"/>
      <c r="G150" s="6"/>
      <c r="H150" s="6"/>
      <c r="I150" s="6"/>
      <c r="J150" s="6"/>
      <c r="K150" s="51"/>
      <c r="L150" s="51"/>
      <c r="M150" s="51"/>
      <c r="N150" s="51"/>
      <c r="O150" s="51"/>
      <c r="P150" s="51"/>
      <c r="Q150" s="51"/>
      <c r="R150" s="51"/>
      <c r="S150" s="51"/>
      <c r="T150" s="51"/>
      <c r="U150" s="51"/>
      <c r="V150" s="51"/>
      <c r="W150" s="51"/>
      <c r="X150" s="51"/>
      <c r="Y150" s="51"/>
      <c r="Z150" s="51"/>
      <c r="AA150" s="51"/>
      <c r="AB150" s="51"/>
    </row>
    <row r="151" customFormat="false" ht="15.75" hidden="false" customHeight="false" outlineLevel="0" collapsed="false">
      <c r="A151" s="51"/>
      <c r="B151" s="51"/>
      <c r="C151" s="6"/>
      <c r="D151" s="49"/>
      <c r="E151" s="51"/>
      <c r="F151" s="6"/>
      <c r="G151" s="6"/>
      <c r="H151" s="6"/>
      <c r="I151" s="6"/>
      <c r="J151" s="6"/>
      <c r="K151" s="51"/>
      <c r="L151" s="51"/>
      <c r="M151" s="51"/>
      <c r="N151" s="51"/>
      <c r="O151" s="51"/>
      <c r="P151" s="51"/>
      <c r="Q151" s="51"/>
      <c r="R151" s="51"/>
      <c r="S151" s="51"/>
      <c r="T151" s="51"/>
      <c r="U151" s="51"/>
      <c r="V151" s="51"/>
      <c r="W151" s="51"/>
      <c r="X151" s="51"/>
      <c r="Y151" s="51"/>
      <c r="Z151" s="51"/>
      <c r="AA151" s="51"/>
      <c r="AB151" s="51"/>
    </row>
    <row r="152" customFormat="false" ht="15.75" hidden="false" customHeight="false" outlineLevel="0" collapsed="false">
      <c r="A152" s="71"/>
      <c r="B152" s="55"/>
      <c r="C152" s="56" t="s">
        <v>18</v>
      </c>
      <c r="D152" s="57"/>
      <c r="E152" s="72" t="n">
        <f aca="false">IFERROR(__xludf.dummyfunction("COUNTA(SPLIT(D152,"" ""))/COUNTA(SPLIT($B$47,"" ""))"),0.00476190476190476)</f>
        <v>0.004761904762</v>
      </c>
      <c r="F152" s="56"/>
      <c r="G152" s="56"/>
      <c r="H152" s="56"/>
      <c r="I152" s="56"/>
      <c r="J152" s="56"/>
      <c r="K152" s="59"/>
      <c r="L152" s="59"/>
      <c r="M152" s="59"/>
      <c r="N152" s="59"/>
      <c r="O152" s="59"/>
      <c r="P152" s="59"/>
      <c r="Q152" s="59"/>
      <c r="R152" s="59"/>
      <c r="S152" s="59"/>
      <c r="T152" s="59"/>
      <c r="U152" s="59"/>
      <c r="V152" s="59"/>
      <c r="W152" s="59"/>
      <c r="X152" s="59"/>
      <c r="Y152" s="59"/>
      <c r="Z152" s="59"/>
      <c r="AA152" s="59"/>
      <c r="AB152" s="59"/>
    </row>
    <row r="153" customFormat="false" ht="15.75" hidden="false" customHeight="false" outlineLevel="0" collapsed="false">
      <c r="A153" s="71"/>
      <c r="B153" s="71"/>
      <c r="C153" s="6" t="s">
        <v>19</v>
      </c>
      <c r="D153" s="49"/>
      <c r="E153" s="73" t="n">
        <f aca="false">IFERROR(__xludf.dummyfunction("COUNTA(SPLIT(D153,"" ""))/COUNTA(SPLIT($B$47,"" ""))"),0.00476190476190476)</f>
        <v>0.004761904762</v>
      </c>
      <c r="F153" s="6"/>
      <c r="G153" s="6"/>
      <c r="H153" s="6"/>
      <c r="I153" s="6"/>
      <c r="J153" s="6"/>
      <c r="K153" s="51"/>
      <c r="L153" s="51"/>
      <c r="M153" s="51"/>
      <c r="N153" s="51"/>
      <c r="O153" s="51"/>
      <c r="P153" s="51"/>
      <c r="Q153" s="51"/>
      <c r="R153" s="51"/>
      <c r="S153" s="51"/>
      <c r="T153" s="51"/>
      <c r="U153" s="51"/>
      <c r="V153" s="51"/>
      <c r="W153" s="51"/>
      <c r="X153" s="51"/>
      <c r="Y153" s="51"/>
      <c r="Z153" s="51"/>
      <c r="AA153" s="51"/>
      <c r="AB153" s="51"/>
    </row>
    <row r="154" customFormat="false" ht="15.75" hidden="false" customHeight="false" outlineLevel="0" collapsed="false">
      <c r="A154" s="71"/>
      <c r="B154" s="71"/>
      <c r="C154" s="6" t="s">
        <v>8</v>
      </c>
      <c r="D154" s="49"/>
      <c r="E154" s="74" t="n">
        <f aca="false">IFERROR(__xludf.dummyfunction("COUNTA(SPLIT(D154,"" ""))/COUNTA(SPLIT($B$47,"" ""))"),0.00476190476190476)</f>
        <v>0.004761904762</v>
      </c>
      <c r="F154" s="6"/>
      <c r="G154" s="6"/>
      <c r="H154" s="6"/>
      <c r="I154" s="6"/>
      <c r="J154" s="6"/>
      <c r="K154" s="51"/>
      <c r="L154" s="51"/>
      <c r="M154" s="51"/>
      <c r="N154" s="51"/>
      <c r="O154" s="51"/>
      <c r="P154" s="51"/>
      <c r="Q154" s="51"/>
      <c r="R154" s="51"/>
      <c r="S154" s="51"/>
      <c r="T154" s="51"/>
      <c r="U154" s="51"/>
      <c r="V154" s="51"/>
      <c r="W154" s="51"/>
      <c r="X154" s="51"/>
      <c r="Y154" s="51"/>
      <c r="Z154" s="51"/>
      <c r="AA154" s="51"/>
      <c r="AB154" s="51"/>
    </row>
    <row r="155" customFormat="false" ht="15.75" hidden="false" customHeight="false" outlineLevel="0" collapsed="false">
      <c r="A155" s="71"/>
      <c r="B155" s="71"/>
      <c r="C155" s="6" t="s">
        <v>20</v>
      </c>
      <c r="D155" s="49"/>
      <c r="E155" s="75" t="n">
        <f aca="false">IFERROR(__xludf.dummyfunction("COUNTA(SPLIT(D155,"" ""))/COUNTA(SPLIT($B$47,"" ""))"),0.00476190476190476)</f>
        <v>0.004761904762</v>
      </c>
      <c r="F155" s="6"/>
      <c r="G155" s="6"/>
      <c r="H155" s="6"/>
      <c r="I155" s="6"/>
      <c r="J155" s="6"/>
      <c r="K155" s="51"/>
      <c r="L155" s="51"/>
      <c r="M155" s="51"/>
      <c r="N155" s="51"/>
      <c r="O155" s="51"/>
      <c r="P155" s="51"/>
      <c r="Q155" s="51"/>
      <c r="R155" s="51"/>
      <c r="S155" s="51"/>
      <c r="T155" s="51"/>
      <c r="U155" s="51"/>
      <c r="V155" s="51"/>
      <c r="W155" s="51"/>
      <c r="X155" s="51"/>
      <c r="Y155" s="51"/>
      <c r="Z155" s="51"/>
      <c r="AA155" s="51"/>
      <c r="AB155" s="51"/>
    </row>
    <row r="156" customFormat="false" ht="15.75" hidden="false" customHeight="false" outlineLevel="0" collapsed="false">
      <c r="A156" s="51"/>
      <c r="B156" s="51"/>
      <c r="C156" s="6"/>
      <c r="D156" s="49"/>
      <c r="E156" s="51"/>
      <c r="F156" s="6"/>
      <c r="G156" s="6"/>
      <c r="H156" s="6"/>
      <c r="I156" s="6"/>
      <c r="J156" s="6"/>
      <c r="K156" s="51"/>
      <c r="L156" s="51"/>
      <c r="M156" s="51"/>
      <c r="N156" s="51"/>
      <c r="O156" s="51"/>
      <c r="P156" s="51"/>
      <c r="Q156" s="51"/>
      <c r="R156" s="51"/>
      <c r="S156" s="51"/>
      <c r="T156" s="51"/>
      <c r="U156" s="51"/>
      <c r="V156" s="51"/>
      <c r="W156" s="51"/>
      <c r="X156" s="51"/>
      <c r="Y156" s="51"/>
      <c r="Z156" s="51"/>
      <c r="AA156" s="51"/>
      <c r="AB156" s="51"/>
    </row>
    <row r="157" customFormat="false" ht="15.75" hidden="false" customHeight="false" outlineLevel="0" collapsed="false">
      <c r="A157" s="71"/>
      <c r="B157" s="55"/>
      <c r="C157" s="56" t="s">
        <v>18</v>
      </c>
      <c r="D157" s="57"/>
      <c r="E157" s="72" t="n">
        <f aca="false">IFERROR(__xludf.dummyfunction("COUNTA(SPLIT(D157,"" ""))/COUNTA(SPLIT($B$47,"" ""))"),0.00476190476190476)</f>
        <v>0.004761904762</v>
      </c>
      <c r="F157" s="56"/>
      <c r="G157" s="56"/>
      <c r="H157" s="56"/>
      <c r="I157" s="56"/>
      <c r="J157" s="56"/>
      <c r="K157" s="59"/>
      <c r="L157" s="59"/>
      <c r="M157" s="59"/>
      <c r="N157" s="59"/>
      <c r="O157" s="59"/>
      <c r="P157" s="59"/>
      <c r="Q157" s="59"/>
      <c r="R157" s="59"/>
      <c r="S157" s="59"/>
      <c r="T157" s="59"/>
      <c r="U157" s="59"/>
      <c r="V157" s="59"/>
      <c r="W157" s="59"/>
      <c r="X157" s="59"/>
      <c r="Y157" s="59"/>
      <c r="Z157" s="59"/>
      <c r="AA157" s="59"/>
      <c r="AB157" s="59"/>
    </row>
    <row r="158" customFormat="false" ht="15.75" hidden="false" customHeight="false" outlineLevel="0" collapsed="false">
      <c r="A158" s="71"/>
      <c r="B158" s="71"/>
      <c r="C158" s="6" t="s">
        <v>19</v>
      </c>
      <c r="D158" s="49"/>
      <c r="E158" s="73" t="n">
        <f aca="false">IFERROR(__xludf.dummyfunction("COUNTA(SPLIT(D158,"" ""))/COUNTA(SPLIT($B$47,"" ""))"),0.00476190476190476)</f>
        <v>0.004761904762</v>
      </c>
      <c r="F158" s="6"/>
      <c r="G158" s="6"/>
      <c r="H158" s="6"/>
      <c r="I158" s="6"/>
      <c r="J158" s="6"/>
      <c r="K158" s="51"/>
      <c r="L158" s="51"/>
      <c r="M158" s="51"/>
      <c r="N158" s="51"/>
      <c r="O158" s="51"/>
      <c r="P158" s="51"/>
      <c r="Q158" s="51"/>
      <c r="R158" s="51"/>
      <c r="S158" s="51"/>
      <c r="T158" s="51"/>
      <c r="U158" s="51"/>
      <c r="V158" s="51"/>
      <c r="W158" s="51"/>
      <c r="X158" s="51"/>
      <c r="Y158" s="51"/>
      <c r="Z158" s="51"/>
      <c r="AA158" s="51"/>
      <c r="AB158" s="51"/>
    </row>
    <row r="159" customFormat="false" ht="15.75" hidden="false" customHeight="false" outlineLevel="0" collapsed="false">
      <c r="A159" s="71"/>
      <c r="B159" s="71"/>
      <c r="C159" s="6" t="s">
        <v>8</v>
      </c>
      <c r="D159" s="49"/>
      <c r="E159" s="74" t="n">
        <f aca="false">IFERROR(__xludf.dummyfunction("COUNTA(SPLIT(D159,"" ""))/COUNTA(SPLIT($B$47,"" ""))"),0.00476190476190476)</f>
        <v>0.004761904762</v>
      </c>
      <c r="F159" s="6"/>
      <c r="G159" s="6"/>
      <c r="H159" s="6"/>
      <c r="I159" s="6"/>
      <c r="J159" s="6"/>
      <c r="K159" s="51"/>
      <c r="L159" s="51"/>
      <c r="M159" s="51"/>
      <c r="N159" s="51"/>
      <c r="O159" s="51"/>
      <c r="P159" s="51"/>
      <c r="Q159" s="51"/>
      <c r="R159" s="51"/>
      <c r="S159" s="51"/>
      <c r="T159" s="51"/>
      <c r="U159" s="51"/>
      <c r="V159" s="51"/>
      <c r="W159" s="51"/>
      <c r="X159" s="51"/>
      <c r="Y159" s="51"/>
      <c r="Z159" s="51"/>
      <c r="AA159" s="51"/>
      <c r="AB159" s="51"/>
    </row>
    <row r="160" customFormat="false" ht="15.75" hidden="false" customHeight="false" outlineLevel="0" collapsed="false">
      <c r="A160" s="71"/>
      <c r="B160" s="71"/>
      <c r="C160" s="6" t="s">
        <v>20</v>
      </c>
      <c r="D160" s="49"/>
      <c r="E160" s="75" t="n">
        <f aca="false">IFERROR(__xludf.dummyfunction("COUNTA(SPLIT(D160,"" ""))/COUNTA(SPLIT($B$47,"" ""))"),0.00476190476190476)</f>
        <v>0.004761904762</v>
      </c>
      <c r="F160" s="6"/>
      <c r="G160" s="6"/>
      <c r="H160" s="6"/>
      <c r="I160" s="6"/>
      <c r="J160" s="6"/>
      <c r="K160" s="51"/>
      <c r="L160" s="51"/>
      <c r="M160" s="51"/>
      <c r="N160" s="51"/>
      <c r="O160" s="51"/>
      <c r="P160" s="51"/>
      <c r="Q160" s="51"/>
      <c r="R160" s="51"/>
      <c r="S160" s="51"/>
      <c r="T160" s="51"/>
      <c r="U160" s="51"/>
      <c r="V160" s="51"/>
      <c r="W160" s="51"/>
      <c r="X160" s="51"/>
      <c r="Y160" s="51"/>
      <c r="Z160" s="51"/>
      <c r="AA160" s="51"/>
      <c r="AB160" s="51"/>
    </row>
    <row r="161" customFormat="false" ht="15.75" hidden="false" customHeight="false" outlineLevel="0" collapsed="false">
      <c r="A161" s="51"/>
      <c r="B161" s="51"/>
      <c r="C161" s="6"/>
      <c r="D161" s="49"/>
      <c r="E161" s="51"/>
      <c r="F161" s="6"/>
      <c r="G161" s="6"/>
      <c r="H161" s="6"/>
      <c r="I161" s="6"/>
      <c r="J161" s="6"/>
      <c r="K161" s="51"/>
      <c r="L161" s="51"/>
      <c r="M161" s="51"/>
      <c r="N161" s="51"/>
      <c r="O161" s="51"/>
      <c r="P161" s="51"/>
      <c r="Q161" s="51"/>
      <c r="R161" s="51"/>
      <c r="S161" s="51"/>
      <c r="T161" s="51"/>
      <c r="U161" s="51"/>
      <c r="V161" s="51"/>
      <c r="W161" s="51"/>
      <c r="X161" s="51"/>
      <c r="Y161" s="51"/>
      <c r="Z161" s="51"/>
      <c r="AA161" s="51"/>
      <c r="AB161" s="51"/>
    </row>
    <row r="162" customFormat="false" ht="15.75" hidden="false" customHeight="false" outlineLevel="0" collapsed="false">
      <c r="A162" s="71"/>
      <c r="B162" s="55"/>
      <c r="C162" s="56" t="s">
        <v>18</v>
      </c>
      <c r="D162" s="57"/>
      <c r="E162" s="72" t="n">
        <f aca="false">IFERROR(__xludf.dummyfunction("COUNTA(SPLIT(D162,"" ""))/COUNTA(SPLIT($B$47,"" ""))"),0.00476190476190476)</f>
        <v>0.004761904762</v>
      </c>
      <c r="F162" s="56"/>
      <c r="G162" s="56"/>
      <c r="H162" s="56"/>
      <c r="I162" s="56"/>
      <c r="J162" s="56"/>
      <c r="K162" s="59"/>
      <c r="L162" s="59"/>
      <c r="M162" s="59"/>
      <c r="N162" s="59"/>
      <c r="O162" s="59"/>
      <c r="P162" s="59"/>
      <c r="Q162" s="59"/>
      <c r="R162" s="59"/>
      <c r="S162" s="59"/>
      <c r="T162" s="59"/>
      <c r="U162" s="59"/>
      <c r="V162" s="59"/>
      <c r="W162" s="59"/>
      <c r="X162" s="59"/>
      <c r="Y162" s="59"/>
      <c r="Z162" s="59"/>
      <c r="AA162" s="59"/>
      <c r="AB162" s="59"/>
    </row>
    <row r="163" customFormat="false" ht="15.75" hidden="false" customHeight="false" outlineLevel="0" collapsed="false">
      <c r="A163" s="71"/>
      <c r="B163" s="71"/>
      <c r="C163" s="6" t="s">
        <v>19</v>
      </c>
      <c r="D163" s="49"/>
      <c r="E163" s="73" t="n">
        <f aca="false">IFERROR(__xludf.dummyfunction("COUNTA(SPLIT(D163,"" ""))/COUNTA(SPLIT($B$47,"" ""))"),0.00476190476190476)</f>
        <v>0.004761904762</v>
      </c>
      <c r="F163" s="6"/>
      <c r="G163" s="6"/>
      <c r="H163" s="6"/>
      <c r="I163" s="6"/>
      <c r="J163" s="6"/>
      <c r="K163" s="51"/>
      <c r="L163" s="51"/>
      <c r="M163" s="51"/>
      <c r="N163" s="51"/>
      <c r="O163" s="51"/>
      <c r="P163" s="51"/>
      <c r="Q163" s="51"/>
      <c r="R163" s="51"/>
      <c r="S163" s="51"/>
      <c r="T163" s="51"/>
      <c r="U163" s="51"/>
      <c r="V163" s="51"/>
      <c r="W163" s="51"/>
      <c r="X163" s="51"/>
      <c r="Y163" s="51"/>
      <c r="Z163" s="51"/>
      <c r="AA163" s="51"/>
      <c r="AB163" s="51"/>
    </row>
    <row r="164" customFormat="false" ht="15.75" hidden="false" customHeight="false" outlineLevel="0" collapsed="false">
      <c r="A164" s="71"/>
      <c r="B164" s="71"/>
      <c r="C164" s="6" t="s">
        <v>8</v>
      </c>
      <c r="D164" s="49"/>
      <c r="E164" s="74" t="n">
        <f aca="false">IFERROR(__xludf.dummyfunction("COUNTA(SPLIT(D164,"" ""))/COUNTA(SPLIT($B$47,"" ""))"),0.00476190476190476)</f>
        <v>0.004761904762</v>
      </c>
      <c r="F164" s="6"/>
      <c r="G164" s="6"/>
      <c r="H164" s="6"/>
      <c r="I164" s="6"/>
      <c r="J164" s="6"/>
      <c r="K164" s="51"/>
      <c r="L164" s="51"/>
      <c r="M164" s="51"/>
      <c r="N164" s="51"/>
      <c r="O164" s="51"/>
      <c r="P164" s="51"/>
      <c r="Q164" s="51"/>
      <c r="R164" s="51"/>
      <c r="S164" s="51"/>
      <c r="T164" s="51"/>
      <c r="U164" s="51"/>
      <c r="V164" s="51"/>
      <c r="W164" s="51"/>
      <c r="X164" s="51"/>
      <c r="Y164" s="51"/>
      <c r="Z164" s="51"/>
      <c r="AA164" s="51"/>
      <c r="AB164" s="51"/>
    </row>
    <row r="165" customFormat="false" ht="15.75" hidden="false" customHeight="false" outlineLevel="0" collapsed="false">
      <c r="A165" s="71"/>
      <c r="B165" s="71"/>
      <c r="C165" s="6" t="s">
        <v>20</v>
      </c>
      <c r="D165" s="49"/>
      <c r="E165" s="75" t="n">
        <f aca="false">IFERROR(__xludf.dummyfunction("COUNTA(SPLIT(D165,"" ""))/COUNTA(SPLIT($B$47,"" ""))"),0.00476190476190476)</f>
        <v>0.004761904762</v>
      </c>
      <c r="F165" s="6"/>
      <c r="G165" s="6"/>
      <c r="H165" s="6"/>
      <c r="I165" s="6"/>
      <c r="J165" s="6"/>
      <c r="K165" s="51"/>
      <c r="L165" s="51"/>
      <c r="M165" s="51"/>
      <c r="N165" s="51"/>
      <c r="O165" s="51"/>
      <c r="P165" s="51"/>
      <c r="Q165" s="51"/>
      <c r="R165" s="51"/>
      <c r="S165" s="51"/>
      <c r="T165" s="51"/>
      <c r="U165" s="51"/>
      <c r="V165" s="51"/>
      <c r="W165" s="51"/>
      <c r="X165" s="51"/>
      <c r="Y165" s="51"/>
      <c r="Z165" s="51"/>
      <c r="AA165" s="51"/>
      <c r="AB165" s="51"/>
    </row>
    <row r="166" customFormat="false" ht="15.75" hidden="false" customHeight="false" outlineLevel="0" collapsed="false">
      <c r="A166" s="51"/>
      <c r="B166" s="51"/>
      <c r="C166" s="6"/>
      <c r="D166" s="49"/>
      <c r="E166" s="51"/>
      <c r="F166" s="6"/>
      <c r="G166" s="6"/>
      <c r="H166" s="6"/>
      <c r="I166" s="6"/>
      <c r="J166" s="6"/>
      <c r="K166" s="51"/>
      <c r="L166" s="51"/>
      <c r="M166" s="51"/>
      <c r="N166" s="51"/>
      <c r="O166" s="51"/>
      <c r="P166" s="51"/>
      <c r="Q166" s="51"/>
      <c r="R166" s="51"/>
      <c r="S166" s="51"/>
      <c r="T166" s="51"/>
      <c r="U166" s="51"/>
      <c r="V166" s="51"/>
      <c r="W166" s="51"/>
      <c r="X166" s="51"/>
      <c r="Y166" s="51"/>
      <c r="Z166" s="51"/>
      <c r="AA166" s="51"/>
      <c r="AB166" s="51"/>
    </row>
    <row r="167" customFormat="false" ht="15.75" hidden="false" customHeight="false" outlineLevel="0" collapsed="false">
      <c r="A167" s="51"/>
      <c r="B167" s="51"/>
      <c r="C167" s="6"/>
      <c r="D167" s="49"/>
      <c r="E167" s="51"/>
      <c r="F167" s="6"/>
      <c r="G167" s="6"/>
      <c r="H167" s="6"/>
      <c r="I167" s="6"/>
      <c r="J167" s="6"/>
      <c r="K167" s="51"/>
      <c r="L167" s="51"/>
      <c r="M167" s="51"/>
      <c r="N167" s="51"/>
      <c r="O167" s="51"/>
      <c r="P167" s="51"/>
      <c r="Q167" s="51"/>
      <c r="R167" s="51"/>
      <c r="S167" s="51"/>
      <c r="T167" s="51"/>
      <c r="U167" s="51"/>
      <c r="V167" s="51"/>
      <c r="W167" s="51"/>
      <c r="X167" s="51"/>
      <c r="Y167" s="51"/>
      <c r="Z167" s="51"/>
      <c r="AA167" s="51"/>
      <c r="AB167" s="51"/>
    </row>
    <row r="168" customFormat="false" ht="15.75" hidden="false" customHeight="false" outlineLevel="0" collapsed="false">
      <c r="A168" s="51"/>
      <c r="B168" s="51"/>
      <c r="C168" s="6"/>
      <c r="D168" s="49"/>
      <c r="E168" s="51"/>
      <c r="F168" s="6"/>
      <c r="G168" s="6"/>
      <c r="H168" s="6"/>
      <c r="I168" s="6"/>
      <c r="J168" s="6"/>
      <c r="K168" s="51"/>
      <c r="L168" s="51"/>
      <c r="M168" s="51"/>
      <c r="N168" s="51"/>
      <c r="O168" s="51"/>
      <c r="P168" s="51"/>
      <c r="Q168" s="51"/>
      <c r="R168" s="51"/>
      <c r="S168" s="51"/>
      <c r="T168" s="51"/>
      <c r="U168" s="51"/>
      <c r="V168" s="51"/>
      <c r="W168" s="51"/>
      <c r="X168" s="51"/>
      <c r="Y168" s="51"/>
      <c r="Z168" s="51"/>
      <c r="AA168" s="51"/>
      <c r="AB168" s="51"/>
    </row>
    <row r="169" customFormat="false" ht="15.75" hidden="false" customHeight="false" outlineLevel="0" collapsed="false">
      <c r="A169" s="51"/>
      <c r="B169" s="51"/>
      <c r="C169" s="6"/>
      <c r="D169" s="49"/>
      <c r="E169" s="51"/>
      <c r="F169" s="6"/>
      <c r="G169" s="6"/>
      <c r="H169" s="6"/>
      <c r="I169" s="6"/>
      <c r="J169" s="6"/>
      <c r="K169" s="51"/>
      <c r="L169" s="51"/>
      <c r="M169" s="51"/>
      <c r="N169" s="51"/>
      <c r="O169" s="51"/>
      <c r="P169" s="51"/>
      <c r="Q169" s="51"/>
      <c r="R169" s="51"/>
      <c r="S169" s="51"/>
      <c r="T169" s="51"/>
      <c r="U169" s="51"/>
      <c r="V169" s="51"/>
      <c r="W169" s="51"/>
      <c r="X169" s="51"/>
      <c r="Y169" s="51"/>
      <c r="Z169" s="51"/>
      <c r="AA169" s="51"/>
      <c r="AB169" s="51"/>
    </row>
    <row r="170" customFormat="false" ht="15.75" hidden="false" customHeight="false" outlineLevel="0" collapsed="false">
      <c r="A170" s="51"/>
      <c r="B170" s="51"/>
      <c r="C170" s="6"/>
      <c r="D170" s="49"/>
      <c r="E170" s="51"/>
      <c r="F170" s="6"/>
      <c r="G170" s="6"/>
      <c r="H170" s="6"/>
      <c r="I170" s="6"/>
      <c r="J170" s="6"/>
      <c r="K170" s="51"/>
      <c r="L170" s="51"/>
      <c r="M170" s="51"/>
      <c r="N170" s="51"/>
      <c r="O170" s="51"/>
      <c r="P170" s="51"/>
      <c r="Q170" s="51"/>
      <c r="R170" s="51"/>
      <c r="S170" s="51"/>
      <c r="T170" s="51"/>
      <c r="U170" s="51"/>
      <c r="V170" s="51"/>
      <c r="W170" s="51"/>
      <c r="X170" s="51"/>
      <c r="Y170" s="51"/>
      <c r="Z170" s="51"/>
      <c r="AA170" s="51"/>
      <c r="AB170" s="51"/>
    </row>
    <row r="171" customFormat="false" ht="15.75" hidden="false" customHeight="false" outlineLevel="0" collapsed="false">
      <c r="A171" s="51"/>
      <c r="B171" s="51"/>
      <c r="C171" s="6"/>
      <c r="D171" s="49"/>
      <c r="E171" s="51"/>
      <c r="F171" s="6"/>
      <c r="G171" s="6"/>
      <c r="H171" s="6"/>
      <c r="I171" s="6"/>
      <c r="J171" s="6"/>
      <c r="K171" s="51"/>
      <c r="L171" s="51"/>
      <c r="M171" s="51"/>
      <c r="N171" s="51"/>
      <c r="O171" s="51"/>
      <c r="P171" s="51"/>
      <c r="Q171" s="51"/>
      <c r="R171" s="51"/>
      <c r="S171" s="51"/>
      <c r="T171" s="51"/>
      <c r="U171" s="51"/>
      <c r="V171" s="51"/>
      <c r="W171" s="51"/>
      <c r="X171" s="51"/>
      <c r="Y171" s="51"/>
      <c r="Z171" s="51"/>
      <c r="AA171" s="51"/>
      <c r="AB171" s="51"/>
    </row>
    <row r="172" customFormat="false" ht="15.75" hidden="false" customHeight="false" outlineLevel="0" collapsed="false">
      <c r="A172" s="51"/>
      <c r="B172" s="51"/>
      <c r="C172" s="6"/>
      <c r="D172" s="49"/>
      <c r="E172" s="51"/>
      <c r="F172" s="6"/>
      <c r="G172" s="6"/>
      <c r="H172" s="6"/>
      <c r="I172" s="6"/>
      <c r="J172" s="6"/>
      <c r="K172" s="51"/>
      <c r="L172" s="51"/>
      <c r="M172" s="51"/>
      <c r="N172" s="51"/>
      <c r="O172" s="51"/>
      <c r="P172" s="51"/>
      <c r="Q172" s="51"/>
      <c r="R172" s="51"/>
      <c r="S172" s="51"/>
      <c r="T172" s="51"/>
      <c r="U172" s="51"/>
      <c r="V172" s="51"/>
      <c r="W172" s="51"/>
      <c r="X172" s="51"/>
      <c r="Y172" s="51"/>
      <c r="Z172" s="51"/>
      <c r="AA172" s="51"/>
      <c r="AB172" s="51"/>
    </row>
    <row r="173" customFormat="false" ht="15.75" hidden="false" customHeight="false" outlineLevel="0" collapsed="false">
      <c r="A173" s="51"/>
      <c r="B173" s="51"/>
      <c r="C173" s="6"/>
      <c r="D173" s="49"/>
      <c r="E173" s="51"/>
      <c r="F173" s="6"/>
      <c r="G173" s="6"/>
      <c r="H173" s="6"/>
      <c r="I173" s="6"/>
      <c r="J173" s="6"/>
      <c r="K173" s="51"/>
      <c r="L173" s="51"/>
      <c r="M173" s="51"/>
      <c r="N173" s="51"/>
      <c r="O173" s="51"/>
      <c r="P173" s="51"/>
      <c r="Q173" s="51"/>
      <c r="R173" s="51"/>
      <c r="S173" s="51"/>
      <c r="T173" s="51"/>
      <c r="U173" s="51"/>
      <c r="V173" s="51"/>
      <c r="W173" s="51"/>
      <c r="X173" s="51"/>
      <c r="Y173" s="51"/>
      <c r="Z173" s="51"/>
      <c r="AA173" s="51"/>
      <c r="AB173" s="51"/>
    </row>
    <row r="174" customFormat="false" ht="15.75" hidden="false" customHeight="false" outlineLevel="0" collapsed="false">
      <c r="A174" s="51"/>
      <c r="B174" s="51"/>
      <c r="C174" s="6"/>
      <c r="D174" s="49"/>
      <c r="E174" s="51"/>
      <c r="F174" s="6"/>
      <c r="G174" s="6"/>
      <c r="H174" s="6"/>
      <c r="I174" s="6"/>
      <c r="J174" s="6"/>
      <c r="K174" s="51"/>
      <c r="L174" s="51"/>
      <c r="M174" s="51"/>
      <c r="N174" s="51"/>
      <c r="O174" s="51"/>
      <c r="P174" s="51"/>
      <c r="Q174" s="51"/>
      <c r="R174" s="51"/>
      <c r="S174" s="51"/>
      <c r="T174" s="51"/>
      <c r="U174" s="51"/>
      <c r="V174" s="51"/>
      <c r="W174" s="51"/>
      <c r="X174" s="51"/>
      <c r="Y174" s="51"/>
      <c r="Z174" s="51"/>
      <c r="AA174" s="51"/>
      <c r="AB174" s="51"/>
    </row>
    <row r="175" customFormat="false" ht="15.75" hidden="false" customHeight="false" outlineLevel="0" collapsed="false">
      <c r="A175" s="51"/>
      <c r="B175" s="51"/>
      <c r="C175" s="6"/>
      <c r="D175" s="49"/>
      <c r="E175" s="51"/>
      <c r="F175" s="6"/>
      <c r="G175" s="6"/>
      <c r="H175" s="6"/>
      <c r="I175" s="6"/>
      <c r="J175" s="6"/>
      <c r="K175" s="51"/>
      <c r="L175" s="51"/>
      <c r="M175" s="51"/>
      <c r="N175" s="51"/>
      <c r="O175" s="51"/>
      <c r="P175" s="51"/>
      <c r="Q175" s="51"/>
      <c r="R175" s="51"/>
      <c r="S175" s="51"/>
      <c r="T175" s="51"/>
      <c r="U175" s="51"/>
      <c r="V175" s="51"/>
      <c r="W175" s="51"/>
      <c r="X175" s="51"/>
      <c r="Y175" s="51"/>
      <c r="Z175" s="51"/>
      <c r="AA175" s="51"/>
      <c r="AB175" s="51"/>
    </row>
    <row r="176" customFormat="false" ht="15.75" hidden="false" customHeight="false" outlineLevel="0" collapsed="false">
      <c r="A176" s="51"/>
      <c r="B176" s="51"/>
      <c r="C176" s="6"/>
      <c r="D176" s="49"/>
      <c r="E176" s="51"/>
      <c r="F176" s="6"/>
      <c r="G176" s="6"/>
      <c r="H176" s="6"/>
      <c r="I176" s="6"/>
      <c r="J176" s="6"/>
      <c r="K176" s="51"/>
      <c r="L176" s="51"/>
      <c r="M176" s="51"/>
      <c r="N176" s="51"/>
      <c r="O176" s="51"/>
      <c r="P176" s="51"/>
      <c r="Q176" s="51"/>
      <c r="R176" s="51"/>
      <c r="S176" s="51"/>
      <c r="T176" s="51"/>
      <c r="U176" s="51"/>
      <c r="V176" s="51"/>
      <c r="W176" s="51"/>
      <c r="X176" s="51"/>
      <c r="Y176" s="51"/>
      <c r="Z176" s="51"/>
      <c r="AA176" s="51"/>
      <c r="AB176" s="51"/>
    </row>
    <row r="177" customFormat="false" ht="15.75" hidden="false" customHeight="false" outlineLevel="0" collapsed="false">
      <c r="A177" s="51"/>
      <c r="B177" s="51"/>
      <c r="C177" s="6"/>
      <c r="D177" s="49"/>
      <c r="E177" s="51"/>
      <c r="F177" s="6"/>
      <c r="G177" s="6"/>
      <c r="H177" s="6"/>
      <c r="I177" s="6"/>
      <c r="J177" s="6"/>
      <c r="K177" s="51"/>
      <c r="L177" s="51"/>
      <c r="M177" s="51"/>
      <c r="N177" s="51"/>
      <c r="O177" s="51"/>
      <c r="P177" s="51"/>
      <c r="Q177" s="51"/>
      <c r="R177" s="51"/>
      <c r="S177" s="51"/>
      <c r="T177" s="51"/>
      <c r="U177" s="51"/>
      <c r="V177" s="51"/>
      <c r="W177" s="51"/>
      <c r="X177" s="51"/>
      <c r="Y177" s="51"/>
      <c r="Z177" s="51"/>
      <c r="AA177" s="51"/>
      <c r="AB177" s="51"/>
    </row>
    <row r="178" customFormat="false" ht="15.75" hidden="false" customHeight="false" outlineLevel="0" collapsed="false">
      <c r="A178" s="51"/>
      <c r="B178" s="51"/>
      <c r="C178" s="6"/>
      <c r="D178" s="49"/>
      <c r="E178" s="51"/>
      <c r="F178" s="6"/>
      <c r="G178" s="6"/>
      <c r="H178" s="6"/>
      <c r="I178" s="6"/>
      <c r="J178" s="6"/>
      <c r="K178" s="51"/>
      <c r="L178" s="51"/>
      <c r="M178" s="51"/>
      <c r="N178" s="51"/>
      <c r="O178" s="51"/>
      <c r="P178" s="51"/>
      <c r="Q178" s="51"/>
      <c r="R178" s="51"/>
      <c r="S178" s="51"/>
      <c r="T178" s="51"/>
      <c r="U178" s="51"/>
      <c r="V178" s="51"/>
      <c r="W178" s="51"/>
      <c r="X178" s="51"/>
      <c r="Y178" s="51"/>
      <c r="Z178" s="51"/>
      <c r="AA178" s="51"/>
      <c r="AB178" s="51"/>
    </row>
    <row r="179" customFormat="false" ht="15.75" hidden="false" customHeight="false" outlineLevel="0" collapsed="false">
      <c r="A179" s="51"/>
      <c r="B179" s="51"/>
      <c r="C179" s="6"/>
      <c r="D179" s="49"/>
      <c r="E179" s="51"/>
      <c r="F179" s="6"/>
      <c r="G179" s="6"/>
      <c r="H179" s="6"/>
      <c r="I179" s="6"/>
      <c r="J179" s="6"/>
      <c r="K179" s="51"/>
      <c r="L179" s="51"/>
      <c r="M179" s="51"/>
      <c r="N179" s="51"/>
      <c r="O179" s="51"/>
      <c r="P179" s="51"/>
      <c r="Q179" s="51"/>
      <c r="R179" s="51"/>
      <c r="S179" s="51"/>
      <c r="T179" s="51"/>
      <c r="U179" s="51"/>
      <c r="V179" s="51"/>
      <c r="W179" s="51"/>
      <c r="X179" s="51"/>
      <c r="Y179" s="51"/>
      <c r="Z179" s="51"/>
      <c r="AA179" s="51"/>
      <c r="AB179" s="51"/>
    </row>
    <row r="180" customFormat="false" ht="15.75" hidden="false" customHeight="false" outlineLevel="0" collapsed="false">
      <c r="A180" s="51"/>
      <c r="B180" s="51"/>
      <c r="C180" s="6"/>
      <c r="D180" s="49"/>
      <c r="E180" s="51"/>
      <c r="F180" s="6"/>
      <c r="G180" s="6"/>
      <c r="H180" s="6"/>
      <c r="I180" s="6"/>
      <c r="J180" s="6"/>
      <c r="K180" s="51"/>
      <c r="L180" s="51"/>
      <c r="M180" s="51"/>
      <c r="N180" s="51"/>
      <c r="O180" s="51"/>
      <c r="P180" s="51"/>
      <c r="Q180" s="51"/>
      <c r="R180" s="51"/>
      <c r="S180" s="51"/>
      <c r="T180" s="51"/>
      <c r="U180" s="51"/>
      <c r="V180" s="51"/>
      <c r="W180" s="51"/>
      <c r="X180" s="51"/>
      <c r="Y180" s="51"/>
      <c r="Z180" s="51"/>
      <c r="AA180" s="51"/>
      <c r="AB180" s="51"/>
    </row>
    <row r="181" customFormat="false" ht="15.75" hidden="false" customHeight="false" outlineLevel="0" collapsed="false">
      <c r="A181" s="51"/>
      <c r="B181" s="51"/>
      <c r="C181" s="6"/>
      <c r="D181" s="49"/>
      <c r="E181" s="51"/>
      <c r="F181" s="6"/>
      <c r="G181" s="6"/>
      <c r="H181" s="6"/>
      <c r="I181" s="6"/>
      <c r="J181" s="6"/>
      <c r="K181" s="51"/>
      <c r="L181" s="51"/>
      <c r="M181" s="51"/>
      <c r="N181" s="51"/>
      <c r="O181" s="51"/>
      <c r="P181" s="51"/>
      <c r="Q181" s="51"/>
      <c r="R181" s="51"/>
      <c r="S181" s="51"/>
      <c r="T181" s="51"/>
      <c r="U181" s="51"/>
      <c r="V181" s="51"/>
      <c r="W181" s="51"/>
      <c r="X181" s="51"/>
      <c r="Y181" s="51"/>
      <c r="Z181" s="51"/>
      <c r="AA181" s="51"/>
      <c r="AB181" s="51"/>
    </row>
    <row r="182" customFormat="false" ht="15.75" hidden="false" customHeight="false" outlineLevel="0" collapsed="false">
      <c r="A182" s="51"/>
      <c r="B182" s="51"/>
      <c r="C182" s="6"/>
      <c r="D182" s="49"/>
      <c r="E182" s="51"/>
      <c r="F182" s="6"/>
      <c r="G182" s="6"/>
      <c r="H182" s="6"/>
      <c r="I182" s="6"/>
      <c r="J182" s="6"/>
      <c r="K182" s="51"/>
      <c r="L182" s="51"/>
      <c r="M182" s="51"/>
      <c r="N182" s="51"/>
      <c r="O182" s="51"/>
      <c r="P182" s="51"/>
      <c r="Q182" s="51"/>
      <c r="R182" s="51"/>
      <c r="S182" s="51"/>
      <c r="T182" s="51"/>
      <c r="U182" s="51"/>
      <c r="V182" s="51"/>
      <c r="W182" s="51"/>
      <c r="X182" s="51"/>
      <c r="Y182" s="51"/>
      <c r="Z182" s="51"/>
      <c r="AA182" s="51"/>
      <c r="AB182" s="51"/>
    </row>
    <row r="183" customFormat="false" ht="15.75" hidden="false" customHeight="false" outlineLevel="0" collapsed="false">
      <c r="A183" s="51"/>
      <c r="B183" s="51"/>
      <c r="C183" s="6"/>
      <c r="D183" s="49"/>
      <c r="E183" s="51"/>
      <c r="F183" s="6"/>
      <c r="G183" s="6"/>
      <c r="H183" s="6"/>
      <c r="I183" s="6"/>
      <c r="J183" s="6"/>
      <c r="K183" s="51"/>
      <c r="L183" s="51"/>
      <c r="M183" s="51"/>
      <c r="N183" s="51"/>
      <c r="O183" s="51"/>
      <c r="P183" s="51"/>
      <c r="Q183" s="51"/>
      <c r="R183" s="51"/>
      <c r="S183" s="51"/>
      <c r="T183" s="51"/>
      <c r="U183" s="51"/>
      <c r="V183" s="51"/>
      <c r="W183" s="51"/>
      <c r="X183" s="51"/>
      <c r="Y183" s="51"/>
      <c r="Z183" s="51"/>
      <c r="AA183" s="51"/>
      <c r="AB183" s="51"/>
    </row>
    <row r="184" customFormat="false" ht="15.75" hidden="false" customHeight="false" outlineLevel="0" collapsed="false">
      <c r="A184" s="51"/>
      <c r="B184" s="51"/>
      <c r="C184" s="6"/>
      <c r="D184" s="49"/>
      <c r="E184" s="51"/>
      <c r="F184" s="6"/>
      <c r="G184" s="6"/>
      <c r="H184" s="6"/>
      <c r="I184" s="6"/>
      <c r="J184" s="6"/>
      <c r="K184" s="51"/>
      <c r="L184" s="51"/>
      <c r="M184" s="51"/>
      <c r="N184" s="51"/>
      <c r="O184" s="51"/>
      <c r="P184" s="51"/>
      <c r="Q184" s="51"/>
      <c r="R184" s="51"/>
      <c r="S184" s="51"/>
      <c r="T184" s="51"/>
      <c r="U184" s="51"/>
      <c r="V184" s="51"/>
      <c r="W184" s="51"/>
      <c r="X184" s="51"/>
      <c r="Y184" s="51"/>
      <c r="Z184" s="51"/>
      <c r="AA184" s="51"/>
      <c r="AB184" s="51"/>
    </row>
    <row r="185" customFormat="false" ht="15.75" hidden="false" customHeight="false" outlineLevel="0" collapsed="false">
      <c r="A185" s="51"/>
      <c r="B185" s="51"/>
      <c r="C185" s="6"/>
      <c r="D185" s="49"/>
      <c r="E185" s="51"/>
      <c r="F185" s="6"/>
      <c r="G185" s="6"/>
      <c r="H185" s="6"/>
      <c r="I185" s="6"/>
      <c r="J185" s="6"/>
      <c r="K185" s="51"/>
      <c r="L185" s="51"/>
      <c r="M185" s="51"/>
      <c r="N185" s="51"/>
      <c r="O185" s="51"/>
      <c r="P185" s="51"/>
      <c r="Q185" s="51"/>
      <c r="R185" s="51"/>
      <c r="S185" s="51"/>
      <c r="T185" s="51"/>
      <c r="U185" s="51"/>
      <c r="V185" s="51"/>
      <c r="W185" s="51"/>
      <c r="X185" s="51"/>
      <c r="Y185" s="51"/>
      <c r="Z185" s="51"/>
      <c r="AA185" s="51"/>
      <c r="AB185" s="51"/>
    </row>
    <row r="186" customFormat="false" ht="15.75" hidden="false" customHeight="false" outlineLevel="0" collapsed="false">
      <c r="A186" s="51"/>
      <c r="B186" s="51"/>
      <c r="C186" s="6"/>
      <c r="D186" s="49"/>
      <c r="E186" s="51"/>
      <c r="F186" s="6"/>
      <c r="G186" s="6"/>
      <c r="H186" s="6"/>
      <c r="I186" s="6"/>
      <c r="J186" s="6"/>
      <c r="K186" s="51"/>
      <c r="L186" s="51"/>
      <c r="M186" s="51"/>
      <c r="N186" s="51"/>
      <c r="O186" s="51"/>
      <c r="P186" s="51"/>
      <c r="Q186" s="51"/>
      <c r="R186" s="51"/>
      <c r="S186" s="51"/>
      <c r="T186" s="51"/>
      <c r="U186" s="51"/>
      <c r="V186" s="51"/>
      <c r="W186" s="51"/>
      <c r="X186" s="51"/>
      <c r="Y186" s="51"/>
      <c r="Z186" s="51"/>
      <c r="AA186" s="51"/>
      <c r="AB186" s="51"/>
    </row>
    <row r="187" customFormat="false" ht="15.75" hidden="false" customHeight="false" outlineLevel="0" collapsed="false">
      <c r="A187" s="51"/>
      <c r="B187" s="51"/>
      <c r="C187" s="6"/>
      <c r="D187" s="49"/>
      <c r="E187" s="51"/>
      <c r="F187" s="6"/>
      <c r="G187" s="6"/>
      <c r="H187" s="6"/>
      <c r="I187" s="6"/>
      <c r="J187" s="6"/>
      <c r="K187" s="51"/>
      <c r="L187" s="51"/>
      <c r="M187" s="51"/>
      <c r="N187" s="51"/>
      <c r="O187" s="51"/>
      <c r="P187" s="51"/>
      <c r="Q187" s="51"/>
      <c r="R187" s="51"/>
      <c r="S187" s="51"/>
      <c r="T187" s="51"/>
      <c r="U187" s="51"/>
      <c r="V187" s="51"/>
      <c r="W187" s="51"/>
      <c r="X187" s="51"/>
      <c r="Y187" s="51"/>
      <c r="Z187" s="51"/>
      <c r="AA187" s="51"/>
      <c r="AB187" s="51"/>
    </row>
    <row r="188" customFormat="false" ht="15.75" hidden="false" customHeight="false" outlineLevel="0" collapsed="false">
      <c r="A188" s="51"/>
      <c r="B188" s="51"/>
      <c r="C188" s="6"/>
      <c r="D188" s="49"/>
      <c r="E188" s="51"/>
      <c r="F188" s="6"/>
      <c r="G188" s="6"/>
      <c r="H188" s="6"/>
      <c r="I188" s="6"/>
      <c r="J188" s="6"/>
      <c r="K188" s="51"/>
      <c r="L188" s="51"/>
      <c r="M188" s="51"/>
      <c r="N188" s="51"/>
      <c r="O188" s="51"/>
      <c r="P188" s="51"/>
      <c r="Q188" s="51"/>
      <c r="R188" s="51"/>
      <c r="S188" s="51"/>
      <c r="T188" s="51"/>
      <c r="U188" s="51"/>
      <c r="V188" s="51"/>
      <c r="W188" s="51"/>
      <c r="X188" s="51"/>
      <c r="Y188" s="51"/>
      <c r="Z188" s="51"/>
      <c r="AA188" s="51"/>
      <c r="AB188" s="51"/>
    </row>
    <row r="189" customFormat="false" ht="15.75" hidden="false" customHeight="false" outlineLevel="0" collapsed="false">
      <c r="A189" s="51"/>
      <c r="B189" s="51"/>
      <c r="C189" s="6"/>
      <c r="D189" s="49"/>
      <c r="E189" s="51"/>
      <c r="F189" s="6"/>
      <c r="G189" s="6"/>
      <c r="H189" s="6"/>
      <c r="I189" s="6"/>
      <c r="J189" s="6"/>
      <c r="K189" s="51"/>
      <c r="L189" s="51"/>
      <c r="M189" s="51"/>
      <c r="N189" s="51"/>
      <c r="O189" s="51"/>
      <c r="P189" s="51"/>
      <c r="Q189" s="51"/>
      <c r="R189" s="51"/>
      <c r="S189" s="51"/>
      <c r="T189" s="51"/>
      <c r="U189" s="51"/>
      <c r="V189" s="51"/>
      <c r="W189" s="51"/>
      <c r="X189" s="51"/>
      <c r="Y189" s="51"/>
      <c r="Z189" s="51"/>
      <c r="AA189" s="51"/>
      <c r="AB189" s="51"/>
    </row>
    <row r="190" customFormat="false" ht="15.75" hidden="false" customHeight="false" outlineLevel="0" collapsed="false">
      <c r="A190" s="51"/>
      <c r="B190" s="51"/>
      <c r="C190" s="6"/>
      <c r="D190" s="49"/>
      <c r="E190" s="51"/>
      <c r="F190" s="6"/>
      <c r="G190" s="6"/>
      <c r="H190" s="6"/>
      <c r="I190" s="6"/>
      <c r="J190" s="6"/>
      <c r="K190" s="51"/>
      <c r="L190" s="51"/>
      <c r="M190" s="51"/>
      <c r="N190" s="51"/>
      <c r="O190" s="51"/>
      <c r="P190" s="51"/>
      <c r="Q190" s="51"/>
      <c r="R190" s="51"/>
      <c r="S190" s="51"/>
      <c r="T190" s="51"/>
      <c r="U190" s="51"/>
      <c r="V190" s="51"/>
      <c r="W190" s="51"/>
      <c r="X190" s="51"/>
      <c r="Y190" s="51"/>
      <c r="Z190" s="51"/>
      <c r="AA190" s="51"/>
      <c r="AB190" s="51"/>
    </row>
    <row r="191" customFormat="false" ht="15.75" hidden="false" customHeight="false" outlineLevel="0" collapsed="false">
      <c r="A191" s="51"/>
      <c r="B191" s="51"/>
      <c r="C191" s="6"/>
      <c r="D191" s="49"/>
      <c r="E191" s="51"/>
      <c r="F191" s="6"/>
      <c r="G191" s="6"/>
      <c r="H191" s="6"/>
      <c r="I191" s="6"/>
      <c r="J191" s="6"/>
      <c r="K191" s="51"/>
      <c r="L191" s="51"/>
      <c r="M191" s="51"/>
      <c r="N191" s="51"/>
      <c r="O191" s="51"/>
      <c r="P191" s="51"/>
      <c r="Q191" s="51"/>
      <c r="R191" s="51"/>
      <c r="S191" s="51"/>
      <c r="T191" s="51"/>
      <c r="U191" s="51"/>
      <c r="V191" s="51"/>
      <c r="W191" s="51"/>
      <c r="X191" s="51"/>
      <c r="Y191" s="51"/>
      <c r="Z191" s="51"/>
      <c r="AA191" s="51"/>
      <c r="AB191" s="51"/>
    </row>
    <row r="192" customFormat="false" ht="15.75" hidden="false" customHeight="false" outlineLevel="0" collapsed="false">
      <c r="A192" s="51"/>
      <c r="B192" s="51"/>
      <c r="C192" s="6"/>
      <c r="D192" s="49"/>
      <c r="E192" s="51"/>
      <c r="F192" s="6"/>
      <c r="G192" s="6"/>
      <c r="H192" s="6"/>
      <c r="I192" s="6"/>
      <c r="J192" s="6"/>
      <c r="K192" s="51"/>
      <c r="L192" s="51"/>
      <c r="M192" s="51"/>
      <c r="N192" s="51"/>
      <c r="O192" s="51"/>
      <c r="P192" s="51"/>
      <c r="Q192" s="51"/>
      <c r="R192" s="51"/>
      <c r="S192" s="51"/>
      <c r="T192" s="51"/>
      <c r="U192" s="51"/>
      <c r="V192" s="51"/>
      <c r="W192" s="51"/>
      <c r="X192" s="51"/>
      <c r="Y192" s="51"/>
      <c r="Z192" s="51"/>
      <c r="AA192" s="51"/>
      <c r="AB192" s="51"/>
    </row>
    <row r="193" customFormat="false" ht="15.75" hidden="false" customHeight="false" outlineLevel="0" collapsed="false">
      <c r="A193" s="51"/>
      <c r="B193" s="51"/>
      <c r="C193" s="6"/>
      <c r="D193" s="49"/>
      <c r="E193" s="51"/>
      <c r="F193" s="6"/>
      <c r="G193" s="6"/>
      <c r="H193" s="6"/>
      <c r="I193" s="6"/>
      <c r="J193" s="6"/>
      <c r="K193" s="51"/>
      <c r="L193" s="51"/>
      <c r="M193" s="51"/>
      <c r="N193" s="51"/>
      <c r="O193" s="51"/>
      <c r="P193" s="51"/>
      <c r="Q193" s="51"/>
      <c r="R193" s="51"/>
      <c r="S193" s="51"/>
      <c r="T193" s="51"/>
      <c r="U193" s="51"/>
      <c r="V193" s="51"/>
      <c r="W193" s="51"/>
      <c r="X193" s="51"/>
      <c r="Y193" s="51"/>
      <c r="Z193" s="51"/>
      <c r="AA193" s="51"/>
      <c r="AB193" s="51"/>
    </row>
    <row r="194" customFormat="false" ht="15.75" hidden="false" customHeight="false" outlineLevel="0" collapsed="false">
      <c r="A194" s="51"/>
      <c r="B194" s="51"/>
      <c r="C194" s="6"/>
      <c r="D194" s="49"/>
      <c r="E194" s="51"/>
      <c r="F194" s="6"/>
      <c r="G194" s="6"/>
      <c r="H194" s="6"/>
      <c r="I194" s="6"/>
      <c r="J194" s="6"/>
      <c r="K194" s="51"/>
      <c r="L194" s="51"/>
      <c r="M194" s="51"/>
      <c r="N194" s="51"/>
      <c r="O194" s="51"/>
      <c r="P194" s="51"/>
      <c r="Q194" s="51"/>
      <c r="R194" s="51"/>
      <c r="S194" s="51"/>
      <c r="T194" s="51"/>
      <c r="U194" s="51"/>
      <c r="V194" s="51"/>
      <c r="W194" s="51"/>
      <c r="X194" s="51"/>
      <c r="Y194" s="51"/>
      <c r="Z194" s="51"/>
      <c r="AA194" s="51"/>
      <c r="AB194" s="51"/>
    </row>
    <row r="195" customFormat="false" ht="15.75" hidden="false" customHeight="false" outlineLevel="0" collapsed="false">
      <c r="A195" s="51"/>
      <c r="B195" s="51"/>
      <c r="C195" s="6"/>
      <c r="D195" s="49"/>
      <c r="E195" s="51"/>
      <c r="F195" s="6"/>
      <c r="G195" s="6"/>
      <c r="H195" s="6"/>
      <c r="I195" s="6"/>
      <c r="J195" s="6"/>
      <c r="K195" s="51"/>
      <c r="L195" s="51"/>
      <c r="M195" s="51"/>
      <c r="N195" s="51"/>
      <c r="O195" s="51"/>
      <c r="P195" s="51"/>
      <c r="Q195" s="51"/>
      <c r="R195" s="51"/>
      <c r="S195" s="51"/>
      <c r="T195" s="51"/>
      <c r="U195" s="51"/>
      <c r="V195" s="51"/>
      <c r="W195" s="51"/>
      <c r="X195" s="51"/>
      <c r="Y195" s="51"/>
      <c r="Z195" s="51"/>
      <c r="AA195" s="51"/>
      <c r="AB195" s="51"/>
    </row>
    <row r="196" customFormat="false" ht="15.75" hidden="false" customHeight="false" outlineLevel="0" collapsed="false">
      <c r="A196" s="51"/>
      <c r="B196" s="51"/>
      <c r="C196" s="6"/>
      <c r="D196" s="49"/>
      <c r="E196" s="51"/>
      <c r="F196" s="6"/>
      <c r="G196" s="6"/>
      <c r="H196" s="6"/>
      <c r="I196" s="6"/>
      <c r="J196" s="6"/>
      <c r="K196" s="51"/>
      <c r="L196" s="51"/>
      <c r="M196" s="51"/>
      <c r="N196" s="51"/>
      <c r="O196" s="51"/>
      <c r="P196" s="51"/>
      <c r="Q196" s="51"/>
      <c r="R196" s="51"/>
      <c r="S196" s="51"/>
      <c r="T196" s="51"/>
      <c r="U196" s="51"/>
      <c r="V196" s="51"/>
      <c r="W196" s="51"/>
      <c r="X196" s="51"/>
      <c r="Y196" s="51"/>
      <c r="Z196" s="51"/>
      <c r="AA196" s="51"/>
      <c r="AB196" s="51"/>
    </row>
    <row r="197" customFormat="false" ht="15.75" hidden="false" customHeight="false" outlineLevel="0" collapsed="false">
      <c r="A197" s="51"/>
      <c r="B197" s="51"/>
      <c r="C197" s="6"/>
      <c r="D197" s="49"/>
      <c r="E197" s="51"/>
      <c r="F197" s="6"/>
      <c r="G197" s="6"/>
      <c r="H197" s="6"/>
      <c r="I197" s="6"/>
      <c r="J197" s="6"/>
      <c r="K197" s="51"/>
      <c r="L197" s="51"/>
      <c r="M197" s="51"/>
      <c r="N197" s="51"/>
      <c r="O197" s="51"/>
      <c r="P197" s="51"/>
      <c r="Q197" s="51"/>
      <c r="R197" s="51"/>
      <c r="S197" s="51"/>
      <c r="T197" s="51"/>
      <c r="U197" s="51"/>
      <c r="V197" s="51"/>
      <c r="W197" s="51"/>
      <c r="X197" s="51"/>
      <c r="Y197" s="51"/>
      <c r="Z197" s="51"/>
      <c r="AA197" s="51"/>
      <c r="AB197" s="51"/>
    </row>
    <row r="198" customFormat="false" ht="15.75" hidden="false" customHeight="false" outlineLevel="0" collapsed="false">
      <c r="A198" s="51"/>
      <c r="B198" s="51"/>
      <c r="C198" s="6"/>
      <c r="D198" s="49"/>
      <c r="E198" s="51"/>
      <c r="F198" s="6"/>
      <c r="G198" s="6"/>
      <c r="H198" s="6"/>
      <c r="I198" s="6"/>
      <c r="J198" s="6"/>
      <c r="K198" s="51"/>
      <c r="L198" s="51"/>
      <c r="M198" s="51"/>
      <c r="N198" s="51"/>
      <c r="O198" s="51"/>
      <c r="P198" s="51"/>
      <c r="Q198" s="51"/>
      <c r="R198" s="51"/>
      <c r="S198" s="51"/>
      <c r="T198" s="51"/>
      <c r="U198" s="51"/>
      <c r="V198" s="51"/>
      <c r="W198" s="51"/>
      <c r="X198" s="51"/>
      <c r="Y198" s="51"/>
      <c r="Z198" s="51"/>
      <c r="AA198" s="51"/>
      <c r="AB198" s="51"/>
    </row>
    <row r="199" customFormat="false" ht="15.75" hidden="false" customHeight="false" outlineLevel="0" collapsed="false">
      <c r="A199" s="51"/>
      <c r="B199" s="51"/>
      <c r="C199" s="6"/>
      <c r="D199" s="49"/>
      <c r="E199" s="51"/>
      <c r="F199" s="6"/>
      <c r="G199" s="6"/>
      <c r="H199" s="6"/>
      <c r="I199" s="6"/>
      <c r="J199" s="6"/>
      <c r="K199" s="51"/>
      <c r="L199" s="51"/>
      <c r="M199" s="51"/>
      <c r="N199" s="51"/>
      <c r="O199" s="51"/>
      <c r="P199" s="51"/>
      <c r="Q199" s="51"/>
      <c r="R199" s="51"/>
      <c r="S199" s="51"/>
      <c r="T199" s="51"/>
      <c r="U199" s="51"/>
      <c r="V199" s="51"/>
      <c r="W199" s="51"/>
      <c r="X199" s="51"/>
      <c r="Y199" s="51"/>
      <c r="Z199" s="51"/>
      <c r="AA199" s="51"/>
      <c r="AB199" s="51"/>
    </row>
    <row r="200" customFormat="false" ht="15.75" hidden="false" customHeight="false" outlineLevel="0" collapsed="false">
      <c r="A200" s="51"/>
      <c r="B200" s="51"/>
      <c r="C200" s="6"/>
      <c r="D200" s="49"/>
      <c r="E200" s="51"/>
      <c r="F200" s="6"/>
      <c r="G200" s="6"/>
      <c r="H200" s="6"/>
      <c r="I200" s="6"/>
      <c r="J200" s="6"/>
      <c r="K200" s="51"/>
      <c r="L200" s="51"/>
      <c r="M200" s="51"/>
      <c r="N200" s="51"/>
      <c r="O200" s="51"/>
      <c r="P200" s="51"/>
      <c r="Q200" s="51"/>
      <c r="R200" s="51"/>
      <c r="S200" s="51"/>
      <c r="T200" s="51"/>
      <c r="U200" s="51"/>
      <c r="V200" s="51"/>
      <c r="W200" s="51"/>
      <c r="X200" s="51"/>
      <c r="Y200" s="51"/>
      <c r="Z200" s="51"/>
      <c r="AA200" s="51"/>
      <c r="AB200" s="51"/>
    </row>
    <row r="201" customFormat="false" ht="15.75" hidden="false" customHeight="false" outlineLevel="0" collapsed="false">
      <c r="A201" s="51"/>
      <c r="B201" s="51"/>
      <c r="C201" s="6"/>
      <c r="D201" s="49"/>
      <c r="E201" s="51"/>
      <c r="F201" s="6"/>
      <c r="G201" s="6"/>
      <c r="H201" s="6"/>
      <c r="I201" s="6"/>
      <c r="J201" s="6"/>
      <c r="K201" s="51"/>
      <c r="L201" s="51"/>
      <c r="M201" s="51"/>
      <c r="N201" s="51"/>
      <c r="O201" s="51"/>
      <c r="P201" s="51"/>
      <c r="Q201" s="51"/>
      <c r="R201" s="51"/>
      <c r="S201" s="51"/>
      <c r="T201" s="51"/>
      <c r="U201" s="51"/>
      <c r="V201" s="51"/>
      <c r="W201" s="51"/>
      <c r="X201" s="51"/>
      <c r="Y201" s="51"/>
      <c r="Z201" s="51"/>
      <c r="AA201" s="51"/>
      <c r="AB201" s="51"/>
    </row>
    <row r="202" customFormat="false" ht="15.75" hidden="false" customHeight="false" outlineLevel="0" collapsed="false">
      <c r="A202" s="51"/>
      <c r="B202" s="51"/>
      <c r="C202" s="6"/>
      <c r="D202" s="49"/>
      <c r="E202" s="51"/>
      <c r="F202" s="6"/>
      <c r="G202" s="6"/>
      <c r="H202" s="6"/>
      <c r="I202" s="6"/>
      <c r="J202" s="6"/>
      <c r="K202" s="51"/>
      <c r="L202" s="51"/>
      <c r="M202" s="51"/>
      <c r="N202" s="51"/>
      <c r="O202" s="51"/>
      <c r="P202" s="51"/>
      <c r="Q202" s="51"/>
      <c r="R202" s="51"/>
      <c r="S202" s="51"/>
      <c r="T202" s="51"/>
      <c r="U202" s="51"/>
      <c r="V202" s="51"/>
      <c r="W202" s="51"/>
      <c r="X202" s="51"/>
      <c r="Y202" s="51"/>
      <c r="Z202" s="51"/>
      <c r="AA202" s="51"/>
      <c r="AB202" s="51"/>
    </row>
    <row r="203" customFormat="false" ht="15.75" hidden="false" customHeight="false" outlineLevel="0" collapsed="false">
      <c r="A203" s="51"/>
      <c r="B203" s="51"/>
      <c r="C203" s="6"/>
      <c r="D203" s="49"/>
      <c r="E203" s="51"/>
      <c r="F203" s="6"/>
      <c r="G203" s="6"/>
      <c r="H203" s="6"/>
      <c r="I203" s="6"/>
      <c r="J203" s="6"/>
      <c r="K203" s="51"/>
      <c r="L203" s="51"/>
      <c r="M203" s="51"/>
      <c r="N203" s="51"/>
      <c r="O203" s="51"/>
      <c r="P203" s="51"/>
      <c r="Q203" s="51"/>
      <c r="R203" s="51"/>
      <c r="S203" s="51"/>
      <c r="T203" s="51"/>
      <c r="U203" s="51"/>
      <c r="V203" s="51"/>
      <c r="W203" s="51"/>
      <c r="X203" s="51"/>
      <c r="Y203" s="51"/>
      <c r="Z203" s="51"/>
      <c r="AA203" s="51"/>
      <c r="AB203" s="51"/>
    </row>
    <row r="204" customFormat="false" ht="15.75" hidden="false" customHeight="false" outlineLevel="0" collapsed="false">
      <c r="A204" s="51"/>
      <c r="B204" s="51"/>
      <c r="C204" s="6"/>
      <c r="D204" s="49"/>
      <c r="E204" s="51"/>
      <c r="F204" s="6"/>
      <c r="G204" s="6"/>
      <c r="H204" s="6"/>
      <c r="I204" s="6"/>
      <c r="J204" s="6"/>
      <c r="K204" s="51"/>
      <c r="L204" s="51"/>
      <c r="M204" s="51"/>
      <c r="N204" s="51"/>
      <c r="O204" s="51"/>
      <c r="P204" s="51"/>
      <c r="Q204" s="51"/>
      <c r="R204" s="51"/>
      <c r="S204" s="51"/>
      <c r="T204" s="51"/>
      <c r="U204" s="51"/>
      <c r="V204" s="51"/>
      <c r="W204" s="51"/>
      <c r="X204" s="51"/>
      <c r="Y204" s="51"/>
      <c r="Z204" s="51"/>
      <c r="AA204" s="51"/>
      <c r="AB204" s="51"/>
    </row>
    <row r="205" customFormat="false" ht="15.75" hidden="false" customHeight="false" outlineLevel="0" collapsed="false">
      <c r="A205" s="51"/>
      <c r="B205" s="51"/>
      <c r="C205" s="6"/>
      <c r="D205" s="49"/>
      <c r="E205" s="51"/>
      <c r="F205" s="6"/>
      <c r="G205" s="6"/>
      <c r="H205" s="6"/>
      <c r="I205" s="6"/>
      <c r="J205" s="6"/>
      <c r="K205" s="51"/>
      <c r="L205" s="51"/>
      <c r="M205" s="51"/>
      <c r="N205" s="51"/>
      <c r="O205" s="51"/>
      <c r="P205" s="51"/>
      <c r="Q205" s="51"/>
      <c r="R205" s="51"/>
      <c r="S205" s="51"/>
      <c r="T205" s="51"/>
      <c r="U205" s="51"/>
      <c r="V205" s="51"/>
      <c r="W205" s="51"/>
      <c r="X205" s="51"/>
      <c r="Y205" s="51"/>
      <c r="Z205" s="51"/>
      <c r="AA205" s="51"/>
      <c r="AB205" s="51"/>
    </row>
    <row r="206" customFormat="false" ht="15.75" hidden="false" customHeight="false" outlineLevel="0" collapsed="false">
      <c r="A206" s="51"/>
      <c r="B206" s="51"/>
      <c r="C206" s="6"/>
      <c r="D206" s="49"/>
      <c r="E206" s="51"/>
      <c r="F206" s="6"/>
      <c r="G206" s="6"/>
      <c r="H206" s="6"/>
      <c r="I206" s="6"/>
      <c r="J206" s="6"/>
      <c r="K206" s="51"/>
      <c r="L206" s="51"/>
      <c r="M206" s="51"/>
      <c r="N206" s="51"/>
      <c r="O206" s="51"/>
      <c r="P206" s="51"/>
      <c r="Q206" s="51"/>
      <c r="R206" s="51"/>
      <c r="S206" s="51"/>
      <c r="T206" s="51"/>
      <c r="U206" s="51"/>
      <c r="V206" s="51"/>
      <c r="W206" s="51"/>
      <c r="X206" s="51"/>
      <c r="Y206" s="51"/>
      <c r="Z206" s="51"/>
      <c r="AA206" s="51"/>
      <c r="AB206" s="51"/>
    </row>
    <row r="207" customFormat="false" ht="15.75" hidden="false" customHeight="false" outlineLevel="0" collapsed="false">
      <c r="A207" s="51"/>
      <c r="B207" s="51"/>
      <c r="C207" s="6"/>
      <c r="D207" s="49"/>
      <c r="E207" s="51"/>
      <c r="F207" s="6"/>
      <c r="G207" s="6"/>
      <c r="H207" s="6"/>
      <c r="I207" s="6"/>
      <c r="J207" s="6"/>
      <c r="K207" s="51"/>
      <c r="L207" s="51"/>
      <c r="M207" s="51"/>
      <c r="N207" s="51"/>
      <c r="O207" s="51"/>
      <c r="P207" s="51"/>
      <c r="Q207" s="51"/>
      <c r="R207" s="51"/>
      <c r="S207" s="51"/>
      <c r="T207" s="51"/>
      <c r="U207" s="51"/>
      <c r="V207" s="51"/>
      <c r="W207" s="51"/>
      <c r="X207" s="51"/>
      <c r="Y207" s="51"/>
      <c r="Z207" s="51"/>
      <c r="AA207" s="51"/>
      <c r="AB207" s="51"/>
    </row>
    <row r="208" customFormat="false" ht="15.75" hidden="false" customHeight="false" outlineLevel="0" collapsed="false">
      <c r="A208" s="51"/>
      <c r="B208" s="51"/>
      <c r="C208" s="6"/>
      <c r="D208" s="49"/>
      <c r="E208" s="51"/>
      <c r="F208" s="6"/>
      <c r="G208" s="6"/>
      <c r="H208" s="6"/>
      <c r="I208" s="6"/>
      <c r="J208" s="6"/>
      <c r="K208" s="51"/>
      <c r="L208" s="51"/>
      <c r="M208" s="51"/>
      <c r="N208" s="51"/>
      <c r="O208" s="51"/>
      <c r="P208" s="51"/>
      <c r="Q208" s="51"/>
      <c r="R208" s="51"/>
      <c r="S208" s="51"/>
      <c r="T208" s="51"/>
      <c r="U208" s="51"/>
      <c r="V208" s="51"/>
      <c r="W208" s="51"/>
      <c r="X208" s="51"/>
      <c r="Y208" s="51"/>
      <c r="Z208" s="51"/>
      <c r="AA208" s="51"/>
      <c r="AB208" s="51"/>
    </row>
    <row r="209" customFormat="false" ht="15.75" hidden="false" customHeight="false" outlineLevel="0" collapsed="false">
      <c r="A209" s="51"/>
      <c r="B209" s="51"/>
      <c r="C209" s="6"/>
      <c r="D209" s="49"/>
      <c r="E209" s="51"/>
      <c r="F209" s="6"/>
      <c r="G209" s="6"/>
      <c r="H209" s="6"/>
      <c r="I209" s="6"/>
      <c r="J209" s="6"/>
      <c r="K209" s="51"/>
      <c r="L209" s="51"/>
      <c r="M209" s="51"/>
      <c r="N209" s="51"/>
      <c r="O209" s="51"/>
      <c r="P209" s="51"/>
      <c r="Q209" s="51"/>
      <c r="R209" s="51"/>
      <c r="S209" s="51"/>
      <c r="T209" s="51"/>
      <c r="U209" s="51"/>
      <c r="V209" s="51"/>
      <c r="W209" s="51"/>
      <c r="X209" s="51"/>
      <c r="Y209" s="51"/>
      <c r="Z209" s="51"/>
      <c r="AA209" s="51"/>
      <c r="AB209" s="51"/>
    </row>
    <row r="210" customFormat="false" ht="15.75" hidden="false" customHeight="false" outlineLevel="0" collapsed="false">
      <c r="A210" s="51"/>
      <c r="B210" s="51"/>
      <c r="C210" s="6"/>
      <c r="D210" s="49"/>
      <c r="E210" s="51"/>
      <c r="F210" s="6"/>
      <c r="G210" s="6"/>
      <c r="H210" s="6"/>
      <c r="I210" s="6"/>
      <c r="J210" s="6"/>
      <c r="K210" s="51"/>
      <c r="L210" s="51"/>
      <c r="M210" s="51"/>
      <c r="N210" s="51"/>
      <c r="O210" s="51"/>
      <c r="P210" s="51"/>
      <c r="Q210" s="51"/>
      <c r="R210" s="51"/>
      <c r="S210" s="51"/>
      <c r="T210" s="51"/>
      <c r="U210" s="51"/>
      <c r="V210" s="51"/>
      <c r="W210" s="51"/>
      <c r="X210" s="51"/>
      <c r="Y210" s="51"/>
      <c r="Z210" s="51"/>
      <c r="AA210" s="51"/>
      <c r="AB210" s="51"/>
    </row>
    <row r="211" customFormat="false" ht="15.75" hidden="false" customHeight="false" outlineLevel="0" collapsed="false">
      <c r="A211" s="51"/>
      <c r="B211" s="51"/>
      <c r="C211" s="6"/>
      <c r="D211" s="49"/>
      <c r="E211" s="51"/>
      <c r="F211" s="6"/>
      <c r="G211" s="6"/>
      <c r="H211" s="6"/>
      <c r="I211" s="6"/>
      <c r="J211" s="6"/>
      <c r="K211" s="51"/>
      <c r="L211" s="51"/>
      <c r="M211" s="51"/>
      <c r="N211" s="51"/>
      <c r="O211" s="51"/>
      <c r="P211" s="51"/>
      <c r="Q211" s="51"/>
      <c r="R211" s="51"/>
      <c r="S211" s="51"/>
      <c r="T211" s="51"/>
      <c r="U211" s="51"/>
      <c r="V211" s="51"/>
      <c r="W211" s="51"/>
      <c r="X211" s="51"/>
      <c r="Y211" s="51"/>
      <c r="Z211" s="51"/>
      <c r="AA211" s="51"/>
      <c r="AB211" s="51"/>
    </row>
    <row r="212" customFormat="false" ht="15.75" hidden="false" customHeight="false" outlineLevel="0" collapsed="false">
      <c r="A212" s="51"/>
      <c r="B212" s="51"/>
      <c r="C212" s="6"/>
      <c r="D212" s="49"/>
      <c r="E212" s="51"/>
      <c r="F212" s="6"/>
      <c r="G212" s="6"/>
      <c r="H212" s="6"/>
      <c r="I212" s="6"/>
      <c r="J212" s="6"/>
      <c r="K212" s="51"/>
      <c r="L212" s="51"/>
      <c r="M212" s="51"/>
      <c r="N212" s="51"/>
      <c r="O212" s="51"/>
      <c r="P212" s="51"/>
      <c r="Q212" s="51"/>
      <c r="R212" s="51"/>
      <c r="S212" s="51"/>
      <c r="T212" s="51"/>
      <c r="U212" s="51"/>
      <c r="V212" s="51"/>
      <c r="W212" s="51"/>
      <c r="X212" s="51"/>
      <c r="Y212" s="51"/>
      <c r="Z212" s="51"/>
      <c r="AA212" s="51"/>
      <c r="AB212" s="51"/>
    </row>
    <row r="213" customFormat="false" ht="15.75" hidden="false" customHeight="false" outlineLevel="0" collapsed="false">
      <c r="A213" s="51"/>
      <c r="B213" s="51"/>
      <c r="C213" s="6"/>
      <c r="D213" s="49"/>
      <c r="E213" s="51"/>
      <c r="F213" s="6"/>
      <c r="G213" s="6"/>
      <c r="H213" s="6"/>
      <c r="I213" s="6"/>
      <c r="J213" s="6"/>
      <c r="K213" s="51"/>
      <c r="L213" s="51"/>
      <c r="M213" s="51"/>
      <c r="N213" s="51"/>
      <c r="O213" s="51"/>
      <c r="P213" s="51"/>
      <c r="Q213" s="51"/>
      <c r="R213" s="51"/>
      <c r="S213" s="51"/>
      <c r="T213" s="51"/>
      <c r="U213" s="51"/>
      <c r="V213" s="51"/>
      <c r="W213" s="51"/>
      <c r="X213" s="51"/>
      <c r="Y213" s="51"/>
      <c r="Z213" s="51"/>
      <c r="AA213" s="51"/>
      <c r="AB213" s="51"/>
    </row>
    <row r="214" customFormat="false" ht="15.75" hidden="false" customHeight="false" outlineLevel="0" collapsed="false">
      <c r="A214" s="51"/>
      <c r="B214" s="51"/>
      <c r="C214" s="6"/>
      <c r="D214" s="49"/>
      <c r="E214" s="51"/>
      <c r="F214" s="6"/>
      <c r="G214" s="6"/>
      <c r="H214" s="6"/>
      <c r="I214" s="6"/>
      <c r="J214" s="6"/>
      <c r="K214" s="51"/>
      <c r="L214" s="51"/>
      <c r="M214" s="51"/>
      <c r="N214" s="51"/>
      <c r="O214" s="51"/>
      <c r="P214" s="51"/>
      <c r="Q214" s="51"/>
      <c r="R214" s="51"/>
      <c r="S214" s="51"/>
      <c r="T214" s="51"/>
      <c r="U214" s="51"/>
      <c r="V214" s="51"/>
      <c r="W214" s="51"/>
      <c r="X214" s="51"/>
      <c r="Y214" s="51"/>
      <c r="Z214" s="51"/>
      <c r="AA214" s="51"/>
      <c r="AB214" s="51"/>
    </row>
    <row r="215" customFormat="false" ht="15.75" hidden="false" customHeight="false" outlineLevel="0" collapsed="false">
      <c r="A215" s="51"/>
      <c r="B215" s="51"/>
      <c r="C215" s="6"/>
      <c r="D215" s="49"/>
      <c r="E215" s="51"/>
      <c r="F215" s="6"/>
      <c r="G215" s="6"/>
      <c r="H215" s="6"/>
      <c r="I215" s="6"/>
      <c r="J215" s="6"/>
      <c r="K215" s="51"/>
      <c r="L215" s="51"/>
      <c r="M215" s="51"/>
      <c r="N215" s="51"/>
      <c r="O215" s="51"/>
      <c r="P215" s="51"/>
      <c r="Q215" s="51"/>
      <c r="R215" s="51"/>
      <c r="S215" s="51"/>
      <c r="T215" s="51"/>
      <c r="U215" s="51"/>
      <c r="V215" s="51"/>
      <c r="W215" s="51"/>
      <c r="X215" s="51"/>
      <c r="Y215" s="51"/>
      <c r="Z215" s="51"/>
      <c r="AA215" s="51"/>
      <c r="AB215" s="51"/>
    </row>
    <row r="216" customFormat="false" ht="15.75" hidden="false" customHeight="false" outlineLevel="0" collapsed="false">
      <c r="A216" s="51"/>
      <c r="B216" s="51"/>
      <c r="C216" s="6"/>
      <c r="D216" s="49"/>
      <c r="E216" s="51"/>
      <c r="F216" s="6"/>
      <c r="G216" s="6"/>
      <c r="H216" s="6"/>
      <c r="I216" s="6"/>
      <c r="J216" s="6"/>
      <c r="K216" s="51"/>
      <c r="L216" s="51"/>
      <c r="M216" s="51"/>
      <c r="N216" s="51"/>
      <c r="O216" s="51"/>
      <c r="P216" s="51"/>
      <c r="Q216" s="51"/>
      <c r="R216" s="51"/>
      <c r="S216" s="51"/>
      <c r="T216" s="51"/>
      <c r="U216" s="51"/>
      <c r="V216" s="51"/>
      <c r="W216" s="51"/>
      <c r="X216" s="51"/>
      <c r="Y216" s="51"/>
      <c r="Z216" s="51"/>
      <c r="AA216" s="51"/>
      <c r="AB216" s="51"/>
    </row>
    <row r="217" customFormat="false" ht="15.75" hidden="false" customHeight="false" outlineLevel="0" collapsed="false">
      <c r="A217" s="51"/>
      <c r="B217" s="51"/>
      <c r="C217" s="6"/>
      <c r="D217" s="49"/>
      <c r="E217" s="51"/>
      <c r="F217" s="6"/>
      <c r="G217" s="6"/>
      <c r="H217" s="6"/>
      <c r="I217" s="6"/>
      <c r="J217" s="6"/>
      <c r="K217" s="51"/>
      <c r="L217" s="51"/>
      <c r="M217" s="51"/>
      <c r="N217" s="51"/>
      <c r="O217" s="51"/>
      <c r="P217" s="51"/>
      <c r="Q217" s="51"/>
      <c r="R217" s="51"/>
      <c r="S217" s="51"/>
      <c r="T217" s="51"/>
      <c r="U217" s="51"/>
      <c r="V217" s="51"/>
      <c r="W217" s="51"/>
      <c r="X217" s="51"/>
      <c r="Y217" s="51"/>
      <c r="Z217" s="51"/>
      <c r="AA217" s="51"/>
      <c r="AB217" s="51"/>
    </row>
    <row r="218" customFormat="false" ht="15.75" hidden="false" customHeight="false" outlineLevel="0" collapsed="false">
      <c r="A218" s="51"/>
      <c r="B218" s="51"/>
      <c r="C218" s="6"/>
      <c r="D218" s="49"/>
      <c r="E218" s="51"/>
      <c r="F218" s="6"/>
      <c r="G218" s="6"/>
      <c r="H218" s="6"/>
      <c r="I218" s="6"/>
      <c r="J218" s="6"/>
      <c r="K218" s="51"/>
      <c r="L218" s="51"/>
      <c r="M218" s="51"/>
      <c r="N218" s="51"/>
      <c r="O218" s="51"/>
      <c r="P218" s="51"/>
      <c r="Q218" s="51"/>
      <c r="R218" s="51"/>
      <c r="S218" s="51"/>
      <c r="T218" s="51"/>
      <c r="U218" s="51"/>
      <c r="V218" s="51"/>
      <c r="W218" s="51"/>
      <c r="X218" s="51"/>
      <c r="Y218" s="51"/>
      <c r="Z218" s="51"/>
      <c r="AA218" s="51"/>
      <c r="AB218" s="51"/>
    </row>
    <row r="219" customFormat="false" ht="15.75" hidden="false" customHeight="false" outlineLevel="0" collapsed="false">
      <c r="A219" s="51"/>
      <c r="B219" s="51"/>
      <c r="C219" s="6"/>
      <c r="D219" s="49"/>
      <c r="E219" s="51"/>
      <c r="F219" s="6"/>
      <c r="G219" s="6"/>
      <c r="H219" s="6"/>
      <c r="I219" s="6"/>
      <c r="J219" s="6"/>
      <c r="K219" s="51"/>
      <c r="L219" s="51"/>
      <c r="M219" s="51"/>
      <c r="N219" s="51"/>
      <c r="O219" s="51"/>
      <c r="P219" s="51"/>
      <c r="Q219" s="51"/>
      <c r="R219" s="51"/>
      <c r="S219" s="51"/>
      <c r="T219" s="51"/>
      <c r="U219" s="51"/>
      <c r="V219" s="51"/>
      <c r="W219" s="51"/>
      <c r="X219" s="51"/>
      <c r="Y219" s="51"/>
      <c r="Z219" s="51"/>
      <c r="AA219" s="51"/>
      <c r="AB219" s="51"/>
    </row>
    <row r="220" customFormat="false" ht="15.75" hidden="false" customHeight="false" outlineLevel="0" collapsed="false">
      <c r="A220" s="51"/>
      <c r="B220" s="51"/>
      <c r="C220" s="6"/>
      <c r="D220" s="49"/>
      <c r="E220" s="51"/>
      <c r="F220" s="6"/>
      <c r="G220" s="6"/>
      <c r="H220" s="6"/>
      <c r="I220" s="6"/>
      <c r="J220" s="6"/>
      <c r="K220" s="51"/>
      <c r="L220" s="51"/>
      <c r="M220" s="51"/>
      <c r="N220" s="51"/>
      <c r="O220" s="51"/>
      <c r="P220" s="51"/>
      <c r="Q220" s="51"/>
      <c r="R220" s="51"/>
      <c r="S220" s="51"/>
      <c r="T220" s="51"/>
      <c r="U220" s="51"/>
      <c r="V220" s="51"/>
      <c r="W220" s="51"/>
      <c r="X220" s="51"/>
      <c r="Y220" s="51"/>
      <c r="Z220" s="51"/>
      <c r="AA220" s="51"/>
      <c r="AB220" s="51"/>
    </row>
    <row r="221" customFormat="false" ht="15.75" hidden="false" customHeight="false" outlineLevel="0" collapsed="false">
      <c r="A221" s="51"/>
      <c r="B221" s="51"/>
      <c r="C221" s="6"/>
      <c r="D221" s="49"/>
      <c r="E221" s="51"/>
      <c r="F221" s="6"/>
      <c r="G221" s="6"/>
      <c r="H221" s="6"/>
      <c r="I221" s="6"/>
      <c r="J221" s="6"/>
      <c r="K221" s="51"/>
      <c r="L221" s="51"/>
      <c r="M221" s="51"/>
      <c r="N221" s="51"/>
      <c r="O221" s="51"/>
      <c r="P221" s="51"/>
      <c r="Q221" s="51"/>
      <c r="R221" s="51"/>
      <c r="S221" s="51"/>
      <c r="T221" s="51"/>
      <c r="U221" s="51"/>
      <c r="V221" s="51"/>
      <c r="W221" s="51"/>
      <c r="X221" s="51"/>
      <c r="Y221" s="51"/>
      <c r="Z221" s="51"/>
      <c r="AA221" s="51"/>
      <c r="AB221" s="51"/>
    </row>
    <row r="222" customFormat="false" ht="15.75" hidden="false" customHeight="false" outlineLevel="0" collapsed="false">
      <c r="A222" s="51"/>
      <c r="B222" s="51"/>
      <c r="C222" s="6"/>
      <c r="D222" s="49"/>
      <c r="E222" s="51"/>
      <c r="F222" s="6"/>
      <c r="G222" s="6"/>
      <c r="H222" s="6"/>
      <c r="I222" s="6"/>
      <c r="J222" s="6"/>
      <c r="K222" s="51"/>
      <c r="L222" s="51"/>
      <c r="M222" s="51"/>
      <c r="N222" s="51"/>
      <c r="O222" s="51"/>
      <c r="P222" s="51"/>
      <c r="Q222" s="51"/>
      <c r="R222" s="51"/>
      <c r="S222" s="51"/>
      <c r="T222" s="51"/>
      <c r="U222" s="51"/>
      <c r="V222" s="51"/>
      <c r="W222" s="51"/>
      <c r="X222" s="51"/>
      <c r="Y222" s="51"/>
      <c r="Z222" s="51"/>
      <c r="AA222" s="51"/>
      <c r="AB222" s="51"/>
    </row>
    <row r="223" customFormat="false" ht="15.75" hidden="false" customHeight="false" outlineLevel="0" collapsed="false">
      <c r="A223" s="51"/>
      <c r="B223" s="51"/>
      <c r="C223" s="6"/>
      <c r="D223" s="49"/>
      <c r="E223" s="51"/>
      <c r="F223" s="6"/>
      <c r="G223" s="6"/>
      <c r="H223" s="6"/>
      <c r="I223" s="6"/>
      <c r="J223" s="6"/>
      <c r="K223" s="51"/>
      <c r="L223" s="51"/>
      <c r="M223" s="51"/>
      <c r="N223" s="51"/>
      <c r="O223" s="51"/>
      <c r="P223" s="51"/>
      <c r="Q223" s="51"/>
      <c r="R223" s="51"/>
      <c r="S223" s="51"/>
      <c r="T223" s="51"/>
      <c r="U223" s="51"/>
      <c r="V223" s="51"/>
      <c r="W223" s="51"/>
      <c r="X223" s="51"/>
      <c r="Y223" s="51"/>
      <c r="Z223" s="51"/>
      <c r="AA223" s="51"/>
      <c r="AB223" s="51"/>
    </row>
    <row r="224" customFormat="false" ht="15.75" hidden="false" customHeight="false" outlineLevel="0" collapsed="false">
      <c r="A224" s="51"/>
      <c r="B224" s="51"/>
      <c r="C224" s="6"/>
      <c r="D224" s="49"/>
      <c r="E224" s="51"/>
      <c r="F224" s="6"/>
      <c r="G224" s="6"/>
      <c r="H224" s="6"/>
      <c r="I224" s="6"/>
      <c r="J224" s="6"/>
      <c r="K224" s="51"/>
      <c r="L224" s="51"/>
      <c r="M224" s="51"/>
      <c r="N224" s="51"/>
      <c r="O224" s="51"/>
      <c r="P224" s="51"/>
      <c r="Q224" s="51"/>
      <c r="R224" s="51"/>
      <c r="S224" s="51"/>
      <c r="T224" s="51"/>
      <c r="U224" s="51"/>
      <c r="V224" s="51"/>
      <c r="W224" s="51"/>
      <c r="X224" s="51"/>
      <c r="Y224" s="51"/>
      <c r="Z224" s="51"/>
      <c r="AA224" s="51"/>
      <c r="AB224" s="51"/>
    </row>
    <row r="225" customFormat="false" ht="15.75" hidden="false" customHeight="false" outlineLevel="0" collapsed="false">
      <c r="A225" s="51"/>
      <c r="B225" s="51"/>
      <c r="C225" s="6"/>
      <c r="D225" s="49"/>
      <c r="E225" s="51"/>
      <c r="F225" s="6"/>
      <c r="G225" s="6"/>
      <c r="H225" s="6"/>
      <c r="I225" s="6"/>
      <c r="J225" s="6"/>
      <c r="K225" s="51"/>
      <c r="L225" s="51"/>
      <c r="M225" s="51"/>
      <c r="N225" s="51"/>
      <c r="O225" s="51"/>
      <c r="P225" s="51"/>
      <c r="Q225" s="51"/>
      <c r="R225" s="51"/>
      <c r="S225" s="51"/>
      <c r="T225" s="51"/>
      <c r="U225" s="51"/>
      <c r="V225" s="51"/>
      <c r="W225" s="51"/>
      <c r="X225" s="51"/>
      <c r="Y225" s="51"/>
      <c r="Z225" s="51"/>
      <c r="AA225" s="51"/>
      <c r="AB225" s="51"/>
    </row>
    <row r="226" customFormat="false" ht="15.75" hidden="false" customHeight="false" outlineLevel="0" collapsed="false">
      <c r="A226" s="51"/>
      <c r="B226" s="51"/>
      <c r="C226" s="6"/>
      <c r="D226" s="49"/>
      <c r="E226" s="51"/>
      <c r="F226" s="6"/>
      <c r="G226" s="6"/>
      <c r="H226" s="6"/>
      <c r="I226" s="6"/>
      <c r="J226" s="6"/>
      <c r="K226" s="51"/>
      <c r="L226" s="51"/>
      <c r="M226" s="51"/>
      <c r="N226" s="51"/>
      <c r="O226" s="51"/>
      <c r="P226" s="51"/>
      <c r="Q226" s="51"/>
      <c r="R226" s="51"/>
      <c r="S226" s="51"/>
      <c r="T226" s="51"/>
      <c r="U226" s="51"/>
      <c r="V226" s="51"/>
      <c r="W226" s="51"/>
      <c r="X226" s="51"/>
      <c r="Y226" s="51"/>
      <c r="Z226" s="51"/>
      <c r="AA226" s="51"/>
      <c r="AB226" s="51"/>
    </row>
    <row r="227" customFormat="false" ht="15.75" hidden="false" customHeight="false" outlineLevel="0" collapsed="false">
      <c r="A227" s="51"/>
      <c r="B227" s="51"/>
      <c r="C227" s="6"/>
      <c r="D227" s="49"/>
      <c r="E227" s="51"/>
      <c r="F227" s="6"/>
      <c r="G227" s="6"/>
      <c r="H227" s="6"/>
      <c r="I227" s="6"/>
      <c r="J227" s="6"/>
      <c r="K227" s="51"/>
      <c r="L227" s="51"/>
      <c r="M227" s="51"/>
      <c r="N227" s="51"/>
      <c r="O227" s="51"/>
      <c r="P227" s="51"/>
      <c r="Q227" s="51"/>
      <c r="R227" s="51"/>
      <c r="S227" s="51"/>
      <c r="T227" s="51"/>
      <c r="U227" s="51"/>
      <c r="V227" s="51"/>
      <c r="W227" s="51"/>
      <c r="X227" s="51"/>
      <c r="Y227" s="51"/>
      <c r="Z227" s="51"/>
      <c r="AA227" s="51"/>
      <c r="AB227" s="51"/>
    </row>
    <row r="228" customFormat="false" ht="15.75" hidden="false" customHeight="false" outlineLevel="0" collapsed="false">
      <c r="A228" s="51"/>
      <c r="B228" s="51"/>
      <c r="C228" s="6"/>
      <c r="D228" s="49"/>
      <c r="E228" s="51"/>
      <c r="F228" s="6"/>
      <c r="G228" s="6"/>
      <c r="H228" s="6"/>
      <c r="I228" s="6"/>
      <c r="J228" s="6"/>
      <c r="K228" s="51"/>
      <c r="L228" s="51"/>
      <c r="M228" s="51"/>
      <c r="N228" s="51"/>
      <c r="O228" s="51"/>
      <c r="P228" s="51"/>
      <c r="Q228" s="51"/>
      <c r="R228" s="51"/>
      <c r="S228" s="51"/>
      <c r="T228" s="51"/>
      <c r="U228" s="51"/>
      <c r="V228" s="51"/>
      <c r="W228" s="51"/>
      <c r="X228" s="51"/>
      <c r="Y228" s="51"/>
      <c r="Z228" s="51"/>
      <c r="AA228" s="51"/>
      <c r="AB228" s="51"/>
    </row>
    <row r="229" customFormat="false" ht="15.75" hidden="false" customHeight="false" outlineLevel="0" collapsed="false">
      <c r="A229" s="51"/>
      <c r="B229" s="51"/>
      <c r="C229" s="6"/>
      <c r="D229" s="49"/>
      <c r="E229" s="51"/>
      <c r="F229" s="6"/>
      <c r="G229" s="6"/>
      <c r="H229" s="6"/>
      <c r="I229" s="6"/>
      <c r="J229" s="6"/>
      <c r="K229" s="51"/>
      <c r="L229" s="51"/>
      <c r="M229" s="51"/>
      <c r="N229" s="51"/>
      <c r="O229" s="51"/>
      <c r="P229" s="51"/>
      <c r="Q229" s="51"/>
      <c r="R229" s="51"/>
      <c r="S229" s="51"/>
      <c r="T229" s="51"/>
      <c r="U229" s="51"/>
      <c r="V229" s="51"/>
      <c r="W229" s="51"/>
      <c r="X229" s="51"/>
      <c r="Y229" s="51"/>
      <c r="Z229" s="51"/>
      <c r="AA229" s="51"/>
      <c r="AB229" s="51"/>
    </row>
    <row r="230" customFormat="false" ht="15.75" hidden="false" customHeight="false" outlineLevel="0" collapsed="false">
      <c r="A230" s="51"/>
      <c r="B230" s="51"/>
      <c r="C230" s="6"/>
      <c r="D230" s="49"/>
      <c r="E230" s="51"/>
      <c r="F230" s="6"/>
      <c r="G230" s="6"/>
      <c r="H230" s="6"/>
      <c r="I230" s="6"/>
      <c r="J230" s="6"/>
      <c r="K230" s="51"/>
      <c r="L230" s="51"/>
      <c r="M230" s="51"/>
      <c r="N230" s="51"/>
      <c r="O230" s="51"/>
      <c r="P230" s="51"/>
      <c r="Q230" s="51"/>
      <c r="R230" s="51"/>
      <c r="S230" s="51"/>
      <c r="T230" s="51"/>
      <c r="U230" s="51"/>
      <c r="V230" s="51"/>
      <c r="W230" s="51"/>
      <c r="X230" s="51"/>
      <c r="Y230" s="51"/>
      <c r="Z230" s="51"/>
      <c r="AA230" s="51"/>
      <c r="AB230" s="51"/>
    </row>
    <row r="231" customFormat="false" ht="15.75" hidden="false" customHeight="false" outlineLevel="0" collapsed="false">
      <c r="A231" s="51"/>
      <c r="B231" s="51"/>
      <c r="C231" s="6"/>
      <c r="D231" s="49"/>
      <c r="E231" s="51"/>
      <c r="F231" s="6"/>
      <c r="G231" s="6"/>
      <c r="H231" s="6"/>
      <c r="I231" s="6"/>
      <c r="J231" s="6"/>
      <c r="K231" s="51"/>
      <c r="L231" s="51"/>
      <c r="M231" s="51"/>
      <c r="N231" s="51"/>
      <c r="O231" s="51"/>
      <c r="P231" s="51"/>
      <c r="Q231" s="51"/>
      <c r="R231" s="51"/>
      <c r="S231" s="51"/>
      <c r="T231" s="51"/>
      <c r="U231" s="51"/>
      <c r="V231" s="51"/>
      <c r="W231" s="51"/>
      <c r="X231" s="51"/>
      <c r="Y231" s="51"/>
      <c r="Z231" s="51"/>
      <c r="AA231" s="51"/>
      <c r="AB231" s="51"/>
    </row>
    <row r="232" customFormat="false" ht="15.75" hidden="false" customHeight="false" outlineLevel="0" collapsed="false">
      <c r="A232" s="51"/>
      <c r="B232" s="51"/>
      <c r="C232" s="6"/>
      <c r="D232" s="49"/>
      <c r="E232" s="51"/>
      <c r="F232" s="6"/>
      <c r="G232" s="6"/>
      <c r="H232" s="6"/>
      <c r="I232" s="6"/>
      <c r="J232" s="6"/>
      <c r="K232" s="51"/>
      <c r="L232" s="51"/>
      <c r="M232" s="51"/>
      <c r="N232" s="51"/>
      <c r="O232" s="51"/>
      <c r="P232" s="51"/>
      <c r="Q232" s="51"/>
      <c r="R232" s="51"/>
      <c r="S232" s="51"/>
      <c r="T232" s="51"/>
      <c r="U232" s="51"/>
      <c r="V232" s="51"/>
      <c r="W232" s="51"/>
      <c r="X232" s="51"/>
      <c r="Y232" s="51"/>
      <c r="Z232" s="51"/>
      <c r="AA232" s="51"/>
      <c r="AB232" s="51"/>
    </row>
    <row r="233" customFormat="false" ht="15.75" hidden="false" customHeight="false" outlineLevel="0" collapsed="false">
      <c r="A233" s="51"/>
      <c r="B233" s="51"/>
      <c r="C233" s="6"/>
      <c r="D233" s="49"/>
      <c r="E233" s="51"/>
      <c r="F233" s="6"/>
      <c r="G233" s="6"/>
      <c r="H233" s="6"/>
      <c r="I233" s="6"/>
      <c r="J233" s="6"/>
      <c r="K233" s="51"/>
      <c r="L233" s="51"/>
      <c r="M233" s="51"/>
      <c r="N233" s="51"/>
      <c r="O233" s="51"/>
      <c r="P233" s="51"/>
      <c r="Q233" s="51"/>
      <c r="R233" s="51"/>
      <c r="S233" s="51"/>
      <c r="T233" s="51"/>
      <c r="U233" s="51"/>
      <c r="V233" s="51"/>
      <c r="W233" s="51"/>
      <c r="X233" s="51"/>
      <c r="Y233" s="51"/>
      <c r="Z233" s="51"/>
      <c r="AA233" s="51"/>
      <c r="AB233" s="51"/>
    </row>
    <row r="234" customFormat="false" ht="15.75" hidden="false" customHeight="false" outlineLevel="0" collapsed="false">
      <c r="A234" s="51"/>
      <c r="B234" s="51"/>
      <c r="C234" s="6"/>
      <c r="D234" s="49"/>
      <c r="E234" s="51"/>
      <c r="F234" s="6"/>
      <c r="G234" s="6"/>
      <c r="H234" s="6"/>
      <c r="I234" s="6"/>
      <c r="J234" s="6"/>
      <c r="K234" s="51"/>
      <c r="L234" s="51"/>
      <c r="M234" s="51"/>
      <c r="N234" s="51"/>
      <c r="O234" s="51"/>
      <c r="P234" s="51"/>
      <c r="Q234" s="51"/>
      <c r="R234" s="51"/>
      <c r="S234" s="51"/>
      <c r="T234" s="51"/>
      <c r="U234" s="51"/>
      <c r="V234" s="51"/>
      <c r="W234" s="51"/>
      <c r="X234" s="51"/>
      <c r="Y234" s="51"/>
      <c r="Z234" s="51"/>
      <c r="AA234" s="51"/>
      <c r="AB234" s="51"/>
    </row>
    <row r="235" customFormat="false" ht="15.75" hidden="false" customHeight="false" outlineLevel="0" collapsed="false">
      <c r="A235" s="51"/>
      <c r="B235" s="51"/>
      <c r="C235" s="6"/>
      <c r="D235" s="49"/>
      <c r="E235" s="51"/>
      <c r="F235" s="6"/>
      <c r="G235" s="6"/>
      <c r="H235" s="6"/>
      <c r="I235" s="6"/>
      <c r="J235" s="6"/>
      <c r="K235" s="51"/>
      <c r="L235" s="51"/>
      <c r="M235" s="51"/>
      <c r="N235" s="51"/>
      <c r="O235" s="51"/>
      <c r="P235" s="51"/>
      <c r="Q235" s="51"/>
      <c r="R235" s="51"/>
      <c r="S235" s="51"/>
      <c r="T235" s="51"/>
      <c r="U235" s="51"/>
      <c r="V235" s="51"/>
      <c r="W235" s="51"/>
      <c r="X235" s="51"/>
      <c r="Y235" s="51"/>
      <c r="Z235" s="51"/>
      <c r="AA235" s="51"/>
      <c r="AB235" s="51"/>
    </row>
    <row r="236" customFormat="false" ht="15.75" hidden="false" customHeight="false" outlineLevel="0" collapsed="false">
      <c r="A236" s="51"/>
      <c r="B236" s="51"/>
      <c r="C236" s="6"/>
      <c r="D236" s="49"/>
      <c r="E236" s="51"/>
      <c r="F236" s="6"/>
      <c r="G236" s="6"/>
      <c r="H236" s="6"/>
      <c r="I236" s="6"/>
      <c r="J236" s="6"/>
      <c r="K236" s="51"/>
      <c r="L236" s="51"/>
      <c r="M236" s="51"/>
      <c r="N236" s="51"/>
      <c r="O236" s="51"/>
      <c r="P236" s="51"/>
      <c r="Q236" s="51"/>
      <c r="R236" s="51"/>
      <c r="S236" s="51"/>
      <c r="T236" s="51"/>
      <c r="U236" s="51"/>
      <c r="V236" s="51"/>
      <c r="W236" s="51"/>
      <c r="X236" s="51"/>
      <c r="Y236" s="51"/>
      <c r="Z236" s="51"/>
      <c r="AA236" s="51"/>
      <c r="AB236" s="51"/>
    </row>
    <row r="237" customFormat="false" ht="15.75" hidden="false" customHeight="false" outlineLevel="0" collapsed="false">
      <c r="A237" s="51"/>
      <c r="B237" s="51"/>
      <c r="C237" s="6"/>
      <c r="D237" s="49"/>
      <c r="E237" s="51"/>
      <c r="F237" s="6"/>
      <c r="G237" s="6"/>
      <c r="H237" s="6"/>
      <c r="I237" s="6"/>
      <c r="J237" s="6"/>
      <c r="K237" s="51"/>
      <c r="L237" s="51"/>
      <c r="M237" s="51"/>
      <c r="N237" s="51"/>
      <c r="O237" s="51"/>
      <c r="P237" s="51"/>
      <c r="Q237" s="51"/>
      <c r="R237" s="51"/>
      <c r="S237" s="51"/>
      <c r="T237" s="51"/>
      <c r="U237" s="51"/>
      <c r="V237" s="51"/>
      <c r="W237" s="51"/>
      <c r="X237" s="51"/>
      <c r="Y237" s="51"/>
      <c r="Z237" s="51"/>
      <c r="AA237" s="51"/>
      <c r="AB237" s="51"/>
    </row>
    <row r="238" customFormat="false" ht="15.75" hidden="false" customHeight="false" outlineLevel="0" collapsed="false">
      <c r="A238" s="51"/>
      <c r="B238" s="51"/>
      <c r="C238" s="6"/>
      <c r="D238" s="49"/>
      <c r="E238" s="51"/>
      <c r="F238" s="6"/>
      <c r="G238" s="6"/>
      <c r="H238" s="6"/>
      <c r="I238" s="6"/>
      <c r="J238" s="6"/>
      <c r="K238" s="51"/>
      <c r="L238" s="51"/>
      <c r="M238" s="51"/>
      <c r="N238" s="51"/>
      <c r="O238" s="51"/>
      <c r="P238" s="51"/>
      <c r="Q238" s="51"/>
      <c r="R238" s="51"/>
      <c r="S238" s="51"/>
      <c r="T238" s="51"/>
      <c r="U238" s="51"/>
      <c r="V238" s="51"/>
      <c r="W238" s="51"/>
      <c r="X238" s="51"/>
      <c r="Y238" s="51"/>
      <c r="Z238" s="51"/>
      <c r="AA238" s="51"/>
      <c r="AB238" s="51"/>
    </row>
    <row r="239" customFormat="false" ht="15.75" hidden="false" customHeight="false" outlineLevel="0" collapsed="false">
      <c r="A239" s="51"/>
      <c r="B239" s="51"/>
      <c r="C239" s="6"/>
      <c r="D239" s="49"/>
      <c r="E239" s="51"/>
      <c r="F239" s="6"/>
      <c r="G239" s="6"/>
      <c r="H239" s="6"/>
      <c r="I239" s="6"/>
      <c r="J239" s="6"/>
      <c r="K239" s="51"/>
      <c r="L239" s="51"/>
      <c r="M239" s="51"/>
      <c r="N239" s="51"/>
      <c r="O239" s="51"/>
      <c r="P239" s="51"/>
      <c r="Q239" s="51"/>
      <c r="R239" s="51"/>
      <c r="S239" s="51"/>
      <c r="T239" s="51"/>
      <c r="U239" s="51"/>
      <c r="V239" s="51"/>
      <c r="W239" s="51"/>
      <c r="X239" s="51"/>
      <c r="Y239" s="51"/>
      <c r="Z239" s="51"/>
      <c r="AA239" s="51"/>
      <c r="AB239" s="51"/>
    </row>
    <row r="240" customFormat="false" ht="15.75" hidden="false" customHeight="false" outlineLevel="0" collapsed="false">
      <c r="A240" s="51"/>
      <c r="B240" s="51"/>
      <c r="C240" s="6"/>
      <c r="D240" s="49"/>
      <c r="E240" s="51"/>
      <c r="F240" s="6"/>
      <c r="G240" s="6"/>
      <c r="H240" s="6"/>
      <c r="I240" s="6"/>
      <c r="J240" s="6"/>
      <c r="K240" s="51"/>
      <c r="L240" s="51"/>
      <c r="M240" s="51"/>
      <c r="N240" s="51"/>
      <c r="O240" s="51"/>
      <c r="P240" s="51"/>
      <c r="Q240" s="51"/>
      <c r="R240" s="51"/>
      <c r="S240" s="51"/>
      <c r="T240" s="51"/>
      <c r="U240" s="51"/>
      <c r="V240" s="51"/>
      <c r="W240" s="51"/>
      <c r="X240" s="51"/>
      <c r="Y240" s="51"/>
      <c r="Z240" s="51"/>
      <c r="AA240" s="51"/>
      <c r="AB240" s="51"/>
    </row>
    <row r="241" customFormat="false" ht="15.75" hidden="false" customHeight="false" outlineLevel="0" collapsed="false">
      <c r="A241" s="51"/>
      <c r="B241" s="51"/>
      <c r="C241" s="6"/>
      <c r="D241" s="49"/>
      <c r="E241" s="51"/>
      <c r="F241" s="6"/>
      <c r="G241" s="6"/>
      <c r="H241" s="6"/>
      <c r="I241" s="6"/>
      <c r="J241" s="6"/>
      <c r="K241" s="51"/>
      <c r="L241" s="51"/>
      <c r="M241" s="51"/>
      <c r="N241" s="51"/>
      <c r="O241" s="51"/>
      <c r="P241" s="51"/>
      <c r="Q241" s="51"/>
      <c r="R241" s="51"/>
      <c r="S241" s="51"/>
      <c r="T241" s="51"/>
      <c r="U241" s="51"/>
      <c r="V241" s="51"/>
      <c r="W241" s="51"/>
      <c r="X241" s="51"/>
      <c r="Y241" s="51"/>
      <c r="Z241" s="51"/>
      <c r="AA241" s="51"/>
      <c r="AB241" s="51"/>
    </row>
    <row r="242" customFormat="false" ht="15.75" hidden="false" customHeight="false" outlineLevel="0" collapsed="false">
      <c r="A242" s="51"/>
      <c r="B242" s="51"/>
      <c r="C242" s="6"/>
      <c r="D242" s="49"/>
      <c r="E242" s="51"/>
      <c r="F242" s="6"/>
      <c r="G242" s="6"/>
      <c r="H242" s="6"/>
      <c r="I242" s="6"/>
      <c r="J242" s="6"/>
      <c r="K242" s="51"/>
      <c r="L242" s="51"/>
      <c r="M242" s="51"/>
      <c r="N242" s="51"/>
      <c r="O242" s="51"/>
      <c r="P242" s="51"/>
      <c r="Q242" s="51"/>
      <c r="R242" s="51"/>
      <c r="S242" s="51"/>
      <c r="T242" s="51"/>
      <c r="U242" s="51"/>
      <c r="V242" s="51"/>
      <c r="W242" s="51"/>
      <c r="X242" s="51"/>
      <c r="Y242" s="51"/>
      <c r="Z242" s="51"/>
      <c r="AA242" s="51"/>
      <c r="AB242" s="51"/>
    </row>
    <row r="243" customFormat="false" ht="15.75" hidden="false" customHeight="false" outlineLevel="0" collapsed="false">
      <c r="A243" s="51"/>
      <c r="B243" s="51"/>
      <c r="C243" s="6"/>
      <c r="D243" s="49"/>
      <c r="E243" s="51"/>
      <c r="F243" s="6"/>
      <c r="G243" s="6"/>
      <c r="H243" s="6"/>
      <c r="I243" s="6"/>
      <c r="J243" s="6"/>
      <c r="K243" s="51"/>
      <c r="L243" s="51"/>
      <c r="M243" s="51"/>
      <c r="N243" s="51"/>
      <c r="O243" s="51"/>
      <c r="P243" s="51"/>
      <c r="Q243" s="51"/>
      <c r="R243" s="51"/>
      <c r="S243" s="51"/>
      <c r="T243" s="51"/>
      <c r="U243" s="51"/>
      <c r="V243" s="51"/>
      <c r="W243" s="51"/>
      <c r="X243" s="51"/>
      <c r="Y243" s="51"/>
      <c r="Z243" s="51"/>
      <c r="AA243" s="51"/>
      <c r="AB243" s="51"/>
    </row>
    <row r="244" customFormat="false" ht="15.75" hidden="false" customHeight="false" outlineLevel="0" collapsed="false">
      <c r="A244" s="51"/>
      <c r="B244" s="51"/>
      <c r="C244" s="6"/>
      <c r="D244" s="49"/>
      <c r="E244" s="51"/>
      <c r="F244" s="6"/>
      <c r="G244" s="6"/>
      <c r="H244" s="6"/>
      <c r="I244" s="6"/>
      <c r="J244" s="6"/>
      <c r="K244" s="51"/>
      <c r="L244" s="51"/>
      <c r="M244" s="51"/>
      <c r="N244" s="51"/>
      <c r="O244" s="51"/>
      <c r="P244" s="51"/>
      <c r="Q244" s="51"/>
      <c r="R244" s="51"/>
      <c r="S244" s="51"/>
      <c r="T244" s="51"/>
      <c r="U244" s="51"/>
      <c r="V244" s="51"/>
      <c r="W244" s="51"/>
      <c r="X244" s="51"/>
      <c r="Y244" s="51"/>
      <c r="Z244" s="51"/>
      <c r="AA244" s="51"/>
      <c r="AB244" s="51"/>
    </row>
    <row r="245" customFormat="false" ht="15.75" hidden="false" customHeight="false" outlineLevel="0" collapsed="false">
      <c r="A245" s="51"/>
      <c r="B245" s="51"/>
      <c r="C245" s="6"/>
      <c r="D245" s="49"/>
      <c r="E245" s="51"/>
      <c r="F245" s="6"/>
      <c r="G245" s="6"/>
      <c r="H245" s="6"/>
      <c r="I245" s="6"/>
      <c r="J245" s="6"/>
      <c r="K245" s="51"/>
      <c r="L245" s="51"/>
      <c r="M245" s="51"/>
      <c r="N245" s="51"/>
      <c r="O245" s="51"/>
      <c r="P245" s="51"/>
      <c r="Q245" s="51"/>
      <c r="R245" s="51"/>
      <c r="S245" s="51"/>
      <c r="T245" s="51"/>
      <c r="U245" s="51"/>
      <c r="V245" s="51"/>
      <c r="W245" s="51"/>
      <c r="X245" s="51"/>
      <c r="Y245" s="51"/>
      <c r="Z245" s="51"/>
      <c r="AA245" s="51"/>
      <c r="AB245" s="51"/>
    </row>
    <row r="246" customFormat="false" ht="15.75" hidden="false" customHeight="false" outlineLevel="0" collapsed="false">
      <c r="A246" s="51"/>
      <c r="B246" s="51"/>
      <c r="C246" s="6"/>
      <c r="D246" s="49"/>
      <c r="E246" s="51"/>
      <c r="F246" s="6"/>
      <c r="G246" s="6"/>
      <c r="H246" s="6"/>
      <c r="I246" s="6"/>
      <c r="J246" s="6"/>
      <c r="K246" s="51"/>
      <c r="L246" s="51"/>
      <c r="M246" s="51"/>
      <c r="N246" s="51"/>
      <c r="O246" s="51"/>
      <c r="P246" s="51"/>
      <c r="Q246" s="51"/>
      <c r="R246" s="51"/>
      <c r="S246" s="51"/>
      <c r="T246" s="51"/>
      <c r="U246" s="51"/>
      <c r="V246" s="51"/>
      <c r="W246" s="51"/>
      <c r="X246" s="51"/>
      <c r="Y246" s="51"/>
      <c r="Z246" s="51"/>
      <c r="AA246" s="51"/>
      <c r="AB246" s="51"/>
    </row>
    <row r="247" customFormat="false" ht="15.75" hidden="false" customHeight="false" outlineLevel="0" collapsed="false">
      <c r="A247" s="51"/>
      <c r="B247" s="51"/>
      <c r="C247" s="6"/>
      <c r="D247" s="49"/>
      <c r="E247" s="51"/>
      <c r="F247" s="6"/>
      <c r="G247" s="6"/>
      <c r="H247" s="6"/>
      <c r="I247" s="6"/>
      <c r="J247" s="6"/>
      <c r="K247" s="51"/>
      <c r="L247" s="51"/>
      <c r="M247" s="51"/>
      <c r="N247" s="51"/>
      <c r="O247" s="51"/>
      <c r="P247" s="51"/>
      <c r="Q247" s="51"/>
      <c r="R247" s="51"/>
      <c r="S247" s="51"/>
      <c r="T247" s="51"/>
      <c r="U247" s="51"/>
      <c r="V247" s="51"/>
      <c r="W247" s="51"/>
      <c r="X247" s="51"/>
      <c r="Y247" s="51"/>
      <c r="Z247" s="51"/>
      <c r="AA247" s="51"/>
      <c r="AB247" s="51"/>
    </row>
    <row r="248" customFormat="false" ht="15.75" hidden="false" customHeight="false" outlineLevel="0" collapsed="false">
      <c r="A248" s="51"/>
      <c r="B248" s="51"/>
      <c r="C248" s="6"/>
      <c r="D248" s="49"/>
      <c r="E248" s="51"/>
      <c r="F248" s="6"/>
      <c r="G248" s="6"/>
      <c r="H248" s="6"/>
      <c r="I248" s="6"/>
      <c r="J248" s="6"/>
      <c r="K248" s="51"/>
      <c r="L248" s="51"/>
      <c r="M248" s="51"/>
      <c r="N248" s="51"/>
      <c r="O248" s="51"/>
      <c r="P248" s="51"/>
      <c r="Q248" s="51"/>
      <c r="R248" s="51"/>
      <c r="S248" s="51"/>
      <c r="T248" s="51"/>
      <c r="U248" s="51"/>
      <c r="V248" s="51"/>
      <c r="W248" s="51"/>
      <c r="X248" s="51"/>
      <c r="Y248" s="51"/>
      <c r="Z248" s="51"/>
      <c r="AA248" s="51"/>
      <c r="AB248" s="51"/>
    </row>
    <row r="249" customFormat="false" ht="15.75" hidden="false" customHeight="false" outlineLevel="0" collapsed="false">
      <c r="A249" s="51"/>
      <c r="B249" s="51"/>
      <c r="C249" s="6"/>
      <c r="D249" s="49"/>
      <c r="E249" s="51"/>
      <c r="F249" s="6"/>
      <c r="G249" s="6"/>
      <c r="H249" s="6"/>
      <c r="I249" s="6"/>
      <c r="J249" s="6"/>
      <c r="K249" s="51"/>
      <c r="L249" s="51"/>
      <c r="M249" s="51"/>
      <c r="N249" s="51"/>
      <c r="O249" s="51"/>
      <c r="P249" s="51"/>
      <c r="Q249" s="51"/>
      <c r="R249" s="51"/>
      <c r="S249" s="51"/>
      <c r="T249" s="51"/>
      <c r="U249" s="51"/>
      <c r="V249" s="51"/>
      <c r="W249" s="51"/>
      <c r="X249" s="51"/>
      <c r="Y249" s="51"/>
      <c r="Z249" s="51"/>
      <c r="AA249" s="51"/>
      <c r="AB249" s="51"/>
    </row>
    <row r="250" customFormat="false" ht="15.75" hidden="false" customHeight="false" outlineLevel="0" collapsed="false">
      <c r="A250" s="51"/>
      <c r="B250" s="51"/>
      <c r="C250" s="6"/>
      <c r="D250" s="49"/>
      <c r="E250" s="51"/>
      <c r="F250" s="6"/>
      <c r="G250" s="6"/>
      <c r="H250" s="6"/>
      <c r="I250" s="6"/>
      <c r="J250" s="6"/>
      <c r="K250" s="51"/>
      <c r="L250" s="51"/>
      <c r="M250" s="51"/>
      <c r="N250" s="51"/>
      <c r="O250" s="51"/>
      <c r="P250" s="51"/>
      <c r="Q250" s="51"/>
      <c r="R250" s="51"/>
      <c r="S250" s="51"/>
      <c r="T250" s="51"/>
      <c r="U250" s="51"/>
      <c r="V250" s="51"/>
      <c r="W250" s="51"/>
      <c r="X250" s="51"/>
      <c r="Y250" s="51"/>
      <c r="Z250" s="51"/>
      <c r="AA250" s="51"/>
      <c r="AB250" s="51"/>
    </row>
    <row r="251" customFormat="false" ht="15.75" hidden="false" customHeight="false" outlineLevel="0" collapsed="false">
      <c r="A251" s="51"/>
      <c r="B251" s="51"/>
      <c r="C251" s="6"/>
      <c r="D251" s="49"/>
      <c r="E251" s="51"/>
      <c r="F251" s="6"/>
      <c r="G251" s="6"/>
      <c r="H251" s="6"/>
      <c r="I251" s="6"/>
      <c r="J251" s="6"/>
      <c r="K251" s="51"/>
      <c r="L251" s="51"/>
      <c r="M251" s="51"/>
      <c r="N251" s="51"/>
      <c r="O251" s="51"/>
      <c r="P251" s="51"/>
      <c r="Q251" s="51"/>
      <c r="R251" s="51"/>
      <c r="S251" s="51"/>
      <c r="T251" s="51"/>
      <c r="U251" s="51"/>
      <c r="V251" s="51"/>
      <c r="W251" s="51"/>
      <c r="X251" s="51"/>
      <c r="Y251" s="51"/>
      <c r="Z251" s="51"/>
      <c r="AA251" s="51"/>
      <c r="AB251" s="51"/>
    </row>
    <row r="252" customFormat="false" ht="15.75" hidden="false" customHeight="false" outlineLevel="0" collapsed="false">
      <c r="A252" s="51"/>
      <c r="B252" s="51"/>
      <c r="C252" s="6"/>
      <c r="D252" s="49"/>
      <c r="E252" s="51"/>
      <c r="F252" s="6"/>
      <c r="G252" s="6"/>
      <c r="H252" s="6"/>
      <c r="I252" s="6"/>
      <c r="J252" s="6"/>
      <c r="K252" s="51"/>
      <c r="L252" s="51"/>
      <c r="M252" s="51"/>
      <c r="N252" s="51"/>
      <c r="O252" s="51"/>
      <c r="P252" s="51"/>
      <c r="Q252" s="51"/>
      <c r="R252" s="51"/>
      <c r="S252" s="51"/>
      <c r="T252" s="51"/>
      <c r="U252" s="51"/>
      <c r="V252" s="51"/>
      <c r="W252" s="51"/>
      <c r="X252" s="51"/>
      <c r="Y252" s="51"/>
      <c r="Z252" s="51"/>
      <c r="AA252" s="51"/>
      <c r="AB252" s="51"/>
    </row>
    <row r="253" customFormat="false" ht="15.75" hidden="false" customHeight="false" outlineLevel="0" collapsed="false">
      <c r="A253" s="51"/>
      <c r="B253" s="51"/>
      <c r="C253" s="6"/>
      <c r="D253" s="49"/>
      <c r="E253" s="51"/>
      <c r="F253" s="6"/>
      <c r="G253" s="6"/>
      <c r="H253" s="6"/>
      <c r="I253" s="6"/>
      <c r="J253" s="6"/>
      <c r="K253" s="51"/>
      <c r="L253" s="51"/>
      <c r="M253" s="51"/>
      <c r="N253" s="51"/>
      <c r="O253" s="51"/>
      <c r="P253" s="51"/>
      <c r="Q253" s="51"/>
      <c r="R253" s="51"/>
      <c r="S253" s="51"/>
      <c r="T253" s="51"/>
      <c r="U253" s="51"/>
      <c r="V253" s="51"/>
      <c r="W253" s="51"/>
      <c r="X253" s="51"/>
      <c r="Y253" s="51"/>
      <c r="Z253" s="51"/>
      <c r="AA253" s="51"/>
      <c r="AB253" s="51"/>
    </row>
    <row r="254" customFormat="false" ht="15.75" hidden="false" customHeight="false" outlineLevel="0" collapsed="false">
      <c r="A254" s="51"/>
      <c r="B254" s="51"/>
      <c r="C254" s="6"/>
      <c r="D254" s="49"/>
      <c r="E254" s="51"/>
      <c r="F254" s="6"/>
      <c r="G254" s="6"/>
      <c r="H254" s="6"/>
      <c r="I254" s="6"/>
      <c r="J254" s="6"/>
      <c r="K254" s="51"/>
      <c r="L254" s="51"/>
      <c r="M254" s="51"/>
      <c r="N254" s="51"/>
      <c r="O254" s="51"/>
      <c r="P254" s="51"/>
      <c r="Q254" s="51"/>
      <c r="R254" s="51"/>
      <c r="S254" s="51"/>
      <c r="T254" s="51"/>
      <c r="U254" s="51"/>
      <c r="V254" s="51"/>
      <c r="W254" s="51"/>
      <c r="X254" s="51"/>
      <c r="Y254" s="51"/>
      <c r="Z254" s="51"/>
      <c r="AA254" s="51"/>
      <c r="AB254" s="51"/>
    </row>
    <row r="255" customFormat="false" ht="15.75" hidden="false" customHeight="false" outlineLevel="0" collapsed="false">
      <c r="A255" s="51"/>
      <c r="B255" s="51"/>
      <c r="C255" s="6"/>
      <c r="D255" s="49"/>
      <c r="E255" s="51"/>
      <c r="F255" s="6"/>
      <c r="G255" s="6"/>
      <c r="H255" s="6"/>
      <c r="I255" s="6"/>
      <c r="J255" s="6"/>
      <c r="K255" s="51"/>
      <c r="L255" s="51"/>
      <c r="M255" s="51"/>
      <c r="N255" s="51"/>
      <c r="O255" s="51"/>
      <c r="P255" s="51"/>
      <c r="Q255" s="51"/>
      <c r="R255" s="51"/>
      <c r="S255" s="51"/>
      <c r="T255" s="51"/>
      <c r="U255" s="51"/>
      <c r="V255" s="51"/>
      <c r="W255" s="51"/>
      <c r="X255" s="51"/>
      <c r="Y255" s="51"/>
      <c r="Z255" s="51"/>
      <c r="AA255" s="51"/>
      <c r="AB255" s="51"/>
    </row>
    <row r="256" customFormat="false" ht="15.75" hidden="false" customHeight="false" outlineLevel="0" collapsed="false">
      <c r="A256" s="51"/>
      <c r="B256" s="51"/>
      <c r="C256" s="6"/>
      <c r="D256" s="49"/>
      <c r="E256" s="51"/>
      <c r="F256" s="6"/>
      <c r="G256" s="6"/>
      <c r="H256" s="6"/>
      <c r="I256" s="6"/>
      <c r="J256" s="6"/>
      <c r="K256" s="51"/>
      <c r="L256" s="51"/>
      <c r="M256" s="51"/>
      <c r="N256" s="51"/>
      <c r="O256" s="51"/>
      <c r="P256" s="51"/>
      <c r="Q256" s="51"/>
      <c r="R256" s="51"/>
      <c r="S256" s="51"/>
      <c r="T256" s="51"/>
      <c r="U256" s="51"/>
      <c r="V256" s="51"/>
      <c r="W256" s="51"/>
      <c r="X256" s="51"/>
      <c r="Y256" s="51"/>
      <c r="Z256" s="51"/>
      <c r="AA256" s="51"/>
      <c r="AB256" s="51"/>
    </row>
    <row r="257" customFormat="false" ht="15.75" hidden="false" customHeight="false" outlineLevel="0" collapsed="false">
      <c r="A257" s="51"/>
      <c r="B257" s="51"/>
      <c r="C257" s="6"/>
      <c r="D257" s="49"/>
      <c r="E257" s="51"/>
      <c r="F257" s="6"/>
      <c r="G257" s="6"/>
      <c r="H257" s="6"/>
      <c r="I257" s="6"/>
      <c r="J257" s="6"/>
      <c r="K257" s="51"/>
      <c r="L257" s="51"/>
      <c r="M257" s="51"/>
      <c r="N257" s="51"/>
      <c r="O257" s="51"/>
      <c r="P257" s="51"/>
      <c r="Q257" s="51"/>
      <c r="R257" s="51"/>
      <c r="S257" s="51"/>
      <c r="T257" s="51"/>
      <c r="U257" s="51"/>
      <c r="V257" s="51"/>
      <c r="W257" s="51"/>
      <c r="X257" s="51"/>
      <c r="Y257" s="51"/>
      <c r="Z257" s="51"/>
      <c r="AA257" s="51"/>
      <c r="AB257" s="51"/>
    </row>
    <row r="258" customFormat="false" ht="15.75" hidden="false" customHeight="false" outlineLevel="0" collapsed="false">
      <c r="A258" s="51"/>
      <c r="B258" s="51"/>
      <c r="C258" s="6"/>
      <c r="D258" s="49"/>
      <c r="E258" s="51"/>
      <c r="F258" s="6"/>
      <c r="G258" s="6"/>
      <c r="H258" s="6"/>
      <c r="I258" s="6"/>
      <c r="J258" s="6"/>
      <c r="K258" s="51"/>
      <c r="L258" s="51"/>
      <c r="M258" s="51"/>
      <c r="N258" s="51"/>
      <c r="O258" s="51"/>
      <c r="P258" s="51"/>
      <c r="Q258" s="51"/>
      <c r="R258" s="51"/>
      <c r="S258" s="51"/>
      <c r="T258" s="51"/>
      <c r="U258" s="51"/>
      <c r="V258" s="51"/>
      <c r="W258" s="51"/>
      <c r="X258" s="51"/>
      <c r="Y258" s="51"/>
      <c r="Z258" s="51"/>
      <c r="AA258" s="51"/>
      <c r="AB258" s="51"/>
    </row>
    <row r="259" customFormat="false" ht="15.75" hidden="false" customHeight="false" outlineLevel="0" collapsed="false">
      <c r="A259" s="51"/>
      <c r="B259" s="51"/>
      <c r="C259" s="6"/>
      <c r="D259" s="49"/>
      <c r="E259" s="51"/>
      <c r="F259" s="6"/>
      <c r="G259" s="6"/>
      <c r="H259" s="6"/>
      <c r="I259" s="6"/>
      <c r="J259" s="6"/>
      <c r="K259" s="51"/>
      <c r="L259" s="51"/>
      <c r="M259" s="51"/>
      <c r="N259" s="51"/>
      <c r="O259" s="51"/>
      <c r="P259" s="51"/>
      <c r="Q259" s="51"/>
      <c r="R259" s="51"/>
      <c r="S259" s="51"/>
      <c r="T259" s="51"/>
      <c r="U259" s="51"/>
      <c r="V259" s="51"/>
      <c r="W259" s="51"/>
      <c r="X259" s="51"/>
      <c r="Y259" s="51"/>
      <c r="Z259" s="51"/>
      <c r="AA259" s="51"/>
      <c r="AB259" s="51"/>
    </row>
    <row r="260" customFormat="false" ht="15.75" hidden="false" customHeight="false" outlineLevel="0" collapsed="false">
      <c r="A260" s="51"/>
      <c r="B260" s="51"/>
      <c r="C260" s="6"/>
      <c r="D260" s="49"/>
      <c r="E260" s="51"/>
      <c r="F260" s="6"/>
      <c r="G260" s="6"/>
      <c r="H260" s="6"/>
      <c r="I260" s="6"/>
      <c r="J260" s="6"/>
      <c r="K260" s="51"/>
      <c r="L260" s="51"/>
      <c r="M260" s="51"/>
      <c r="N260" s="51"/>
      <c r="O260" s="51"/>
      <c r="P260" s="51"/>
      <c r="Q260" s="51"/>
      <c r="R260" s="51"/>
      <c r="S260" s="51"/>
      <c r="T260" s="51"/>
      <c r="U260" s="51"/>
      <c r="V260" s="51"/>
      <c r="W260" s="51"/>
      <c r="X260" s="51"/>
      <c r="Y260" s="51"/>
      <c r="Z260" s="51"/>
      <c r="AA260" s="51"/>
      <c r="AB260" s="51"/>
    </row>
    <row r="261" customFormat="false" ht="15.75" hidden="false" customHeight="false" outlineLevel="0" collapsed="false">
      <c r="A261" s="51"/>
      <c r="B261" s="51"/>
      <c r="C261" s="6"/>
      <c r="D261" s="49"/>
      <c r="E261" s="51"/>
      <c r="F261" s="6"/>
      <c r="G261" s="6"/>
      <c r="H261" s="6"/>
      <c r="I261" s="6"/>
      <c r="J261" s="6"/>
      <c r="K261" s="51"/>
      <c r="L261" s="51"/>
      <c r="M261" s="51"/>
      <c r="N261" s="51"/>
      <c r="O261" s="51"/>
      <c r="P261" s="51"/>
      <c r="Q261" s="51"/>
      <c r="R261" s="51"/>
      <c r="S261" s="51"/>
      <c r="T261" s="51"/>
      <c r="U261" s="51"/>
      <c r="V261" s="51"/>
      <c r="W261" s="51"/>
      <c r="X261" s="51"/>
      <c r="Y261" s="51"/>
      <c r="Z261" s="51"/>
      <c r="AA261" s="51"/>
      <c r="AB261" s="51"/>
    </row>
    <row r="262" customFormat="false" ht="15.75" hidden="false" customHeight="false" outlineLevel="0" collapsed="false">
      <c r="A262" s="51"/>
      <c r="B262" s="51"/>
      <c r="C262" s="6"/>
      <c r="D262" s="49"/>
      <c r="E262" s="51"/>
      <c r="F262" s="6"/>
      <c r="G262" s="6"/>
      <c r="H262" s="6"/>
      <c r="I262" s="6"/>
      <c r="J262" s="6"/>
      <c r="K262" s="51"/>
      <c r="L262" s="51"/>
      <c r="M262" s="51"/>
      <c r="N262" s="51"/>
      <c r="O262" s="51"/>
      <c r="P262" s="51"/>
      <c r="Q262" s="51"/>
      <c r="R262" s="51"/>
      <c r="S262" s="51"/>
      <c r="T262" s="51"/>
      <c r="U262" s="51"/>
      <c r="V262" s="51"/>
      <c r="W262" s="51"/>
      <c r="X262" s="51"/>
      <c r="Y262" s="51"/>
      <c r="Z262" s="51"/>
      <c r="AA262" s="51"/>
      <c r="AB262" s="51"/>
    </row>
    <row r="263" customFormat="false" ht="15.75" hidden="false" customHeight="false" outlineLevel="0" collapsed="false">
      <c r="A263" s="51"/>
      <c r="B263" s="51"/>
      <c r="C263" s="6"/>
      <c r="D263" s="49"/>
      <c r="E263" s="51"/>
      <c r="F263" s="6"/>
      <c r="G263" s="6"/>
      <c r="H263" s="6"/>
      <c r="I263" s="6"/>
      <c r="J263" s="6"/>
      <c r="K263" s="51"/>
      <c r="L263" s="51"/>
      <c r="M263" s="51"/>
      <c r="N263" s="51"/>
      <c r="O263" s="51"/>
      <c r="P263" s="51"/>
      <c r="Q263" s="51"/>
      <c r="R263" s="51"/>
      <c r="S263" s="51"/>
      <c r="T263" s="51"/>
      <c r="U263" s="51"/>
      <c r="V263" s="51"/>
      <c r="W263" s="51"/>
      <c r="X263" s="51"/>
      <c r="Y263" s="51"/>
      <c r="Z263" s="51"/>
      <c r="AA263" s="51"/>
      <c r="AB263" s="51"/>
    </row>
    <row r="264" customFormat="false" ht="15.75" hidden="false" customHeight="false" outlineLevel="0" collapsed="false">
      <c r="A264" s="51"/>
      <c r="B264" s="51"/>
      <c r="C264" s="6"/>
      <c r="D264" s="49"/>
      <c r="E264" s="51"/>
      <c r="F264" s="6"/>
      <c r="G264" s="6"/>
      <c r="H264" s="6"/>
      <c r="I264" s="6"/>
      <c r="J264" s="6"/>
      <c r="K264" s="51"/>
      <c r="L264" s="51"/>
      <c r="M264" s="51"/>
      <c r="N264" s="51"/>
      <c r="O264" s="51"/>
      <c r="P264" s="51"/>
      <c r="Q264" s="51"/>
      <c r="R264" s="51"/>
      <c r="S264" s="51"/>
      <c r="T264" s="51"/>
      <c r="U264" s="51"/>
      <c r="V264" s="51"/>
      <c r="W264" s="51"/>
      <c r="X264" s="51"/>
      <c r="Y264" s="51"/>
      <c r="Z264" s="51"/>
      <c r="AA264" s="51"/>
      <c r="AB264" s="51"/>
    </row>
    <row r="265" customFormat="false" ht="15.75" hidden="false" customHeight="false" outlineLevel="0" collapsed="false">
      <c r="A265" s="51"/>
      <c r="B265" s="51"/>
      <c r="C265" s="6"/>
      <c r="D265" s="49"/>
      <c r="E265" s="51"/>
      <c r="F265" s="6"/>
      <c r="G265" s="6"/>
      <c r="H265" s="6"/>
      <c r="I265" s="6"/>
      <c r="J265" s="6"/>
      <c r="K265" s="51"/>
      <c r="L265" s="51"/>
      <c r="M265" s="51"/>
      <c r="N265" s="51"/>
      <c r="O265" s="51"/>
      <c r="P265" s="51"/>
      <c r="Q265" s="51"/>
      <c r="R265" s="51"/>
      <c r="S265" s="51"/>
      <c r="T265" s="51"/>
      <c r="U265" s="51"/>
      <c r="V265" s="51"/>
      <c r="W265" s="51"/>
      <c r="X265" s="51"/>
      <c r="Y265" s="51"/>
      <c r="Z265" s="51"/>
      <c r="AA265" s="51"/>
      <c r="AB265" s="51"/>
    </row>
    <row r="266" customFormat="false" ht="15.75" hidden="false" customHeight="false" outlineLevel="0" collapsed="false">
      <c r="A266" s="51"/>
      <c r="B266" s="51"/>
      <c r="C266" s="6"/>
      <c r="D266" s="49"/>
      <c r="E266" s="51"/>
      <c r="F266" s="6"/>
      <c r="G266" s="6"/>
      <c r="H266" s="6"/>
      <c r="I266" s="6"/>
      <c r="J266" s="6"/>
      <c r="K266" s="51"/>
      <c r="L266" s="51"/>
      <c r="M266" s="51"/>
      <c r="N266" s="51"/>
      <c r="O266" s="51"/>
      <c r="P266" s="51"/>
      <c r="Q266" s="51"/>
      <c r="R266" s="51"/>
      <c r="S266" s="51"/>
      <c r="T266" s="51"/>
      <c r="U266" s="51"/>
      <c r="V266" s="51"/>
      <c r="W266" s="51"/>
      <c r="X266" s="51"/>
      <c r="Y266" s="51"/>
      <c r="Z266" s="51"/>
      <c r="AA266" s="51"/>
      <c r="AB266" s="51"/>
    </row>
    <row r="267" customFormat="false" ht="15.75" hidden="false" customHeight="false" outlineLevel="0" collapsed="false">
      <c r="A267" s="51"/>
      <c r="B267" s="51"/>
      <c r="C267" s="6"/>
      <c r="D267" s="49"/>
      <c r="E267" s="51"/>
      <c r="F267" s="6"/>
      <c r="G267" s="6"/>
      <c r="H267" s="6"/>
      <c r="I267" s="6"/>
      <c r="J267" s="6"/>
      <c r="K267" s="51"/>
      <c r="L267" s="51"/>
      <c r="M267" s="51"/>
      <c r="N267" s="51"/>
      <c r="O267" s="51"/>
      <c r="P267" s="51"/>
      <c r="Q267" s="51"/>
      <c r="R267" s="51"/>
      <c r="S267" s="51"/>
      <c r="T267" s="51"/>
      <c r="U267" s="51"/>
      <c r="V267" s="51"/>
      <c r="W267" s="51"/>
      <c r="X267" s="51"/>
      <c r="Y267" s="51"/>
      <c r="Z267" s="51"/>
      <c r="AA267" s="51"/>
      <c r="AB267" s="51"/>
    </row>
    <row r="268" customFormat="false" ht="15.75" hidden="false" customHeight="false" outlineLevel="0" collapsed="false">
      <c r="A268" s="51"/>
      <c r="B268" s="51"/>
      <c r="C268" s="6"/>
      <c r="D268" s="49"/>
      <c r="E268" s="51"/>
      <c r="F268" s="6"/>
      <c r="G268" s="6"/>
      <c r="H268" s="6"/>
      <c r="I268" s="6"/>
      <c r="J268" s="6"/>
      <c r="K268" s="51"/>
      <c r="L268" s="51"/>
      <c r="M268" s="51"/>
      <c r="N268" s="51"/>
      <c r="O268" s="51"/>
      <c r="P268" s="51"/>
      <c r="Q268" s="51"/>
      <c r="R268" s="51"/>
      <c r="S268" s="51"/>
      <c r="T268" s="51"/>
      <c r="U268" s="51"/>
      <c r="V268" s="51"/>
      <c r="W268" s="51"/>
      <c r="X268" s="51"/>
      <c r="Y268" s="51"/>
      <c r="Z268" s="51"/>
      <c r="AA268" s="51"/>
      <c r="AB268" s="51"/>
    </row>
    <row r="269" customFormat="false" ht="15.75" hidden="false" customHeight="false" outlineLevel="0" collapsed="false">
      <c r="A269" s="51"/>
      <c r="B269" s="51"/>
      <c r="C269" s="6"/>
      <c r="D269" s="49"/>
      <c r="E269" s="51"/>
      <c r="F269" s="6"/>
      <c r="G269" s="6"/>
      <c r="H269" s="6"/>
      <c r="I269" s="6"/>
      <c r="J269" s="6"/>
      <c r="K269" s="51"/>
      <c r="L269" s="51"/>
      <c r="M269" s="51"/>
      <c r="N269" s="51"/>
      <c r="O269" s="51"/>
      <c r="P269" s="51"/>
      <c r="Q269" s="51"/>
      <c r="R269" s="51"/>
      <c r="S269" s="51"/>
      <c r="T269" s="51"/>
      <c r="U269" s="51"/>
      <c r="V269" s="51"/>
      <c r="W269" s="51"/>
      <c r="X269" s="51"/>
      <c r="Y269" s="51"/>
      <c r="Z269" s="51"/>
      <c r="AA269" s="51"/>
      <c r="AB269" s="51"/>
    </row>
    <row r="270" customFormat="false" ht="15.75" hidden="false" customHeight="false" outlineLevel="0" collapsed="false">
      <c r="A270" s="51"/>
      <c r="B270" s="51"/>
      <c r="C270" s="6"/>
      <c r="D270" s="49"/>
      <c r="E270" s="51"/>
      <c r="F270" s="6"/>
      <c r="G270" s="6"/>
      <c r="H270" s="6"/>
      <c r="I270" s="6"/>
      <c r="J270" s="6"/>
      <c r="K270" s="51"/>
      <c r="L270" s="51"/>
      <c r="M270" s="51"/>
      <c r="N270" s="51"/>
      <c r="O270" s="51"/>
      <c r="P270" s="51"/>
      <c r="Q270" s="51"/>
      <c r="R270" s="51"/>
      <c r="S270" s="51"/>
      <c r="T270" s="51"/>
      <c r="U270" s="51"/>
      <c r="V270" s="51"/>
      <c r="W270" s="51"/>
      <c r="X270" s="51"/>
      <c r="Y270" s="51"/>
      <c r="Z270" s="51"/>
      <c r="AA270" s="51"/>
      <c r="AB270" s="51"/>
    </row>
    <row r="271" customFormat="false" ht="15.75" hidden="false" customHeight="false" outlineLevel="0" collapsed="false">
      <c r="A271" s="51"/>
      <c r="B271" s="51"/>
      <c r="C271" s="6"/>
      <c r="D271" s="49"/>
      <c r="E271" s="51"/>
      <c r="F271" s="6"/>
      <c r="G271" s="6"/>
      <c r="H271" s="6"/>
      <c r="I271" s="6"/>
      <c r="J271" s="6"/>
      <c r="K271" s="51"/>
      <c r="L271" s="51"/>
      <c r="M271" s="51"/>
      <c r="N271" s="51"/>
      <c r="O271" s="51"/>
      <c r="P271" s="51"/>
      <c r="Q271" s="51"/>
      <c r="R271" s="51"/>
      <c r="S271" s="51"/>
      <c r="T271" s="51"/>
      <c r="U271" s="51"/>
      <c r="V271" s="51"/>
      <c r="W271" s="51"/>
      <c r="X271" s="51"/>
      <c r="Y271" s="51"/>
      <c r="Z271" s="51"/>
      <c r="AA271" s="51"/>
      <c r="AB271" s="51"/>
    </row>
    <row r="272" customFormat="false" ht="15.75" hidden="false" customHeight="false" outlineLevel="0" collapsed="false">
      <c r="A272" s="51"/>
      <c r="B272" s="51"/>
      <c r="C272" s="6"/>
      <c r="D272" s="49"/>
      <c r="E272" s="51"/>
      <c r="F272" s="6"/>
      <c r="G272" s="6"/>
      <c r="H272" s="6"/>
      <c r="I272" s="6"/>
      <c r="J272" s="6"/>
      <c r="K272" s="51"/>
      <c r="L272" s="51"/>
      <c r="M272" s="51"/>
      <c r="N272" s="51"/>
      <c r="O272" s="51"/>
      <c r="P272" s="51"/>
      <c r="Q272" s="51"/>
      <c r="R272" s="51"/>
      <c r="S272" s="51"/>
      <c r="T272" s="51"/>
      <c r="U272" s="51"/>
      <c r="V272" s="51"/>
      <c r="W272" s="51"/>
      <c r="X272" s="51"/>
      <c r="Y272" s="51"/>
      <c r="Z272" s="51"/>
      <c r="AA272" s="51"/>
      <c r="AB272" s="51"/>
    </row>
    <row r="273" customFormat="false" ht="15.75" hidden="false" customHeight="false" outlineLevel="0" collapsed="false">
      <c r="A273" s="51"/>
      <c r="B273" s="51"/>
      <c r="C273" s="6"/>
      <c r="D273" s="49"/>
      <c r="E273" s="51"/>
      <c r="F273" s="6"/>
      <c r="G273" s="6"/>
      <c r="H273" s="6"/>
      <c r="I273" s="6"/>
      <c r="J273" s="6"/>
      <c r="K273" s="51"/>
      <c r="L273" s="51"/>
      <c r="M273" s="51"/>
      <c r="N273" s="51"/>
      <c r="O273" s="51"/>
      <c r="P273" s="51"/>
      <c r="Q273" s="51"/>
      <c r="R273" s="51"/>
      <c r="S273" s="51"/>
      <c r="T273" s="51"/>
      <c r="U273" s="51"/>
      <c r="V273" s="51"/>
      <c r="W273" s="51"/>
      <c r="X273" s="51"/>
      <c r="Y273" s="51"/>
      <c r="Z273" s="51"/>
      <c r="AA273" s="51"/>
      <c r="AB273" s="51"/>
    </row>
    <row r="274" customFormat="false" ht="15.75" hidden="false" customHeight="false" outlineLevel="0" collapsed="false">
      <c r="A274" s="51"/>
      <c r="B274" s="51"/>
      <c r="C274" s="6"/>
      <c r="D274" s="49"/>
      <c r="E274" s="51"/>
      <c r="F274" s="6"/>
      <c r="G274" s="6"/>
      <c r="H274" s="6"/>
      <c r="I274" s="6"/>
      <c r="J274" s="6"/>
      <c r="K274" s="51"/>
      <c r="L274" s="51"/>
      <c r="M274" s="51"/>
      <c r="N274" s="51"/>
      <c r="O274" s="51"/>
      <c r="P274" s="51"/>
      <c r="Q274" s="51"/>
      <c r="R274" s="51"/>
      <c r="S274" s="51"/>
      <c r="T274" s="51"/>
      <c r="U274" s="51"/>
      <c r="V274" s="51"/>
      <c r="W274" s="51"/>
      <c r="X274" s="51"/>
      <c r="Y274" s="51"/>
      <c r="Z274" s="51"/>
      <c r="AA274" s="51"/>
      <c r="AB274" s="51"/>
    </row>
    <row r="275" customFormat="false" ht="15.75" hidden="false" customHeight="false" outlineLevel="0" collapsed="false">
      <c r="A275" s="51"/>
      <c r="B275" s="51"/>
      <c r="C275" s="6"/>
      <c r="D275" s="49"/>
      <c r="E275" s="51"/>
      <c r="F275" s="6"/>
      <c r="G275" s="6"/>
      <c r="H275" s="6"/>
      <c r="I275" s="6"/>
      <c r="J275" s="6"/>
      <c r="K275" s="51"/>
      <c r="L275" s="51"/>
      <c r="M275" s="51"/>
      <c r="N275" s="51"/>
      <c r="O275" s="51"/>
      <c r="P275" s="51"/>
      <c r="Q275" s="51"/>
      <c r="R275" s="51"/>
      <c r="S275" s="51"/>
      <c r="T275" s="51"/>
      <c r="U275" s="51"/>
      <c r="V275" s="51"/>
      <c r="W275" s="51"/>
      <c r="X275" s="51"/>
      <c r="Y275" s="51"/>
      <c r="Z275" s="51"/>
      <c r="AA275" s="51"/>
      <c r="AB275" s="51"/>
    </row>
    <row r="276" customFormat="false" ht="15.75" hidden="false" customHeight="false" outlineLevel="0" collapsed="false">
      <c r="A276" s="51"/>
      <c r="B276" s="51"/>
      <c r="C276" s="6"/>
      <c r="D276" s="49"/>
      <c r="E276" s="51"/>
      <c r="F276" s="6"/>
      <c r="G276" s="6"/>
      <c r="H276" s="6"/>
      <c r="I276" s="6"/>
      <c r="J276" s="6"/>
      <c r="K276" s="51"/>
      <c r="L276" s="51"/>
      <c r="M276" s="51"/>
      <c r="N276" s="51"/>
      <c r="O276" s="51"/>
      <c r="P276" s="51"/>
      <c r="Q276" s="51"/>
      <c r="R276" s="51"/>
      <c r="S276" s="51"/>
      <c r="T276" s="51"/>
      <c r="U276" s="51"/>
      <c r="V276" s="51"/>
      <c r="W276" s="51"/>
      <c r="X276" s="51"/>
      <c r="Y276" s="51"/>
      <c r="Z276" s="51"/>
      <c r="AA276" s="51"/>
      <c r="AB276" s="51"/>
    </row>
    <row r="277" customFormat="false" ht="15.75" hidden="false" customHeight="false" outlineLevel="0" collapsed="false">
      <c r="A277" s="51"/>
      <c r="B277" s="51"/>
      <c r="C277" s="6"/>
      <c r="D277" s="49"/>
      <c r="E277" s="51"/>
      <c r="F277" s="6"/>
      <c r="G277" s="6"/>
      <c r="H277" s="6"/>
      <c r="I277" s="6"/>
      <c r="J277" s="6"/>
      <c r="K277" s="51"/>
      <c r="L277" s="51"/>
      <c r="M277" s="51"/>
      <c r="N277" s="51"/>
      <c r="O277" s="51"/>
      <c r="P277" s="51"/>
      <c r="Q277" s="51"/>
      <c r="R277" s="51"/>
      <c r="S277" s="51"/>
      <c r="T277" s="51"/>
      <c r="U277" s="51"/>
      <c r="V277" s="51"/>
      <c r="W277" s="51"/>
      <c r="X277" s="51"/>
      <c r="Y277" s="51"/>
      <c r="Z277" s="51"/>
      <c r="AA277" s="51"/>
      <c r="AB277" s="51"/>
    </row>
    <row r="278" customFormat="false" ht="15.75" hidden="false" customHeight="false" outlineLevel="0" collapsed="false">
      <c r="A278" s="51"/>
      <c r="B278" s="51"/>
      <c r="C278" s="6"/>
      <c r="D278" s="49"/>
      <c r="E278" s="51"/>
      <c r="F278" s="6"/>
      <c r="G278" s="6"/>
      <c r="H278" s="6"/>
      <c r="I278" s="6"/>
      <c r="J278" s="6"/>
      <c r="K278" s="51"/>
      <c r="L278" s="51"/>
      <c r="M278" s="51"/>
      <c r="N278" s="51"/>
      <c r="O278" s="51"/>
      <c r="P278" s="51"/>
      <c r="Q278" s="51"/>
      <c r="R278" s="51"/>
      <c r="S278" s="51"/>
      <c r="T278" s="51"/>
      <c r="U278" s="51"/>
      <c r="V278" s="51"/>
      <c r="W278" s="51"/>
      <c r="X278" s="51"/>
      <c r="Y278" s="51"/>
      <c r="Z278" s="51"/>
      <c r="AA278" s="51"/>
      <c r="AB278" s="51"/>
    </row>
    <row r="279" customFormat="false" ht="15.75" hidden="false" customHeight="false" outlineLevel="0" collapsed="false">
      <c r="A279" s="51"/>
      <c r="B279" s="51"/>
      <c r="C279" s="6"/>
      <c r="D279" s="49"/>
      <c r="E279" s="51"/>
      <c r="F279" s="6"/>
      <c r="G279" s="6"/>
      <c r="H279" s="6"/>
      <c r="I279" s="6"/>
      <c r="J279" s="6"/>
      <c r="K279" s="51"/>
      <c r="L279" s="51"/>
      <c r="M279" s="51"/>
      <c r="N279" s="51"/>
      <c r="O279" s="51"/>
      <c r="P279" s="51"/>
      <c r="Q279" s="51"/>
      <c r="R279" s="51"/>
      <c r="S279" s="51"/>
      <c r="T279" s="51"/>
      <c r="U279" s="51"/>
      <c r="V279" s="51"/>
      <c r="W279" s="51"/>
      <c r="X279" s="51"/>
      <c r="Y279" s="51"/>
      <c r="Z279" s="51"/>
      <c r="AA279" s="51"/>
      <c r="AB279" s="51"/>
    </row>
    <row r="280" customFormat="false" ht="15.75" hidden="false" customHeight="false" outlineLevel="0" collapsed="false">
      <c r="A280" s="51"/>
      <c r="B280" s="51"/>
      <c r="C280" s="6"/>
      <c r="D280" s="49"/>
      <c r="E280" s="51"/>
      <c r="F280" s="6"/>
      <c r="G280" s="6"/>
      <c r="H280" s="6"/>
      <c r="I280" s="6"/>
      <c r="J280" s="6"/>
      <c r="K280" s="51"/>
      <c r="L280" s="51"/>
      <c r="M280" s="51"/>
      <c r="N280" s="51"/>
      <c r="O280" s="51"/>
      <c r="P280" s="51"/>
      <c r="Q280" s="51"/>
      <c r="R280" s="51"/>
      <c r="S280" s="51"/>
      <c r="T280" s="51"/>
      <c r="U280" s="51"/>
      <c r="V280" s="51"/>
      <c r="W280" s="51"/>
      <c r="X280" s="51"/>
      <c r="Y280" s="51"/>
      <c r="Z280" s="51"/>
      <c r="AA280" s="51"/>
      <c r="AB280" s="51"/>
    </row>
    <row r="281" customFormat="false" ht="15.75" hidden="false" customHeight="false" outlineLevel="0" collapsed="false">
      <c r="A281" s="51"/>
      <c r="B281" s="51"/>
      <c r="C281" s="6"/>
      <c r="D281" s="49"/>
      <c r="E281" s="51"/>
      <c r="F281" s="6"/>
      <c r="G281" s="6"/>
      <c r="H281" s="6"/>
      <c r="I281" s="6"/>
      <c r="J281" s="6"/>
      <c r="K281" s="51"/>
      <c r="L281" s="51"/>
      <c r="M281" s="51"/>
      <c r="N281" s="51"/>
      <c r="O281" s="51"/>
      <c r="P281" s="51"/>
      <c r="Q281" s="51"/>
      <c r="R281" s="51"/>
      <c r="S281" s="51"/>
      <c r="T281" s="51"/>
      <c r="U281" s="51"/>
      <c r="V281" s="51"/>
      <c r="W281" s="51"/>
      <c r="X281" s="51"/>
      <c r="Y281" s="51"/>
      <c r="Z281" s="51"/>
      <c r="AA281" s="51"/>
      <c r="AB281" s="51"/>
    </row>
    <row r="282" customFormat="false" ht="15.75" hidden="false" customHeight="false" outlineLevel="0" collapsed="false">
      <c r="A282" s="51"/>
      <c r="B282" s="51"/>
      <c r="C282" s="6"/>
      <c r="D282" s="49"/>
      <c r="E282" s="51"/>
      <c r="F282" s="6"/>
      <c r="G282" s="6"/>
      <c r="H282" s="6"/>
      <c r="I282" s="6"/>
      <c r="J282" s="6"/>
      <c r="K282" s="51"/>
      <c r="L282" s="51"/>
      <c r="M282" s="51"/>
      <c r="N282" s="51"/>
      <c r="O282" s="51"/>
      <c r="P282" s="51"/>
      <c r="Q282" s="51"/>
      <c r="R282" s="51"/>
      <c r="S282" s="51"/>
      <c r="T282" s="51"/>
      <c r="U282" s="51"/>
      <c r="V282" s="51"/>
      <c r="W282" s="51"/>
      <c r="X282" s="51"/>
      <c r="Y282" s="51"/>
      <c r="Z282" s="51"/>
      <c r="AA282" s="51"/>
      <c r="AB282" s="51"/>
    </row>
    <row r="283" customFormat="false" ht="15.75" hidden="false" customHeight="false" outlineLevel="0" collapsed="false">
      <c r="A283" s="51"/>
      <c r="B283" s="51"/>
      <c r="C283" s="6"/>
      <c r="D283" s="49"/>
      <c r="E283" s="51"/>
      <c r="F283" s="6"/>
      <c r="G283" s="6"/>
      <c r="H283" s="6"/>
      <c r="I283" s="6"/>
      <c r="J283" s="6"/>
      <c r="K283" s="51"/>
      <c r="L283" s="51"/>
      <c r="M283" s="51"/>
      <c r="N283" s="51"/>
      <c r="O283" s="51"/>
      <c r="P283" s="51"/>
      <c r="Q283" s="51"/>
      <c r="R283" s="51"/>
      <c r="S283" s="51"/>
      <c r="T283" s="51"/>
      <c r="U283" s="51"/>
      <c r="V283" s="51"/>
      <c r="W283" s="51"/>
      <c r="X283" s="51"/>
      <c r="Y283" s="51"/>
      <c r="Z283" s="51"/>
      <c r="AA283" s="51"/>
      <c r="AB283" s="51"/>
    </row>
    <row r="284" customFormat="false" ht="15.75" hidden="false" customHeight="false" outlineLevel="0" collapsed="false">
      <c r="A284" s="51"/>
      <c r="B284" s="51"/>
      <c r="C284" s="6"/>
      <c r="D284" s="49"/>
      <c r="E284" s="51"/>
      <c r="F284" s="6"/>
      <c r="G284" s="6"/>
      <c r="H284" s="6"/>
      <c r="I284" s="6"/>
      <c r="J284" s="6"/>
      <c r="K284" s="51"/>
      <c r="L284" s="51"/>
      <c r="M284" s="51"/>
      <c r="N284" s="51"/>
      <c r="O284" s="51"/>
      <c r="P284" s="51"/>
      <c r="Q284" s="51"/>
      <c r="R284" s="51"/>
      <c r="S284" s="51"/>
      <c r="T284" s="51"/>
      <c r="U284" s="51"/>
      <c r="V284" s="51"/>
      <c r="W284" s="51"/>
      <c r="X284" s="51"/>
      <c r="Y284" s="51"/>
      <c r="Z284" s="51"/>
      <c r="AA284" s="51"/>
      <c r="AB284" s="51"/>
    </row>
    <row r="285" customFormat="false" ht="15.75" hidden="false" customHeight="false" outlineLevel="0" collapsed="false">
      <c r="A285" s="51"/>
      <c r="B285" s="51"/>
      <c r="C285" s="6"/>
      <c r="D285" s="49"/>
      <c r="E285" s="51"/>
      <c r="F285" s="6"/>
      <c r="G285" s="6"/>
      <c r="H285" s="6"/>
      <c r="I285" s="6"/>
      <c r="J285" s="6"/>
      <c r="K285" s="51"/>
      <c r="L285" s="51"/>
      <c r="M285" s="51"/>
      <c r="N285" s="51"/>
      <c r="O285" s="51"/>
      <c r="P285" s="51"/>
      <c r="Q285" s="51"/>
      <c r="R285" s="51"/>
      <c r="S285" s="51"/>
      <c r="T285" s="51"/>
      <c r="U285" s="51"/>
      <c r="V285" s="51"/>
      <c r="W285" s="51"/>
      <c r="X285" s="51"/>
      <c r="Y285" s="51"/>
      <c r="Z285" s="51"/>
      <c r="AA285" s="51"/>
      <c r="AB285" s="51"/>
    </row>
    <row r="286" customFormat="false" ht="15.75" hidden="false" customHeight="false" outlineLevel="0" collapsed="false">
      <c r="A286" s="51"/>
      <c r="B286" s="51"/>
      <c r="C286" s="6"/>
      <c r="D286" s="49"/>
      <c r="E286" s="51"/>
      <c r="F286" s="6"/>
      <c r="G286" s="6"/>
      <c r="H286" s="6"/>
      <c r="I286" s="6"/>
      <c r="J286" s="6"/>
      <c r="K286" s="51"/>
      <c r="L286" s="51"/>
      <c r="M286" s="51"/>
      <c r="N286" s="51"/>
      <c r="O286" s="51"/>
      <c r="P286" s="51"/>
      <c r="Q286" s="51"/>
      <c r="R286" s="51"/>
      <c r="S286" s="51"/>
      <c r="T286" s="51"/>
      <c r="U286" s="51"/>
      <c r="V286" s="51"/>
      <c r="W286" s="51"/>
      <c r="X286" s="51"/>
      <c r="Y286" s="51"/>
      <c r="Z286" s="51"/>
      <c r="AA286" s="51"/>
      <c r="AB286" s="51"/>
    </row>
    <row r="287" customFormat="false" ht="15.75" hidden="false" customHeight="false" outlineLevel="0" collapsed="false">
      <c r="A287" s="51"/>
      <c r="B287" s="51"/>
      <c r="C287" s="6"/>
      <c r="D287" s="49"/>
      <c r="E287" s="51"/>
      <c r="F287" s="6"/>
      <c r="G287" s="6"/>
      <c r="H287" s="6"/>
      <c r="I287" s="6"/>
      <c r="J287" s="6"/>
      <c r="K287" s="51"/>
      <c r="L287" s="51"/>
      <c r="M287" s="51"/>
      <c r="N287" s="51"/>
      <c r="O287" s="51"/>
      <c r="P287" s="51"/>
      <c r="Q287" s="51"/>
      <c r="R287" s="51"/>
      <c r="S287" s="51"/>
      <c r="T287" s="51"/>
      <c r="U287" s="51"/>
      <c r="V287" s="51"/>
      <c r="W287" s="51"/>
      <c r="X287" s="51"/>
      <c r="Y287" s="51"/>
      <c r="Z287" s="51"/>
      <c r="AA287" s="51"/>
      <c r="AB287" s="51"/>
    </row>
    <row r="288" customFormat="false" ht="15.75" hidden="false" customHeight="false" outlineLevel="0" collapsed="false">
      <c r="A288" s="51"/>
      <c r="B288" s="51"/>
      <c r="C288" s="6"/>
      <c r="D288" s="49"/>
      <c r="E288" s="51"/>
      <c r="F288" s="6"/>
      <c r="G288" s="6"/>
      <c r="H288" s="6"/>
      <c r="I288" s="6"/>
      <c r="J288" s="6"/>
      <c r="K288" s="51"/>
      <c r="L288" s="51"/>
      <c r="M288" s="51"/>
      <c r="N288" s="51"/>
      <c r="O288" s="51"/>
      <c r="P288" s="51"/>
      <c r="Q288" s="51"/>
      <c r="R288" s="51"/>
      <c r="S288" s="51"/>
      <c r="T288" s="51"/>
      <c r="U288" s="51"/>
      <c r="V288" s="51"/>
      <c r="W288" s="51"/>
      <c r="X288" s="51"/>
      <c r="Y288" s="51"/>
      <c r="Z288" s="51"/>
      <c r="AA288" s="51"/>
      <c r="AB288" s="51"/>
    </row>
    <row r="289" customFormat="false" ht="15.75" hidden="false" customHeight="false" outlineLevel="0" collapsed="false">
      <c r="A289" s="51"/>
      <c r="B289" s="51"/>
      <c r="C289" s="6"/>
      <c r="D289" s="49"/>
      <c r="E289" s="51"/>
      <c r="F289" s="6"/>
      <c r="G289" s="6"/>
      <c r="H289" s="6"/>
      <c r="I289" s="6"/>
      <c r="J289" s="6"/>
      <c r="K289" s="51"/>
      <c r="L289" s="51"/>
      <c r="M289" s="51"/>
      <c r="N289" s="51"/>
      <c r="O289" s="51"/>
      <c r="P289" s="51"/>
      <c r="Q289" s="51"/>
      <c r="R289" s="51"/>
      <c r="S289" s="51"/>
      <c r="T289" s="51"/>
      <c r="U289" s="51"/>
      <c r="V289" s="51"/>
      <c r="W289" s="51"/>
      <c r="X289" s="51"/>
      <c r="Y289" s="51"/>
      <c r="Z289" s="51"/>
      <c r="AA289" s="51"/>
      <c r="AB289" s="51"/>
    </row>
    <row r="290" customFormat="false" ht="15.75" hidden="false" customHeight="false" outlineLevel="0" collapsed="false">
      <c r="A290" s="51"/>
      <c r="B290" s="51"/>
      <c r="C290" s="6"/>
      <c r="D290" s="49"/>
      <c r="E290" s="51"/>
      <c r="F290" s="6"/>
      <c r="G290" s="6"/>
      <c r="H290" s="6"/>
      <c r="I290" s="6"/>
      <c r="J290" s="6"/>
      <c r="K290" s="51"/>
      <c r="L290" s="51"/>
      <c r="M290" s="51"/>
      <c r="N290" s="51"/>
      <c r="O290" s="51"/>
      <c r="P290" s="51"/>
      <c r="Q290" s="51"/>
      <c r="R290" s="51"/>
      <c r="S290" s="51"/>
      <c r="T290" s="51"/>
      <c r="U290" s="51"/>
      <c r="V290" s="51"/>
      <c r="W290" s="51"/>
      <c r="X290" s="51"/>
      <c r="Y290" s="51"/>
      <c r="Z290" s="51"/>
      <c r="AA290" s="51"/>
      <c r="AB290" s="51"/>
    </row>
    <row r="291" customFormat="false" ht="15.75" hidden="false" customHeight="false" outlineLevel="0" collapsed="false">
      <c r="A291" s="51"/>
      <c r="B291" s="51"/>
      <c r="C291" s="6"/>
      <c r="D291" s="49"/>
      <c r="E291" s="51"/>
      <c r="F291" s="6"/>
      <c r="G291" s="6"/>
      <c r="H291" s="6"/>
      <c r="I291" s="6"/>
      <c r="J291" s="6"/>
      <c r="K291" s="51"/>
      <c r="L291" s="51"/>
      <c r="M291" s="51"/>
      <c r="N291" s="51"/>
      <c r="O291" s="51"/>
      <c r="P291" s="51"/>
      <c r="Q291" s="51"/>
      <c r="R291" s="51"/>
      <c r="S291" s="51"/>
      <c r="T291" s="51"/>
      <c r="U291" s="51"/>
      <c r="V291" s="51"/>
      <c r="W291" s="51"/>
      <c r="X291" s="51"/>
      <c r="Y291" s="51"/>
      <c r="Z291" s="51"/>
      <c r="AA291" s="51"/>
      <c r="AB291" s="51"/>
    </row>
    <row r="292" customFormat="false" ht="15.75" hidden="false" customHeight="false" outlineLevel="0" collapsed="false">
      <c r="A292" s="51"/>
      <c r="B292" s="51"/>
      <c r="C292" s="6"/>
      <c r="D292" s="49"/>
      <c r="E292" s="51"/>
      <c r="F292" s="6"/>
      <c r="G292" s="6"/>
      <c r="H292" s="6"/>
      <c r="I292" s="6"/>
      <c r="J292" s="6"/>
      <c r="K292" s="51"/>
      <c r="L292" s="51"/>
      <c r="M292" s="51"/>
      <c r="N292" s="51"/>
      <c r="O292" s="51"/>
      <c r="P292" s="51"/>
      <c r="Q292" s="51"/>
      <c r="R292" s="51"/>
      <c r="S292" s="51"/>
      <c r="T292" s="51"/>
      <c r="U292" s="51"/>
      <c r="V292" s="51"/>
      <c r="W292" s="51"/>
      <c r="X292" s="51"/>
      <c r="Y292" s="51"/>
      <c r="Z292" s="51"/>
      <c r="AA292" s="51"/>
      <c r="AB292" s="51"/>
    </row>
    <row r="293" customFormat="false" ht="15.75" hidden="false" customHeight="false" outlineLevel="0" collapsed="false">
      <c r="A293" s="51"/>
      <c r="B293" s="51"/>
      <c r="C293" s="6"/>
      <c r="D293" s="49"/>
      <c r="E293" s="51"/>
      <c r="F293" s="6"/>
      <c r="G293" s="6"/>
      <c r="H293" s="6"/>
      <c r="I293" s="6"/>
      <c r="J293" s="6"/>
      <c r="K293" s="51"/>
      <c r="L293" s="51"/>
      <c r="M293" s="51"/>
      <c r="N293" s="51"/>
      <c r="O293" s="51"/>
      <c r="P293" s="51"/>
      <c r="Q293" s="51"/>
      <c r="R293" s="51"/>
      <c r="S293" s="51"/>
      <c r="T293" s="51"/>
      <c r="U293" s="51"/>
      <c r="V293" s="51"/>
      <c r="W293" s="51"/>
      <c r="X293" s="51"/>
      <c r="Y293" s="51"/>
      <c r="Z293" s="51"/>
      <c r="AA293" s="51"/>
      <c r="AB293" s="51"/>
    </row>
    <row r="294" customFormat="false" ht="15.75" hidden="false" customHeight="false" outlineLevel="0" collapsed="false">
      <c r="A294" s="51"/>
      <c r="B294" s="51"/>
      <c r="C294" s="6"/>
      <c r="D294" s="49"/>
      <c r="E294" s="51"/>
      <c r="F294" s="6"/>
      <c r="G294" s="6"/>
      <c r="H294" s="6"/>
      <c r="I294" s="6"/>
      <c r="J294" s="6"/>
      <c r="K294" s="51"/>
      <c r="L294" s="51"/>
      <c r="M294" s="51"/>
      <c r="N294" s="51"/>
      <c r="O294" s="51"/>
      <c r="P294" s="51"/>
      <c r="Q294" s="51"/>
      <c r="R294" s="51"/>
      <c r="S294" s="51"/>
      <c r="T294" s="51"/>
      <c r="U294" s="51"/>
      <c r="V294" s="51"/>
      <c r="W294" s="51"/>
      <c r="X294" s="51"/>
      <c r="Y294" s="51"/>
      <c r="Z294" s="51"/>
      <c r="AA294" s="51"/>
      <c r="AB294" s="51"/>
    </row>
    <row r="295" customFormat="false" ht="15.75" hidden="false" customHeight="false" outlineLevel="0" collapsed="false">
      <c r="A295" s="51"/>
      <c r="B295" s="51"/>
      <c r="C295" s="6"/>
      <c r="D295" s="49"/>
      <c r="E295" s="51"/>
      <c r="F295" s="6"/>
      <c r="G295" s="6"/>
      <c r="H295" s="6"/>
      <c r="I295" s="6"/>
      <c r="J295" s="6"/>
      <c r="K295" s="51"/>
      <c r="L295" s="51"/>
      <c r="M295" s="51"/>
      <c r="N295" s="51"/>
      <c r="O295" s="51"/>
      <c r="P295" s="51"/>
      <c r="Q295" s="51"/>
      <c r="R295" s="51"/>
      <c r="S295" s="51"/>
      <c r="T295" s="51"/>
      <c r="U295" s="51"/>
      <c r="V295" s="51"/>
      <c r="W295" s="51"/>
      <c r="X295" s="51"/>
      <c r="Y295" s="51"/>
      <c r="Z295" s="51"/>
      <c r="AA295" s="51"/>
      <c r="AB295" s="51"/>
    </row>
    <row r="296" customFormat="false" ht="15.75" hidden="false" customHeight="false" outlineLevel="0" collapsed="false">
      <c r="A296" s="51"/>
      <c r="B296" s="51"/>
      <c r="C296" s="6"/>
      <c r="D296" s="49"/>
      <c r="E296" s="51"/>
      <c r="F296" s="6"/>
      <c r="G296" s="6"/>
      <c r="H296" s="6"/>
      <c r="I296" s="6"/>
      <c r="J296" s="6"/>
      <c r="K296" s="51"/>
      <c r="L296" s="51"/>
      <c r="M296" s="51"/>
      <c r="N296" s="51"/>
      <c r="O296" s="51"/>
      <c r="P296" s="51"/>
      <c r="Q296" s="51"/>
      <c r="R296" s="51"/>
      <c r="S296" s="51"/>
      <c r="T296" s="51"/>
      <c r="U296" s="51"/>
      <c r="V296" s="51"/>
      <c r="W296" s="51"/>
      <c r="X296" s="51"/>
      <c r="Y296" s="51"/>
      <c r="Z296" s="51"/>
      <c r="AA296" s="51"/>
      <c r="AB296" s="51"/>
    </row>
    <row r="297" customFormat="false" ht="15.75" hidden="false" customHeight="false" outlineLevel="0" collapsed="false">
      <c r="A297" s="51"/>
      <c r="B297" s="51"/>
      <c r="C297" s="6"/>
      <c r="D297" s="49"/>
      <c r="E297" s="51"/>
      <c r="F297" s="6"/>
      <c r="G297" s="6"/>
      <c r="H297" s="6"/>
      <c r="I297" s="6"/>
      <c r="J297" s="6"/>
      <c r="K297" s="51"/>
      <c r="L297" s="51"/>
      <c r="M297" s="51"/>
      <c r="N297" s="51"/>
      <c r="O297" s="51"/>
      <c r="P297" s="51"/>
      <c r="Q297" s="51"/>
      <c r="R297" s="51"/>
      <c r="S297" s="51"/>
      <c r="T297" s="51"/>
      <c r="U297" s="51"/>
      <c r="V297" s="51"/>
      <c r="W297" s="51"/>
      <c r="X297" s="51"/>
      <c r="Y297" s="51"/>
      <c r="Z297" s="51"/>
      <c r="AA297" s="51"/>
      <c r="AB297" s="51"/>
    </row>
    <row r="298" customFormat="false" ht="15.75" hidden="false" customHeight="false" outlineLevel="0" collapsed="false">
      <c r="A298" s="51"/>
      <c r="B298" s="51"/>
      <c r="C298" s="6"/>
      <c r="D298" s="49"/>
      <c r="E298" s="51"/>
      <c r="F298" s="6"/>
      <c r="G298" s="6"/>
      <c r="H298" s="6"/>
      <c r="I298" s="6"/>
      <c r="J298" s="6"/>
      <c r="K298" s="51"/>
      <c r="L298" s="51"/>
      <c r="M298" s="51"/>
      <c r="N298" s="51"/>
      <c r="O298" s="51"/>
      <c r="P298" s="51"/>
      <c r="Q298" s="51"/>
      <c r="R298" s="51"/>
      <c r="S298" s="51"/>
      <c r="T298" s="51"/>
      <c r="U298" s="51"/>
      <c r="V298" s="51"/>
      <c r="W298" s="51"/>
      <c r="X298" s="51"/>
      <c r="Y298" s="51"/>
      <c r="Z298" s="51"/>
      <c r="AA298" s="51"/>
      <c r="AB298" s="51"/>
    </row>
    <row r="299" customFormat="false" ht="15.75" hidden="false" customHeight="false" outlineLevel="0" collapsed="false">
      <c r="A299" s="51"/>
      <c r="B299" s="51"/>
      <c r="C299" s="6"/>
      <c r="D299" s="49"/>
      <c r="E299" s="51"/>
      <c r="F299" s="6"/>
      <c r="G299" s="6"/>
      <c r="H299" s="6"/>
      <c r="I299" s="6"/>
      <c r="J299" s="6"/>
      <c r="K299" s="51"/>
      <c r="L299" s="51"/>
      <c r="M299" s="51"/>
      <c r="N299" s="51"/>
      <c r="O299" s="51"/>
      <c r="P299" s="51"/>
      <c r="Q299" s="51"/>
      <c r="R299" s="51"/>
      <c r="S299" s="51"/>
      <c r="T299" s="51"/>
      <c r="U299" s="51"/>
      <c r="V299" s="51"/>
      <c r="W299" s="51"/>
      <c r="X299" s="51"/>
      <c r="Y299" s="51"/>
      <c r="Z299" s="51"/>
      <c r="AA299" s="51"/>
      <c r="AB299" s="51"/>
    </row>
    <row r="300" customFormat="false" ht="15.75" hidden="false" customHeight="false" outlineLevel="0" collapsed="false">
      <c r="A300" s="51"/>
      <c r="B300" s="51"/>
      <c r="C300" s="6"/>
      <c r="D300" s="49"/>
      <c r="E300" s="51"/>
      <c r="F300" s="6"/>
      <c r="G300" s="6"/>
      <c r="H300" s="6"/>
      <c r="I300" s="6"/>
      <c r="J300" s="6"/>
      <c r="K300" s="51"/>
      <c r="L300" s="51"/>
      <c r="M300" s="51"/>
      <c r="N300" s="51"/>
      <c r="O300" s="51"/>
      <c r="P300" s="51"/>
      <c r="Q300" s="51"/>
      <c r="R300" s="51"/>
      <c r="S300" s="51"/>
      <c r="T300" s="51"/>
      <c r="U300" s="51"/>
      <c r="V300" s="51"/>
      <c r="W300" s="51"/>
      <c r="X300" s="51"/>
      <c r="Y300" s="51"/>
      <c r="Z300" s="51"/>
      <c r="AA300" s="51"/>
      <c r="AB300" s="51"/>
    </row>
    <row r="301" customFormat="false" ht="15.75" hidden="false" customHeight="false" outlineLevel="0" collapsed="false">
      <c r="A301" s="51"/>
      <c r="B301" s="51"/>
      <c r="C301" s="6"/>
      <c r="D301" s="49"/>
      <c r="E301" s="51"/>
      <c r="F301" s="6"/>
      <c r="G301" s="6"/>
      <c r="H301" s="6"/>
      <c r="I301" s="6"/>
      <c r="J301" s="6"/>
      <c r="K301" s="51"/>
      <c r="L301" s="51"/>
      <c r="M301" s="51"/>
      <c r="N301" s="51"/>
      <c r="O301" s="51"/>
      <c r="P301" s="51"/>
      <c r="Q301" s="51"/>
      <c r="R301" s="51"/>
      <c r="S301" s="51"/>
      <c r="T301" s="51"/>
      <c r="U301" s="51"/>
      <c r="V301" s="51"/>
      <c r="W301" s="51"/>
      <c r="X301" s="51"/>
      <c r="Y301" s="51"/>
      <c r="Z301" s="51"/>
      <c r="AA301" s="51"/>
      <c r="AB301" s="51"/>
    </row>
    <row r="302" customFormat="false" ht="15.75" hidden="false" customHeight="false" outlineLevel="0" collapsed="false">
      <c r="A302" s="51"/>
      <c r="B302" s="51"/>
      <c r="C302" s="6"/>
      <c r="D302" s="49"/>
      <c r="E302" s="51"/>
      <c r="F302" s="6"/>
      <c r="G302" s="6"/>
      <c r="H302" s="6"/>
      <c r="I302" s="6"/>
      <c r="J302" s="6"/>
      <c r="K302" s="51"/>
      <c r="L302" s="51"/>
      <c r="M302" s="51"/>
      <c r="N302" s="51"/>
      <c r="O302" s="51"/>
      <c r="P302" s="51"/>
      <c r="Q302" s="51"/>
      <c r="R302" s="51"/>
      <c r="S302" s="51"/>
      <c r="T302" s="51"/>
      <c r="U302" s="51"/>
      <c r="V302" s="51"/>
      <c r="W302" s="51"/>
      <c r="X302" s="51"/>
      <c r="Y302" s="51"/>
      <c r="Z302" s="51"/>
      <c r="AA302" s="51"/>
      <c r="AB302" s="51"/>
    </row>
    <row r="303" customFormat="false" ht="15.75" hidden="false" customHeight="false" outlineLevel="0" collapsed="false">
      <c r="A303" s="51"/>
      <c r="B303" s="51"/>
      <c r="C303" s="6"/>
      <c r="D303" s="49"/>
      <c r="E303" s="51"/>
      <c r="F303" s="6"/>
      <c r="G303" s="6"/>
      <c r="H303" s="6"/>
      <c r="I303" s="6"/>
      <c r="J303" s="6"/>
      <c r="K303" s="51"/>
      <c r="L303" s="51"/>
      <c r="M303" s="51"/>
      <c r="N303" s="51"/>
      <c r="O303" s="51"/>
      <c r="P303" s="51"/>
      <c r="Q303" s="51"/>
      <c r="R303" s="51"/>
      <c r="S303" s="51"/>
      <c r="T303" s="51"/>
      <c r="U303" s="51"/>
      <c r="V303" s="51"/>
      <c r="W303" s="51"/>
      <c r="X303" s="51"/>
      <c r="Y303" s="51"/>
      <c r="Z303" s="51"/>
      <c r="AA303" s="51"/>
      <c r="AB303" s="51"/>
    </row>
    <row r="304" customFormat="false" ht="15.75" hidden="false" customHeight="false" outlineLevel="0" collapsed="false">
      <c r="A304" s="51"/>
      <c r="B304" s="51"/>
      <c r="C304" s="6"/>
      <c r="D304" s="49"/>
      <c r="E304" s="51"/>
      <c r="F304" s="6"/>
      <c r="G304" s="6"/>
      <c r="H304" s="6"/>
      <c r="I304" s="6"/>
      <c r="J304" s="6"/>
      <c r="K304" s="51"/>
      <c r="L304" s="51"/>
      <c r="M304" s="51"/>
      <c r="N304" s="51"/>
      <c r="O304" s="51"/>
      <c r="P304" s="51"/>
      <c r="Q304" s="51"/>
      <c r="R304" s="51"/>
      <c r="S304" s="51"/>
      <c r="T304" s="51"/>
      <c r="U304" s="51"/>
      <c r="V304" s="51"/>
      <c r="W304" s="51"/>
      <c r="X304" s="51"/>
      <c r="Y304" s="51"/>
      <c r="Z304" s="51"/>
      <c r="AA304" s="51"/>
      <c r="AB304" s="51"/>
    </row>
    <row r="305" customFormat="false" ht="15.75" hidden="false" customHeight="false" outlineLevel="0" collapsed="false">
      <c r="A305" s="51"/>
      <c r="B305" s="51"/>
      <c r="C305" s="6"/>
      <c r="D305" s="49"/>
      <c r="E305" s="51"/>
      <c r="F305" s="6"/>
      <c r="G305" s="6"/>
      <c r="H305" s="6"/>
      <c r="I305" s="6"/>
      <c r="J305" s="6"/>
      <c r="K305" s="51"/>
      <c r="L305" s="51"/>
      <c r="M305" s="51"/>
      <c r="N305" s="51"/>
      <c r="O305" s="51"/>
      <c r="P305" s="51"/>
      <c r="Q305" s="51"/>
      <c r="R305" s="51"/>
      <c r="S305" s="51"/>
      <c r="T305" s="51"/>
      <c r="U305" s="51"/>
      <c r="V305" s="51"/>
      <c r="W305" s="51"/>
      <c r="X305" s="51"/>
      <c r="Y305" s="51"/>
      <c r="Z305" s="51"/>
      <c r="AA305" s="51"/>
      <c r="AB305" s="51"/>
    </row>
    <row r="306" customFormat="false" ht="15.75" hidden="false" customHeight="false" outlineLevel="0" collapsed="false">
      <c r="A306" s="51"/>
      <c r="B306" s="51"/>
      <c r="C306" s="6"/>
      <c r="D306" s="49"/>
      <c r="E306" s="51"/>
      <c r="F306" s="6"/>
      <c r="G306" s="6"/>
      <c r="H306" s="6"/>
      <c r="I306" s="6"/>
      <c r="J306" s="6"/>
      <c r="K306" s="51"/>
      <c r="L306" s="51"/>
      <c r="M306" s="51"/>
      <c r="N306" s="51"/>
      <c r="O306" s="51"/>
      <c r="P306" s="51"/>
      <c r="Q306" s="51"/>
      <c r="R306" s="51"/>
      <c r="S306" s="51"/>
      <c r="T306" s="51"/>
      <c r="U306" s="51"/>
      <c r="V306" s="51"/>
      <c r="W306" s="51"/>
      <c r="X306" s="51"/>
      <c r="Y306" s="51"/>
      <c r="Z306" s="51"/>
      <c r="AA306" s="51"/>
      <c r="AB306" s="51"/>
    </row>
    <row r="307" customFormat="false" ht="15.75" hidden="false" customHeight="false" outlineLevel="0" collapsed="false">
      <c r="A307" s="51"/>
      <c r="B307" s="51"/>
      <c r="C307" s="6"/>
      <c r="D307" s="49"/>
      <c r="E307" s="51"/>
      <c r="F307" s="6"/>
      <c r="G307" s="6"/>
      <c r="H307" s="6"/>
      <c r="I307" s="6"/>
      <c r="J307" s="6"/>
      <c r="K307" s="51"/>
      <c r="L307" s="51"/>
      <c r="M307" s="51"/>
      <c r="N307" s="51"/>
      <c r="O307" s="51"/>
      <c r="P307" s="51"/>
      <c r="Q307" s="51"/>
      <c r="R307" s="51"/>
      <c r="S307" s="51"/>
      <c r="T307" s="51"/>
      <c r="U307" s="51"/>
      <c r="V307" s="51"/>
      <c r="W307" s="51"/>
      <c r="X307" s="51"/>
      <c r="Y307" s="51"/>
      <c r="Z307" s="51"/>
      <c r="AA307" s="51"/>
      <c r="AB307" s="51"/>
    </row>
    <row r="308" customFormat="false" ht="15.75" hidden="false" customHeight="false" outlineLevel="0" collapsed="false">
      <c r="A308" s="51"/>
      <c r="B308" s="51"/>
      <c r="C308" s="6"/>
      <c r="D308" s="49"/>
      <c r="E308" s="51"/>
      <c r="F308" s="6"/>
      <c r="G308" s="6"/>
      <c r="H308" s="6"/>
      <c r="I308" s="6"/>
      <c r="J308" s="6"/>
      <c r="K308" s="51"/>
      <c r="L308" s="51"/>
      <c r="M308" s="51"/>
      <c r="N308" s="51"/>
      <c r="O308" s="51"/>
      <c r="P308" s="51"/>
      <c r="Q308" s="51"/>
      <c r="R308" s="51"/>
      <c r="S308" s="51"/>
      <c r="T308" s="51"/>
      <c r="U308" s="51"/>
      <c r="V308" s="51"/>
      <c r="W308" s="51"/>
      <c r="X308" s="51"/>
      <c r="Y308" s="51"/>
      <c r="Z308" s="51"/>
      <c r="AA308" s="51"/>
      <c r="AB308" s="51"/>
    </row>
    <row r="309" customFormat="false" ht="15.75" hidden="false" customHeight="false" outlineLevel="0" collapsed="false">
      <c r="A309" s="51"/>
      <c r="B309" s="51"/>
      <c r="C309" s="6"/>
      <c r="D309" s="49"/>
      <c r="E309" s="51"/>
      <c r="F309" s="6"/>
      <c r="G309" s="6"/>
      <c r="H309" s="6"/>
      <c r="I309" s="6"/>
      <c r="J309" s="6"/>
      <c r="K309" s="51"/>
      <c r="L309" s="51"/>
      <c r="M309" s="51"/>
      <c r="N309" s="51"/>
      <c r="O309" s="51"/>
      <c r="P309" s="51"/>
      <c r="Q309" s="51"/>
      <c r="R309" s="51"/>
      <c r="S309" s="51"/>
      <c r="T309" s="51"/>
      <c r="U309" s="51"/>
      <c r="V309" s="51"/>
      <c r="W309" s="51"/>
      <c r="X309" s="51"/>
      <c r="Y309" s="51"/>
      <c r="Z309" s="51"/>
      <c r="AA309" s="51"/>
      <c r="AB309" s="51"/>
    </row>
    <row r="310" customFormat="false" ht="15.75" hidden="false" customHeight="false" outlineLevel="0" collapsed="false">
      <c r="A310" s="51"/>
      <c r="B310" s="51"/>
      <c r="C310" s="6"/>
      <c r="D310" s="49"/>
      <c r="E310" s="51"/>
      <c r="F310" s="6"/>
      <c r="G310" s="6"/>
      <c r="H310" s="6"/>
      <c r="I310" s="6"/>
      <c r="J310" s="6"/>
      <c r="K310" s="51"/>
      <c r="L310" s="51"/>
      <c r="M310" s="51"/>
      <c r="N310" s="51"/>
      <c r="O310" s="51"/>
      <c r="P310" s="51"/>
      <c r="Q310" s="51"/>
      <c r="R310" s="51"/>
      <c r="S310" s="51"/>
      <c r="T310" s="51"/>
      <c r="U310" s="51"/>
      <c r="V310" s="51"/>
      <c r="W310" s="51"/>
      <c r="X310" s="51"/>
      <c r="Y310" s="51"/>
      <c r="Z310" s="51"/>
      <c r="AA310" s="51"/>
      <c r="AB310" s="51"/>
    </row>
    <row r="311" customFormat="false" ht="15.75" hidden="false" customHeight="false" outlineLevel="0" collapsed="false">
      <c r="A311" s="51"/>
      <c r="B311" s="51"/>
      <c r="C311" s="6"/>
      <c r="D311" s="49"/>
      <c r="E311" s="51"/>
      <c r="F311" s="6"/>
      <c r="G311" s="6"/>
      <c r="H311" s="6"/>
      <c r="I311" s="6"/>
      <c r="J311" s="6"/>
      <c r="K311" s="51"/>
      <c r="L311" s="51"/>
      <c r="M311" s="51"/>
      <c r="N311" s="51"/>
      <c r="O311" s="51"/>
      <c r="P311" s="51"/>
      <c r="Q311" s="51"/>
      <c r="R311" s="51"/>
      <c r="S311" s="51"/>
      <c r="T311" s="51"/>
      <c r="U311" s="51"/>
      <c r="V311" s="51"/>
      <c r="W311" s="51"/>
      <c r="X311" s="51"/>
      <c r="Y311" s="51"/>
      <c r="Z311" s="51"/>
      <c r="AA311" s="51"/>
      <c r="AB311" s="51"/>
    </row>
    <row r="312" customFormat="false" ht="15.75" hidden="false" customHeight="false" outlineLevel="0" collapsed="false">
      <c r="A312" s="51"/>
      <c r="B312" s="51"/>
      <c r="C312" s="6"/>
      <c r="D312" s="49"/>
      <c r="E312" s="51"/>
      <c r="F312" s="6"/>
      <c r="G312" s="6"/>
      <c r="H312" s="6"/>
      <c r="I312" s="6"/>
      <c r="J312" s="6"/>
      <c r="K312" s="51"/>
      <c r="L312" s="51"/>
      <c r="M312" s="51"/>
      <c r="N312" s="51"/>
      <c r="O312" s="51"/>
      <c r="P312" s="51"/>
      <c r="Q312" s="51"/>
      <c r="R312" s="51"/>
      <c r="S312" s="51"/>
      <c r="T312" s="51"/>
      <c r="U312" s="51"/>
      <c r="V312" s="51"/>
      <c r="W312" s="51"/>
      <c r="X312" s="51"/>
      <c r="Y312" s="51"/>
      <c r="Z312" s="51"/>
      <c r="AA312" s="51"/>
      <c r="AB312" s="51"/>
    </row>
    <row r="313" customFormat="false" ht="15.75" hidden="false" customHeight="false" outlineLevel="0" collapsed="false">
      <c r="A313" s="51"/>
      <c r="B313" s="51"/>
      <c r="C313" s="6"/>
      <c r="D313" s="49"/>
      <c r="E313" s="51"/>
      <c r="F313" s="6"/>
      <c r="G313" s="6"/>
      <c r="H313" s="6"/>
      <c r="I313" s="6"/>
      <c r="J313" s="6"/>
      <c r="K313" s="51"/>
      <c r="L313" s="51"/>
      <c r="M313" s="51"/>
      <c r="N313" s="51"/>
      <c r="O313" s="51"/>
      <c r="P313" s="51"/>
      <c r="Q313" s="51"/>
      <c r="R313" s="51"/>
      <c r="S313" s="51"/>
      <c r="T313" s="51"/>
      <c r="U313" s="51"/>
      <c r="V313" s="51"/>
      <c r="W313" s="51"/>
      <c r="X313" s="51"/>
      <c r="Y313" s="51"/>
      <c r="Z313" s="51"/>
      <c r="AA313" s="51"/>
      <c r="AB313" s="51"/>
    </row>
    <row r="314" customFormat="false" ht="15.75" hidden="false" customHeight="false" outlineLevel="0" collapsed="false">
      <c r="A314" s="51"/>
      <c r="B314" s="51"/>
      <c r="C314" s="6"/>
      <c r="D314" s="49"/>
      <c r="E314" s="51"/>
      <c r="F314" s="6"/>
      <c r="G314" s="6"/>
      <c r="H314" s="6"/>
      <c r="I314" s="6"/>
      <c r="J314" s="6"/>
      <c r="K314" s="51"/>
      <c r="L314" s="51"/>
      <c r="M314" s="51"/>
      <c r="N314" s="51"/>
      <c r="O314" s="51"/>
      <c r="P314" s="51"/>
      <c r="Q314" s="51"/>
      <c r="R314" s="51"/>
      <c r="S314" s="51"/>
      <c r="T314" s="51"/>
      <c r="U314" s="51"/>
      <c r="V314" s="51"/>
      <c r="W314" s="51"/>
      <c r="X314" s="51"/>
      <c r="Y314" s="51"/>
      <c r="Z314" s="51"/>
      <c r="AA314" s="51"/>
      <c r="AB314" s="51"/>
    </row>
    <row r="315" customFormat="false" ht="15.75" hidden="false" customHeight="false" outlineLevel="0" collapsed="false">
      <c r="A315" s="51"/>
      <c r="B315" s="51"/>
      <c r="C315" s="6"/>
      <c r="D315" s="49"/>
      <c r="E315" s="51"/>
      <c r="F315" s="6"/>
      <c r="G315" s="6"/>
      <c r="H315" s="6"/>
      <c r="I315" s="6"/>
      <c r="J315" s="6"/>
      <c r="K315" s="51"/>
      <c r="L315" s="51"/>
      <c r="M315" s="51"/>
      <c r="N315" s="51"/>
      <c r="O315" s="51"/>
      <c r="P315" s="51"/>
      <c r="Q315" s="51"/>
      <c r="R315" s="51"/>
      <c r="S315" s="51"/>
      <c r="T315" s="51"/>
      <c r="U315" s="51"/>
      <c r="V315" s="51"/>
      <c r="W315" s="51"/>
      <c r="X315" s="51"/>
      <c r="Y315" s="51"/>
      <c r="Z315" s="51"/>
      <c r="AA315" s="51"/>
      <c r="AB315" s="51"/>
    </row>
    <row r="316" customFormat="false" ht="15.75" hidden="false" customHeight="false" outlineLevel="0" collapsed="false">
      <c r="A316" s="51"/>
      <c r="B316" s="51"/>
      <c r="C316" s="6"/>
      <c r="D316" s="49"/>
      <c r="E316" s="51"/>
      <c r="F316" s="6"/>
      <c r="G316" s="6"/>
      <c r="H316" s="6"/>
      <c r="I316" s="6"/>
      <c r="J316" s="6"/>
      <c r="K316" s="51"/>
      <c r="L316" s="51"/>
      <c r="M316" s="51"/>
      <c r="N316" s="51"/>
      <c r="O316" s="51"/>
      <c r="P316" s="51"/>
      <c r="Q316" s="51"/>
      <c r="R316" s="51"/>
      <c r="S316" s="51"/>
      <c r="T316" s="51"/>
      <c r="U316" s="51"/>
      <c r="V316" s="51"/>
      <c r="W316" s="51"/>
      <c r="X316" s="51"/>
      <c r="Y316" s="51"/>
      <c r="Z316" s="51"/>
      <c r="AA316" s="51"/>
      <c r="AB316" s="51"/>
    </row>
    <row r="317" customFormat="false" ht="15.75" hidden="false" customHeight="false" outlineLevel="0" collapsed="false">
      <c r="A317" s="51"/>
      <c r="B317" s="51"/>
      <c r="C317" s="6"/>
      <c r="D317" s="49"/>
      <c r="E317" s="51"/>
      <c r="F317" s="6"/>
      <c r="G317" s="6"/>
      <c r="H317" s="6"/>
      <c r="I317" s="6"/>
      <c r="J317" s="6"/>
      <c r="K317" s="51"/>
      <c r="L317" s="51"/>
      <c r="M317" s="51"/>
      <c r="N317" s="51"/>
      <c r="O317" s="51"/>
      <c r="P317" s="51"/>
      <c r="Q317" s="51"/>
      <c r="R317" s="51"/>
      <c r="S317" s="51"/>
      <c r="T317" s="51"/>
      <c r="U317" s="51"/>
      <c r="V317" s="51"/>
      <c r="W317" s="51"/>
      <c r="X317" s="51"/>
      <c r="Y317" s="51"/>
      <c r="Z317" s="51"/>
      <c r="AA317" s="51"/>
      <c r="AB317" s="51"/>
    </row>
    <row r="318" customFormat="false" ht="15.75" hidden="false" customHeight="false" outlineLevel="0" collapsed="false">
      <c r="A318" s="51"/>
      <c r="B318" s="51"/>
      <c r="C318" s="6"/>
      <c r="D318" s="49"/>
      <c r="E318" s="51"/>
      <c r="F318" s="6"/>
      <c r="G318" s="6"/>
      <c r="H318" s="6"/>
      <c r="I318" s="6"/>
      <c r="J318" s="6"/>
      <c r="K318" s="51"/>
      <c r="L318" s="51"/>
      <c r="M318" s="51"/>
      <c r="N318" s="51"/>
      <c r="O318" s="51"/>
      <c r="P318" s="51"/>
      <c r="Q318" s="51"/>
      <c r="R318" s="51"/>
      <c r="S318" s="51"/>
      <c r="T318" s="51"/>
      <c r="U318" s="51"/>
      <c r="V318" s="51"/>
      <c r="W318" s="51"/>
      <c r="X318" s="51"/>
      <c r="Y318" s="51"/>
      <c r="Z318" s="51"/>
      <c r="AA318" s="51"/>
      <c r="AB318" s="51"/>
    </row>
    <row r="319" customFormat="false" ht="15.75" hidden="false" customHeight="false" outlineLevel="0" collapsed="false">
      <c r="A319" s="51"/>
      <c r="B319" s="51"/>
      <c r="C319" s="6"/>
      <c r="D319" s="49"/>
      <c r="E319" s="51"/>
      <c r="F319" s="6"/>
      <c r="G319" s="6"/>
      <c r="H319" s="6"/>
      <c r="I319" s="6"/>
      <c r="J319" s="6"/>
      <c r="K319" s="51"/>
      <c r="L319" s="51"/>
      <c r="M319" s="51"/>
      <c r="N319" s="51"/>
      <c r="O319" s="51"/>
      <c r="P319" s="51"/>
      <c r="Q319" s="51"/>
      <c r="R319" s="51"/>
      <c r="S319" s="51"/>
      <c r="T319" s="51"/>
      <c r="U319" s="51"/>
      <c r="V319" s="51"/>
      <c r="W319" s="51"/>
      <c r="X319" s="51"/>
      <c r="Y319" s="51"/>
      <c r="Z319" s="51"/>
      <c r="AA319" s="51"/>
      <c r="AB319" s="51"/>
    </row>
    <row r="320" customFormat="false" ht="15.75" hidden="false" customHeight="false" outlineLevel="0" collapsed="false">
      <c r="A320" s="51"/>
      <c r="B320" s="51"/>
      <c r="C320" s="6"/>
      <c r="D320" s="49"/>
      <c r="E320" s="51"/>
      <c r="F320" s="6"/>
      <c r="G320" s="6"/>
      <c r="H320" s="6"/>
      <c r="I320" s="6"/>
      <c r="J320" s="6"/>
      <c r="K320" s="51"/>
      <c r="L320" s="51"/>
      <c r="M320" s="51"/>
      <c r="N320" s="51"/>
      <c r="O320" s="51"/>
      <c r="P320" s="51"/>
      <c r="Q320" s="51"/>
      <c r="R320" s="51"/>
      <c r="S320" s="51"/>
      <c r="T320" s="51"/>
      <c r="U320" s="51"/>
      <c r="V320" s="51"/>
      <c r="W320" s="51"/>
      <c r="X320" s="51"/>
      <c r="Y320" s="51"/>
      <c r="Z320" s="51"/>
      <c r="AA320" s="51"/>
      <c r="AB320" s="51"/>
    </row>
    <row r="321" customFormat="false" ht="15.75" hidden="false" customHeight="false" outlineLevel="0" collapsed="false">
      <c r="A321" s="51"/>
      <c r="B321" s="51"/>
      <c r="C321" s="6"/>
      <c r="D321" s="49"/>
      <c r="E321" s="51"/>
      <c r="F321" s="6"/>
      <c r="G321" s="6"/>
      <c r="H321" s="6"/>
      <c r="I321" s="6"/>
      <c r="J321" s="6"/>
      <c r="K321" s="51"/>
      <c r="L321" s="51"/>
      <c r="M321" s="51"/>
      <c r="N321" s="51"/>
      <c r="O321" s="51"/>
      <c r="P321" s="51"/>
      <c r="Q321" s="51"/>
      <c r="R321" s="51"/>
      <c r="S321" s="51"/>
      <c r="T321" s="51"/>
      <c r="U321" s="51"/>
      <c r="V321" s="51"/>
      <c r="W321" s="51"/>
      <c r="X321" s="51"/>
      <c r="Y321" s="51"/>
      <c r="Z321" s="51"/>
      <c r="AA321" s="51"/>
      <c r="AB321" s="51"/>
    </row>
    <row r="322" customFormat="false" ht="15.75" hidden="false" customHeight="false" outlineLevel="0" collapsed="false">
      <c r="A322" s="51"/>
      <c r="B322" s="51"/>
      <c r="C322" s="6"/>
      <c r="D322" s="49"/>
      <c r="E322" s="51"/>
      <c r="F322" s="6"/>
      <c r="G322" s="6"/>
      <c r="H322" s="6"/>
      <c r="I322" s="6"/>
      <c r="J322" s="6"/>
      <c r="K322" s="51"/>
      <c r="L322" s="51"/>
      <c r="M322" s="51"/>
      <c r="N322" s="51"/>
      <c r="O322" s="51"/>
      <c r="P322" s="51"/>
      <c r="Q322" s="51"/>
      <c r="R322" s="51"/>
      <c r="S322" s="51"/>
      <c r="T322" s="51"/>
      <c r="U322" s="51"/>
      <c r="V322" s="51"/>
      <c r="W322" s="51"/>
      <c r="X322" s="51"/>
      <c r="Y322" s="51"/>
      <c r="Z322" s="51"/>
      <c r="AA322" s="51"/>
      <c r="AB322" s="51"/>
    </row>
    <row r="323" customFormat="false" ht="15.75" hidden="false" customHeight="false" outlineLevel="0" collapsed="false">
      <c r="A323" s="51"/>
      <c r="B323" s="51"/>
      <c r="C323" s="6"/>
      <c r="D323" s="49"/>
      <c r="E323" s="51"/>
      <c r="F323" s="6"/>
      <c r="G323" s="6"/>
      <c r="H323" s="6"/>
      <c r="I323" s="6"/>
      <c r="J323" s="6"/>
      <c r="K323" s="51"/>
      <c r="L323" s="51"/>
      <c r="M323" s="51"/>
      <c r="N323" s="51"/>
      <c r="O323" s="51"/>
      <c r="P323" s="51"/>
      <c r="Q323" s="51"/>
      <c r="R323" s="51"/>
      <c r="S323" s="51"/>
      <c r="T323" s="51"/>
      <c r="U323" s="51"/>
      <c r="V323" s="51"/>
      <c r="W323" s="51"/>
      <c r="X323" s="51"/>
      <c r="Y323" s="51"/>
      <c r="Z323" s="51"/>
      <c r="AA323" s="51"/>
      <c r="AB323" s="51"/>
    </row>
    <row r="324" customFormat="false" ht="15.75" hidden="false" customHeight="false" outlineLevel="0" collapsed="false">
      <c r="A324" s="51"/>
      <c r="B324" s="51"/>
      <c r="C324" s="6"/>
      <c r="D324" s="49"/>
      <c r="E324" s="51"/>
      <c r="F324" s="6"/>
      <c r="G324" s="6"/>
      <c r="H324" s="6"/>
      <c r="I324" s="6"/>
      <c r="J324" s="6"/>
      <c r="K324" s="51"/>
      <c r="L324" s="51"/>
      <c r="M324" s="51"/>
      <c r="N324" s="51"/>
      <c r="O324" s="51"/>
      <c r="P324" s="51"/>
      <c r="Q324" s="51"/>
      <c r="R324" s="51"/>
      <c r="S324" s="51"/>
      <c r="T324" s="51"/>
      <c r="U324" s="51"/>
      <c r="V324" s="51"/>
      <c r="W324" s="51"/>
      <c r="X324" s="51"/>
      <c r="Y324" s="51"/>
      <c r="Z324" s="51"/>
      <c r="AA324" s="51"/>
      <c r="AB324" s="51"/>
    </row>
    <row r="325" customFormat="false" ht="15.75" hidden="false" customHeight="false" outlineLevel="0" collapsed="false">
      <c r="A325" s="51"/>
      <c r="B325" s="51"/>
      <c r="C325" s="6"/>
      <c r="D325" s="49"/>
      <c r="E325" s="51"/>
      <c r="F325" s="6"/>
      <c r="G325" s="6"/>
      <c r="H325" s="6"/>
      <c r="I325" s="6"/>
      <c r="J325" s="6"/>
      <c r="K325" s="51"/>
      <c r="L325" s="51"/>
      <c r="M325" s="51"/>
      <c r="N325" s="51"/>
      <c r="O325" s="51"/>
      <c r="P325" s="51"/>
      <c r="Q325" s="51"/>
      <c r="R325" s="51"/>
      <c r="S325" s="51"/>
      <c r="T325" s="51"/>
      <c r="U325" s="51"/>
      <c r="V325" s="51"/>
      <c r="W325" s="51"/>
      <c r="X325" s="51"/>
      <c r="Y325" s="51"/>
      <c r="Z325" s="51"/>
      <c r="AA325" s="51"/>
      <c r="AB325" s="51"/>
    </row>
    <row r="326" customFormat="false" ht="15.75" hidden="false" customHeight="false" outlineLevel="0" collapsed="false">
      <c r="A326" s="51"/>
      <c r="B326" s="51"/>
      <c r="C326" s="6"/>
      <c r="D326" s="49"/>
      <c r="E326" s="51"/>
      <c r="F326" s="6"/>
      <c r="G326" s="6"/>
      <c r="H326" s="6"/>
      <c r="I326" s="6"/>
      <c r="J326" s="6"/>
      <c r="K326" s="51"/>
      <c r="L326" s="51"/>
      <c r="M326" s="51"/>
      <c r="N326" s="51"/>
      <c r="O326" s="51"/>
      <c r="P326" s="51"/>
      <c r="Q326" s="51"/>
      <c r="R326" s="51"/>
      <c r="S326" s="51"/>
      <c r="T326" s="51"/>
      <c r="U326" s="51"/>
      <c r="V326" s="51"/>
      <c r="W326" s="51"/>
      <c r="X326" s="51"/>
      <c r="Y326" s="51"/>
      <c r="Z326" s="51"/>
      <c r="AA326" s="51"/>
      <c r="AB326" s="51"/>
    </row>
    <row r="327" customFormat="false" ht="15.75" hidden="false" customHeight="false" outlineLevel="0" collapsed="false">
      <c r="A327" s="51"/>
      <c r="B327" s="51"/>
      <c r="C327" s="6"/>
      <c r="D327" s="49"/>
      <c r="E327" s="51"/>
      <c r="F327" s="6"/>
      <c r="G327" s="6"/>
      <c r="H327" s="6"/>
      <c r="I327" s="6"/>
      <c r="J327" s="6"/>
      <c r="K327" s="51"/>
      <c r="L327" s="51"/>
      <c r="M327" s="51"/>
      <c r="N327" s="51"/>
      <c r="O327" s="51"/>
      <c r="P327" s="51"/>
      <c r="Q327" s="51"/>
      <c r="R327" s="51"/>
      <c r="S327" s="51"/>
      <c r="T327" s="51"/>
      <c r="U327" s="51"/>
      <c r="V327" s="51"/>
      <c r="W327" s="51"/>
      <c r="X327" s="51"/>
      <c r="Y327" s="51"/>
      <c r="Z327" s="51"/>
      <c r="AA327" s="51"/>
      <c r="AB327" s="51"/>
    </row>
    <row r="328" customFormat="false" ht="15.75" hidden="false" customHeight="false" outlineLevel="0" collapsed="false">
      <c r="A328" s="51"/>
      <c r="B328" s="51"/>
      <c r="C328" s="6"/>
      <c r="D328" s="49"/>
      <c r="E328" s="51"/>
      <c r="F328" s="6"/>
      <c r="G328" s="6"/>
      <c r="H328" s="6"/>
      <c r="I328" s="6"/>
      <c r="J328" s="6"/>
      <c r="K328" s="51"/>
      <c r="L328" s="51"/>
      <c r="M328" s="51"/>
      <c r="N328" s="51"/>
      <c r="O328" s="51"/>
      <c r="P328" s="51"/>
      <c r="Q328" s="51"/>
      <c r="R328" s="51"/>
      <c r="S328" s="51"/>
      <c r="T328" s="51"/>
      <c r="U328" s="51"/>
      <c r="V328" s="51"/>
      <c r="W328" s="51"/>
      <c r="X328" s="51"/>
      <c r="Y328" s="51"/>
      <c r="Z328" s="51"/>
      <c r="AA328" s="51"/>
      <c r="AB328" s="51"/>
    </row>
    <row r="329" customFormat="false" ht="15.75" hidden="false" customHeight="false" outlineLevel="0" collapsed="false">
      <c r="A329" s="51"/>
      <c r="B329" s="51"/>
      <c r="C329" s="6"/>
      <c r="D329" s="49"/>
      <c r="E329" s="51"/>
      <c r="F329" s="6"/>
      <c r="G329" s="6"/>
      <c r="H329" s="6"/>
      <c r="I329" s="6"/>
      <c r="J329" s="6"/>
      <c r="K329" s="51"/>
      <c r="L329" s="51"/>
      <c r="M329" s="51"/>
      <c r="N329" s="51"/>
      <c r="O329" s="51"/>
      <c r="P329" s="51"/>
      <c r="Q329" s="51"/>
      <c r="R329" s="51"/>
      <c r="S329" s="51"/>
      <c r="T329" s="51"/>
      <c r="U329" s="51"/>
      <c r="V329" s="51"/>
      <c r="W329" s="51"/>
      <c r="X329" s="51"/>
      <c r="Y329" s="51"/>
      <c r="Z329" s="51"/>
      <c r="AA329" s="51"/>
      <c r="AB329" s="51"/>
    </row>
    <row r="330" customFormat="false" ht="15.75" hidden="false" customHeight="false" outlineLevel="0" collapsed="false">
      <c r="A330" s="51"/>
      <c r="B330" s="51"/>
      <c r="C330" s="6"/>
      <c r="D330" s="49"/>
      <c r="E330" s="51"/>
      <c r="F330" s="6"/>
      <c r="G330" s="6"/>
      <c r="H330" s="6"/>
      <c r="I330" s="6"/>
      <c r="J330" s="6"/>
      <c r="K330" s="51"/>
      <c r="L330" s="51"/>
      <c r="M330" s="51"/>
      <c r="N330" s="51"/>
      <c r="O330" s="51"/>
      <c r="P330" s="51"/>
      <c r="Q330" s="51"/>
      <c r="R330" s="51"/>
      <c r="S330" s="51"/>
      <c r="T330" s="51"/>
      <c r="U330" s="51"/>
      <c r="V330" s="51"/>
      <c r="W330" s="51"/>
      <c r="X330" s="51"/>
      <c r="Y330" s="51"/>
      <c r="Z330" s="51"/>
      <c r="AA330" s="51"/>
      <c r="AB330" s="51"/>
    </row>
    <row r="331" customFormat="false" ht="15.75" hidden="false" customHeight="false" outlineLevel="0" collapsed="false">
      <c r="A331" s="51"/>
      <c r="B331" s="51"/>
      <c r="C331" s="6"/>
      <c r="D331" s="49"/>
      <c r="E331" s="51"/>
      <c r="F331" s="6"/>
      <c r="G331" s="6"/>
      <c r="H331" s="6"/>
      <c r="I331" s="6"/>
      <c r="J331" s="6"/>
      <c r="K331" s="51"/>
      <c r="L331" s="51"/>
      <c r="M331" s="51"/>
      <c r="N331" s="51"/>
      <c r="O331" s="51"/>
      <c r="P331" s="51"/>
      <c r="Q331" s="51"/>
      <c r="R331" s="51"/>
      <c r="S331" s="51"/>
      <c r="T331" s="51"/>
      <c r="U331" s="51"/>
      <c r="V331" s="51"/>
      <c r="W331" s="51"/>
      <c r="X331" s="51"/>
      <c r="Y331" s="51"/>
      <c r="Z331" s="51"/>
      <c r="AA331" s="51"/>
      <c r="AB331" s="51"/>
    </row>
    <row r="332" customFormat="false" ht="15.75" hidden="false" customHeight="false" outlineLevel="0" collapsed="false">
      <c r="A332" s="51"/>
      <c r="B332" s="51"/>
      <c r="C332" s="6"/>
      <c r="D332" s="49"/>
      <c r="E332" s="51"/>
      <c r="F332" s="6"/>
      <c r="G332" s="6"/>
      <c r="H332" s="6"/>
      <c r="I332" s="6"/>
      <c r="J332" s="6"/>
      <c r="K332" s="51"/>
      <c r="L332" s="51"/>
      <c r="M332" s="51"/>
      <c r="N332" s="51"/>
      <c r="O332" s="51"/>
      <c r="P332" s="51"/>
      <c r="Q332" s="51"/>
      <c r="R332" s="51"/>
      <c r="S332" s="51"/>
      <c r="T332" s="51"/>
      <c r="U332" s="51"/>
      <c r="V332" s="51"/>
      <c r="W332" s="51"/>
      <c r="X332" s="51"/>
      <c r="Y332" s="51"/>
      <c r="Z332" s="51"/>
      <c r="AA332" s="51"/>
      <c r="AB332" s="51"/>
    </row>
    <row r="333" customFormat="false" ht="15.75" hidden="false" customHeight="false" outlineLevel="0" collapsed="false">
      <c r="A333" s="51"/>
      <c r="B333" s="51"/>
      <c r="C333" s="6"/>
      <c r="D333" s="49"/>
      <c r="E333" s="51"/>
      <c r="F333" s="6"/>
      <c r="G333" s="6"/>
      <c r="H333" s="6"/>
      <c r="I333" s="6"/>
      <c r="J333" s="6"/>
      <c r="K333" s="51"/>
      <c r="L333" s="51"/>
      <c r="M333" s="51"/>
      <c r="N333" s="51"/>
      <c r="O333" s="51"/>
      <c r="P333" s="51"/>
      <c r="Q333" s="51"/>
      <c r="R333" s="51"/>
      <c r="S333" s="51"/>
      <c r="T333" s="51"/>
      <c r="U333" s="51"/>
      <c r="V333" s="51"/>
      <c r="W333" s="51"/>
      <c r="X333" s="51"/>
      <c r="Y333" s="51"/>
      <c r="Z333" s="51"/>
      <c r="AA333" s="51"/>
      <c r="AB333" s="51"/>
    </row>
    <row r="334" customFormat="false" ht="15.75" hidden="false" customHeight="false" outlineLevel="0" collapsed="false">
      <c r="A334" s="51"/>
      <c r="B334" s="51"/>
      <c r="C334" s="6"/>
      <c r="D334" s="49"/>
      <c r="E334" s="51"/>
      <c r="F334" s="6"/>
      <c r="G334" s="6"/>
      <c r="H334" s="6"/>
      <c r="I334" s="6"/>
      <c r="J334" s="6"/>
      <c r="K334" s="51"/>
      <c r="L334" s="51"/>
      <c r="M334" s="51"/>
      <c r="N334" s="51"/>
      <c r="O334" s="51"/>
      <c r="P334" s="51"/>
      <c r="Q334" s="51"/>
      <c r="R334" s="51"/>
      <c r="S334" s="51"/>
      <c r="T334" s="51"/>
      <c r="U334" s="51"/>
      <c r="V334" s="51"/>
      <c r="W334" s="51"/>
      <c r="X334" s="51"/>
      <c r="Y334" s="51"/>
      <c r="Z334" s="51"/>
      <c r="AA334" s="51"/>
      <c r="AB334" s="51"/>
    </row>
    <row r="335" customFormat="false" ht="15.75" hidden="false" customHeight="false" outlineLevel="0" collapsed="false">
      <c r="A335" s="51"/>
      <c r="B335" s="51"/>
      <c r="C335" s="6"/>
      <c r="D335" s="49"/>
      <c r="E335" s="51"/>
      <c r="F335" s="6"/>
      <c r="G335" s="6"/>
      <c r="H335" s="6"/>
      <c r="I335" s="6"/>
      <c r="J335" s="6"/>
      <c r="K335" s="51"/>
      <c r="L335" s="51"/>
      <c r="M335" s="51"/>
      <c r="N335" s="51"/>
      <c r="O335" s="51"/>
      <c r="P335" s="51"/>
      <c r="Q335" s="51"/>
      <c r="R335" s="51"/>
      <c r="S335" s="51"/>
      <c r="T335" s="51"/>
      <c r="U335" s="51"/>
      <c r="V335" s="51"/>
      <c r="W335" s="51"/>
      <c r="X335" s="51"/>
      <c r="Y335" s="51"/>
      <c r="Z335" s="51"/>
      <c r="AA335" s="51"/>
      <c r="AB335" s="51"/>
    </row>
    <row r="336" customFormat="false" ht="15.75" hidden="false" customHeight="false" outlineLevel="0" collapsed="false">
      <c r="A336" s="51"/>
      <c r="B336" s="51"/>
      <c r="C336" s="6"/>
      <c r="D336" s="49"/>
      <c r="E336" s="51"/>
      <c r="F336" s="6"/>
      <c r="G336" s="6"/>
      <c r="H336" s="6"/>
      <c r="I336" s="6"/>
      <c r="J336" s="6"/>
      <c r="K336" s="51"/>
      <c r="L336" s="51"/>
      <c r="M336" s="51"/>
      <c r="N336" s="51"/>
      <c r="O336" s="51"/>
      <c r="P336" s="51"/>
      <c r="Q336" s="51"/>
      <c r="R336" s="51"/>
      <c r="S336" s="51"/>
      <c r="T336" s="51"/>
      <c r="U336" s="51"/>
      <c r="V336" s="51"/>
      <c r="W336" s="51"/>
      <c r="X336" s="51"/>
      <c r="Y336" s="51"/>
      <c r="Z336" s="51"/>
      <c r="AA336" s="51"/>
      <c r="AB336" s="51"/>
    </row>
    <row r="337" customFormat="false" ht="15.75" hidden="false" customHeight="false" outlineLevel="0" collapsed="false">
      <c r="A337" s="51"/>
      <c r="B337" s="51"/>
      <c r="C337" s="6"/>
      <c r="D337" s="49"/>
      <c r="E337" s="51"/>
      <c r="F337" s="6"/>
      <c r="G337" s="6"/>
      <c r="H337" s="6"/>
      <c r="I337" s="6"/>
      <c r="J337" s="6"/>
      <c r="K337" s="51"/>
      <c r="L337" s="51"/>
      <c r="M337" s="51"/>
      <c r="N337" s="51"/>
      <c r="O337" s="51"/>
      <c r="P337" s="51"/>
      <c r="Q337" s="51"/>
      <c r="R337" s="51"/>
      <c r="S337" s="51"/>
      <c r="T337" s="51"/>
      <c r="U337" s="51"/>
      <c r="V337" s="51"/>
      <c r="W337" s="51"/>
      <c r="X337" s="51"/>
      <c r="Y337" s="51"/>
      <c r="Z337" s="51"/>
      <c r="AA337" s="51"/>
      <c r="AB337" s="51"/>
    </row>
    <row r="338" customFormat="false" ht="15.75" hidden="false" customHeight="false" outlineLevel="0" collapsed="false">
      <c r="A338" s="51"/>
      <c r="B338" s="51"/>
      <c r="C338" s="6"/>
      <c r="D338" s="49"/>
      <c r="E338" s="51"/>
      <c r="F338" s="6"/>
      <c r="G338" s="6"/>
      <c r="H338" s="6"/>
      <c r="I338" s="6"/>
      <c r="J338" s="6"/>
      <c r="K338" s="51"/>
      <c r="L338" s="51"/>
      <c r="M338" s="51"/>
      <c r="N338" s="51"/>
      <c r="O338" s="51"/>
      <c r="P338" s="51"/>
      <c r="Q338" s="51"/>
      <c r="R338" s="51"/>
      <c r="S338" s="51"/>
      <c r="T338" s="51"/>
      <c r="U338" s="51"/>
      <c r="V338" s="51"/>
      <c r="W338" s="51"/>
      <c r="X338" s="51"/>
      <c r="Y338" s="51"/>
      <c r="Z338" s="51"/>
      <c r="AA338" s="51"/>
      <c r="AB338" s="51"/>
    </row>
    <row r="339" customFormat="false" ht="15.75" hidden="false" customHeight="false" outlineLevel="0" collapsed="false">
      <c r="A339" s="51"/>
      <c r="B339" s="51"/>
      <c r="C339" s="6"/>
      <c r="D339" s="49"/>
      <c r="E339" s="51"/>
      <c r="F339" s="6"/>
      <c r="G339" s="6"/>
      <c r="H339" s="6"/>
      <c r="I339" s="6"/>
      <c r="J339" s="6"/>
      <c r="K339" s="51"/>
      <c r="L339" s="51"/>
      <c r="M339" s="51"/>
      <c r="N339" s="51"/>
      <c r="O339" s="51"/>
      <c r="P339" s="51"/>
      <c r="Q339" s="51"/>
      <c r="R339" s="51"/>
      <c r="S339" s="51"/>
      <c r="T339" s="51"/>
      <c r="U339" s="51"/>
      <c r="V339" s="51"/>
      <c r="W339" s="51"/>
      <c r="X339" s="51"/>
      <c r="Y339" s="51"/>
      <c r="Z339" s="51"/>
      <c r="AA339" s="51"/>
      <c r="AB339" s="51"/>
    </row>
    <row r="340" customFormat="false" ht="15.75" hidden="false" customHeight="false" outlineLevel="0" collapsed="false">
      <c r="A340" s="51"/>
      <c r="B340" s="51"/>
      <c r="C340" s="6"/>
      <c r="D340" s="49"/>
      <c r="E340" s="51"/>
      <c r="F340" s="6"/>
      <c r="G340" s="6"/>
      <c r="H340" s="6"/>
      <c r="I340" s="6"/>
      <c r="J340" s="6"/>
      <c r="K340" s="51"/>
      <c r="L340" s="51"/>
      <c r="M340" s="51"/>
      <c r="N340" s="51"/>
      <c r="O340" s="51"/>
      <c r="P340" s="51"/>
      <c r="Q340" s="51"/>
      <c r="R340" s="51"/>
      <c r="S340" s="51"/>
      <c r="T340" s="51"/>
      <c r="U340" s="51"/>
      <c r="V340" s="51"/>
      <c r="W340" s="51"/>
      <c r="X340" s="51"/>
      <c r="Y340" s="51"/>
      <c r="Z340" s="51"/>
      <c r="AA340" s="51"/>
      <c r="AB340" s="51"/>
    </row>
    <row r="341" customFormat="false" ht="15.75" hidden="false" customHeight="false" outlineLevel="0" collapsed="false">
      <c r="A341" s="51"/>
      <c r="B341" s="51"/>
      <c r="C341" s="6"/>
      <c r="D341" s="49"/>
      <c r="E341" s="51"/>
      <c r="F341" s="6"/>
      <c r="G341" s="6"/>
      <c r="H341" s="6"/>
      <c r="I341" s="6"/>
      <c r="J341" s="6"/>
      <c r="K341" s="51"/>
      <c r="L341" s="51"/>
      <c r="M341" s="51"/>
      <c r="N341" s="51"/>
      <c r="O341" s="51"/>
      <c r="P341" s="51"/>
      <c r="Q341" s="51"/>
      <c r="R341" s="51"/>
      <c r="S341" s="51"/>
      <c r="T341" s="51"/>
      <c r="U341" s="51"/>
      <c r="V341" s="51"/>
      <c r="W341" s="51"/>
      <c r="X341" s="51"/>
      <c r="Y341" s="51"/>
      <c r="Z341" s="51"/>
      <c r="AA341" s="51"/>
      <c r="AB341" s="51"/>
    </row>
    <row r="342" customFormat="false" ht="15.75" hidden="false" customHeight="false" outlineLevel="0" collapsed="false">
      <c r="A342" s="51"/>
      <c r="B342" s="51"/>
      <c r="C342" s="6"/>
      <c r="D342" s="49"/>
      <c r="E342" s="51"/>
      <c r="F342" s="6"/>
      <c r="G342" s="6"/>
      <c r="H342" s="6"/>
      <c r="I342" s="6"/>
      <c r="J342" s="6"/>
      <c r="K342" s="51"/>
      <c r="L342" s="51"/>
      <c r="M342" s="51"/>
      <c r="N342" s="51"/>
      <c r="O342" s="51"/>
      <c r="P342" s="51"/>
      <c r="Q342" s="51"/>
      <c r="R342" s="51"/>
      <c r="S342" s="51"/>
      <c r="T342" s="51"/>
      <c r="U342" s="51"/>
      <c r="V342" s="51"/>
      <c r="W342" s="51"/>
      <c r="X342" s="51"/>
      <c r="Y342" s="51"/>
      <c r="Z342" s="51"/>
      <c r="AA342" s="51"/>
      <c r="AB342" s="51"/>
    </row>
    <row r="343" customFormat="false" ht="15.75" hidden="false" customHeight="false" outlineLevel="0" collapsed="false">
      <c r="A343" s="51"/>
      <c r="B343" s="51"/>
      <c r="C343" s="6"/>
      <c r="D343" s="49"/>
      <c r="E343" s="51"/>
      <c r="F343" s="6"/>
      <c r="G343" s="6"/>
      <c r="H343" s="6"/>
      <c r="I343" s="6"/>
      <c r="J343" s="6"/>
      <c r="K343" s="51"/>
      <c r="L343" s="51"/>
      <c r="M343" s="51"/>
      <c r="N343" s="51"/>
      <c r="O343" s="51"/>
      <c r="P343" s="51"/>
      <c r="Q343" s="51"/>
      <c r="R343" s="51"/>
      <c r="S343" s="51"/>
      <c r="T343" s="51"/>
      <c r="U343" s="51"/>
      <c r="V343" s="51"/>
      <c r="W343" s="51"/>
      <c r="X343" s="51"/>
      <c r="Y343" s="51"/>
      <c r="Z343" s="51"/>
      <c r="AA343" s="51"/>
      <c r="AB343" s="51"/>
    </row>
    <row r="344" customFormat="false" ht="15.75" hidden="false" customHeight="false" outlineLevel="0" collapsed="false">
      <c r="A344" s="51"/>
      <c r="B344" s="51"/>
      <c r="C344" s="6"/>
      <c r="D344" s="49"/>
      <c r="E344" s="51"/>
      <c r="F344" s="6"/>
      <c r="G344" s="6"/>
      <c r="H344" s="6"/>
      <c r="I344" s="6"/>
      <c r="J344" s="6"/>
      <c r="K344" s="51"/>
      <c r="L344" s="51"/>
      <c r="M344" s="51"/>
      <c r="N344" s="51"/>
      <c r="O344" s="51"/>
      <c r="P344" s="51"/>
      <c r="Q344" s="51"/>
      <c r="R344" s="51"/>
      <c r="S344" s="51"/>
      <c r="T344" s="51"/>
      <c r="U344" s="51"/>
      <c r="V344" s="51"/>
      <c r="W344" s="51"/>
      <c r="X344" s="51"/>
      <c r="Y344" s="51"/>
      <c r="Z344" s="51"/>
      <c r="AA344" s="51"/>
      <c r="AB344" s="51"/>
    </row>
    <row r="345" customFormat="false" ht="15.75" hidden="false" customHeight="false" outlineLevel="0" collapsed="false">
      <c r="A345" s="51"/>
      <c r="B345" s="51"/>
      <c r="C345" s="6"/>
      <c r="D345" s="49"/>
      <c r="E345" s="51"/>
      <c r="F345" s="6"/>
      <c r="G345" s="6"/>
      <c r="H345" s="6"/>
      <c r="I345" s="6"/>
      <c r="J345" s="6"/>
      <c r="K345" s="51"/>
      <c r="L345" s="51"/>
      <c r="M345" s="51"/>
      <c r="N345" s="51"/>
      <c r="O345" s="51"/>
      <c r="P345" s="51"/>
      <c r="Q345" s="51"/>
      <c r="R345" s="51"/>
      <c r="S345" s="51"/>
      <c r="T345" s="51"/>
      <c r="U345" s="51"/>
      <c r="V345" s="51"/>
      <c r="W345" s="51"/>
      <c r="X345" s="51"/>
      <c r="Y345" s="51"/>
      <c r="Z345" s="51"/>
      <c r="AA345" s="51"/>
      <c r="AB345" s="51"/>
    </row>
    <row r="346" customFormat="false" ht="15.75" hidden="false" customHeight="false" outlineLevel="0" collapsed="false">
      <c r="A346" s="51"/>
      <c r="B346" s="51"/>
      <c r="C346" s="6"/>
      <c r="D346" s="49"/>
      <c r="E346" s="51"/>
      <c r="F346" s="6"/>
      <c r="G346" s="6"/>
      <c r="H346" s="6"/>
      <c r="I346" s="6"/>
      <c r="J346" s="6"/>
      <c r="K346" s="51"/>
      <c r="L346" s="51"/>
      <c r="M346" s="51"/>
      <c r="N346" s="51"/>
      <c r="O346" s="51"/>
      <c r="P346" s="51"/>
      <c r="Q346" s="51"/>
      <c r="R346" s="51"/>
      <c r="S346" s="51"/>
      <c r="T346" s="51"/>
      <c r="U346" s="51"/>
      <c r="V346" s="51"/>
      <c r="W346" s="51"/>
      <c r="X346" s="51"/>
      <c r="Y346" s="51"/>
      <c r="Z346" s="51"/>
      <c r="AA346" s="51"/>
      <c r="AB346" s="51"/>
    </row>
    <row r="347" customFormat="false" ht="15.75" hidden="false" customHeight="false" outlineLevel="0" collapsed="false">
      <c r="A347" s="51"/>
      <c r="B347" s="51"/>
      <c r="C347" s="6"/>
      <c r="D347" s="49"/>
      <c r="E347" s="51"/>
      <c r="F347" s="6"/>
      <c r="G347" s="6"/>
      <c r="H347" s="6"/>
      <c r="I347" s="6"/>
      <c r="J347" s="6"/>
      <c r="K347" s="51"/>
      <c r="L347" s="51"/>
      <c r="M347" s="51"/>
      <c r="N347" s="51"/>
      <c r="O347" s="51"/>
      <c r="P347" s="51"/>
      <c r="Q347" s="51"/>
      <c r="R347" s="51"/>
      <c r="S347" s="51"/>
      <c r="T347" s="51"/>
      <c r="U347" s="51"/>
      <c r="V347" s="51"/>
      <c r="W347" s="51"/>
      <c r="X347" s="51"/>
      <c r="Y347" s="51"/>
      <c r="Z347" s="51"/>
      <c r="AA347" s="51"/>
      <c r="AB347" s="51"/>
    </row>
    <row r="348" customFormat="false" ht="15.75" hidden="false" customHeight="false" outlineLevel="0" collapsed="false">
      <c r="A348" s="51"/>
      <c r="B348" s="51"/>
      <c r="C348" s="6"/>
      <c r="D348" s="49"/>
      <c r="E348" s="51"/>
      <c r="F348" s="6"/>
      <c r="G348" s="6"/>
      <c r="H348" s="6"/>
      <c r="I348" s="6"/>
      <c r="J348" s="6"/>
      <c r="K348" s="51"/>
      <c r="L348" s="51"/>
      <c r="M348" s="51"/>
      <c r="N348" s="51"/>
      <c r="O348" s="51"/>
      <c r="P348" s="51"/>
      <c r="Q348" s="51"/>
      <c r="R348" s="51"/>
      <c r="S348" s="51"/>
      <c r="T348" s="51"/>
      <c r="U348" s="51"/>
      <c r="V348" s="51"/>
      <c r="W348" s="51"/>
      <c r="X348" s="51"/>
      <c r="Y348" s="51"/>
      <c r="Z348" s="51"/>
      <c r="AA348" s="51"/>
      <c r="AB348" s="51"/>
    </row>
    <row r="349" customFormat="false" ht="15.75" hidden="false" customHeight="false" outlineLevel="0" collapsed="false">
      <c r="A349" s="51"/>
      <c r="B349" s="51"/>
      <c r="C349" s="6"/>
      <c r="D349" s="49"/>
      <c r="E349" s="51"/>
      <c r="F349" s="6"/>
      <c r="G349" s="6"/>
      <c r="H349" s="6"/>
      <c r="I349" s="6"/>
      <c r="J349" s="6"/>
      <c r="K349" s="51"/>
      <c r="L349" s="51"/>
      <c r="M349" s="51"/>
      <c r="N349" s="51"/>
      <c r="O349" s="51"/>
      <c r="P349" s="51"/>
      <c r="Q349" s="51"/>
      <c r="R349" s="51"/>
      <c r="S349" s="51"/>
      <c r="T349" s="51"/>
      <c r="U349" s="51"/>
      <c r="V349" s="51"/>
      <c r="W349" s="51"/>
      <c r="X349" s="51"/>
      <c r="Y349" s="51"/>
      <c r="Z349" s="51"/>
      <c r="AA349" s="51"/>
      <c r="AB349" s="51"/>
    </row>
    <row r="350" customFormat="false" ht="15.75" hidden="false" customHeight="false" outlineLevel="0" collapsed="false">
      <c r="A350" s="51"/>
      <c r="B350" s="51"/>
      <c r="C350" s="6"/>
      <c r="D350" s="49"/>
      <c r="E350" s="51"/>
      <c r="F350" s="6"/>
      <c r="G350" s="6"/>
      <c r="H350" s="6"/>
      <c r="I350" s="6"/>
      <c r="J350" s="6"/>
      <c r="K350" s="51"/>
      <c r="L350" s="51"/>
      <c r="M350" s="51"/>
      <c r="N350" s="51"/>
      <c r="O350" s="51"/>
      <c r="P350" s="51"/>
      <c r="Q350" s="51"/>
      <c r="R350" s="51"/>
      <c r="S350" s="51"/>
      <c r="T350" s="51"/>
      <c r="U350" s="51"/>
      <c r="V350" s="51"/>
      <c r="W350" s="51"/>
      <c r="X350" s="51"/>
      <c r="Y350" s="51"/>
      <c r="Z350" s="51"/>
      <c r="AA350" s="51"/>
      <c r="AB350" s="51"/>
    </row>
    <row r="351" customFormat="false" ht="15.75" hidden="false" customHeight="false" outlineLevel="0" collapsed="false">
      <c r="A351" s="51"/>
      <c r="B351" s="51"/>
      <c r="C351" s="6"/>
      <c r="D351" s="49"/>
      <c r="E351" s="51"/>
      <c r="F351" s="6"/>
      <c r="G351" s="6"/>
      <c r="H351" s="6"/>
      <c r="I351" s="6"/>
      <c r="J351" s="6"/>
      <c r="K351" s="51"/>
      <c r="L351" s="51"/>
      <c r="M351" s="51"/>
      <c r="N351" s="51"/>
      <c r="O351" s="51"/>
      <c r="P351" s="51"/>
      <c r="Q351" s="51"/>
      <c r="R351" s="51"/>
      <c r="S351" s="51"/>
      <c r="T351" s="51"/>
      <c r="U351" s="51"/>
      <c r="V351" s="51"/>
      <c r="W351" s="51"/>
      <c r="X351" s="51"/>
      <c r="Y351" s="51"/>
      <c r="Z351" s="51"/>
      <c r="AA351" s="51"/>
      <c r="AB351" s="51"/>
    </row>
    <row r="352" customFormat="false" ht="15.75" hidden="false" customHeight="false" outlineLevel="0" collapsed="false">
      <c r="A352" s="51"/>
      <c r="B352" s="51"/>
      <c r="C352" s="6"/>
      <c r="D352" s="49"/>
      <c r="E352" s="51"/>
      <c r="F352" s="6"/>
      <c r="G352" s="6"/>
      <c r="H352" s="6"/>
      <c r="I352" s="6"/>
      <c r="J352" s="6"/>
      <c r="K352" s="51"/>
      <c r="L352" s="51"/>
      <c r="M352" s="51"/>
      <c r="N352" s="51"/>
      <c r="O352" s="51"/>
      <c r="P352" s="51"/>
      <c r="Q352" s="51"/>
      <c r="R352" s="51"/>
      <c r="S352" s="51"/>
      <c r="T352" s="51"/>
      <c r="U352" s="51"/>
      <c r="V352" s="51"/>
      <c r="W352" s="51"/>
      <c r="X352" s="51"/>
      <c r="Y352" s="51"/>
      <c r="Z352" s="51"/>
      <c r="AA352" s="51"/>
      <c r="AB352" s="51"/>
    </row>
    <row r="353" customFormat="false" ht="15.75" hidden="false" customHeight="false" outlineLevel="0" collapsed="false">
      <c r="A353" s="51"/>
      <c r="B353" s="51"/>
      <c r="C353" s="6"/>
      <c r="D353" s="49"/>
      <c r="E353" s="51"/>
      <c r="F353" s="6"/>
      <c r="G353" s="6"/>
      <c r="H353" s="6"/>
      <c r="I353" s="6"/>
      <c r="J353" s="6"/>
      <c r="K353" s="51"/>
      <c r="L353" s="51"/>
      <c r="M353" s="51"/>
      <c r="N353" s="51"/>
      <c r="O353" s="51"/>
      <c r="P353" s="51"/>
      <c r="Q353" s="51"/>
      <c r="R353" s="51"/>
      <c r="S353" s="51"/>
      <c r="T353" s="51"/>
      <c r="U353" s="51"/>
      <c r="V353" s="51"/>
      <c r="W353" s="51"/>
      <c r="X353" s="51"/>
      <c r="Y353" s="51"/>
      <c r="Z353" s="51"/>
      <c r="AA353" s="51"/>
      <c r="AB353" s="51"/>
    </row>
    <row r="354" customFormat="false" ht="15.75" hidden="false" customHeight="false" outlineLevel="0" collapsed="false">
      <c r="A354" s="51"/>
      <c r="B354" s="51"/>
      <c r="C354" s="6"/>
      <c r="D354" s="49"/>
      <c r="E354" s="51"/>
      <c r="F354" s="6"/>
      <c r="G354" s="6"/>
      <c r="H354" s="6"/>
      <c r="I354" s="6"/>
      <c r="J354" s="6"/>
      <c r="K354" s="51"/>
      <c r="L354" s="51"/>
      <c r="M354" s="51"/>
      <c r="N354" s="51"/>
      <c r="O354" s="51"/>
      <c r="P354" s="51"/>
      <c r="Q354" s="51"/>
      <c r="R354" s="51"/>
      <c r="S354" s="51"/>
      <c r="T354" s="51"/>
      <c r="U354" s="51"/>
      <c r="V354" s="51"/>
      <c r="W354" s="51"/>
      <c r="X354" s="51"/>
      <c r="Y354" s="51"/>
      <c r="Z354" s="51"/>
      <c r="AA354" s="51"/>
      <c r="AB354" s="51"/>
    </row>
    <row r="355" customFormat="false" ht="15.75" hidden="false" customHeight="false" outlineLevel="0" collapsed="false">
      <c r="A355" s="51"/>
      <c r="B355" s="51"/>
      <c r="C355" s="6"/>
      <c r="D355" s="49"/>
      <c r="E355" s="51"/>
      <c r="F355" s="6"/>
      <c r="G355" s="6"/>
      <c r="H355" s="6"/>
      <c r="I355" s="6"/>
      <c r="J355" s="6"/>
      <c r="K355" s="51"/>
      <c r="L355" s="51"/>
      <c r="M355" s="51"/>
      <c r="N355" s="51"/>
      <c r="O355" s="51"/>
      <c r="P355" s="51"/>
      <c r="Q355" s="51"/>
      <c r="R355" s="51"/>
      <c r="S355" s="51"/>
      <c r="T355" s="51"/>
      <c r="U355" s="51"/>
      <c r="V355" s="51"/>
      <c r="W355" s="51"/>
      <c r="X355" s="51"/>
      <c r="Y355" s="51"/>
      <c r="Z355" s="51"/>
      <c r="AA355" s="51"/>
      <c r="AB355" s="51"/>
    </row>
    <row r="356" customFormat="false" ht="15.75" hidden="false" customHeight="false" outlineLevel="0" collapsed="false">
      <c r="A356" s="51"/>
      <c r="B356" s="51"/>
      <c r="C356" s="6"/>
      <c r="D356" s="49"/>
      <c r="E356" s="51"/>
      <c r="F356" s="6"/>
      <c r="G356" s="6"/>
      <c r="H356" s="6"/>
      <c r="I356" s="6"/>
      <c r="J356" s="6"/>
      <c r="K356" s="51"/>
      <c r="L356" s="51"/>
      <c r="M356" s="51"/>
      <c r="N356" s="51"/>
      <c r="O356" s="51"/>
      <c r="P356" s="51"/>
      <c r="Q356" s="51"/>
      <c r="R356" s="51"/>
      <c r="S356" s="51"/>
      <c r="T356" s="51"/>
      <c r="U356" s="51"/>
      <c r="V356" s="51"/>
      <c r="W356" s="51"/>
      <c r="X356" s="51"/>
      <c r="Y356" s="51"/>
      <c r="Z356" s="51"/>
      <c r="AA356" s="51"/>
      <c r="AB356" s="51"/>
    </row>
    <row r="357" customFormat="false" ht="15.75" hidden="false" customHeight="false" outlineLevel="0" collapsed="false">
      <c r="A357" s="51"/>
      <c r="B357" s="51"/>
      <c r="C357" s="6"/>
      <c r="D357" s="49"/>
      <c r="E357" s="51"/>
      <c r="F357" s="6"/>
      <c r="G357" s="6"/>
      <c r="H357" s="6"/>
      <c r="I357" s="6"/>
      <c r="J357" s="6"/>
      <c r="K357" s="51"/>
      <c r="L357" s="51"/>
      <c r="M357" s="51"/>
      <c r="N357" s="51"/>
      <c r="O357" s="51"/>
      <c r="P357" s="51"/>
      <c r="Q357" s="51"/>
      <c r="R357" s="51"/>
      <c r="S357" s="51"/>
      <c r="T357" s="51"/>
      <c r="U357" s="51"/>
      <c r="V357" s="51"/>
      <c r="W357" s="51"/>
      <c r="X357" s="51"/>
      <c r="Y357" s="51"/>
      <c r="Z357" s="51"/>
      <c r="AA357" s="51"/>
      <c r="AB357" s="51"/>
    </row>
    <row r="358" customFormat="false" ht="15.75" hidden="false" customHeight="false" outlineLevel="0" collapsed="false">
      <c r="A358" s="51"/>
      <c r="B358" s="51"/>
      <c r="C358" s="6"/>
      <c r="D358" s="49"/>
      <c r="E358" s="51"/>
      <c r="F358" s="6"/>
      <c r="G358" s="6"/>
      <c r="H358" s="6"/>
      <c r="I358" s="6"/>
      <c r="J358" s="6"/>
      <c r="K358" s="51"/>
      <c r="L358" s="51"/>
      <c r="M358" s="51"/>
      <c r="N358" s="51"/>
      <c r="O358" s="51"/>
      <c r="P358" s="51"/>
      <c r="Q358" s="51"/>
      <c r="R358" s="51"/>
      <c r="S358" s="51"/>
      <c r="T358" s="51"/>
      <c r="U358" s="51"/>
      <c r="V358" s="51"/>
      <c r="W358" s="51"/>
      <c r="X358" s="51"/>
      <c r="Y358" s="51"/>
      <c r="Z358" s="51"/>
      <c r="AA358" s="51"/>
      <c r="AB358" s="51"/>
    </row>
    <row r="359" customFormat="false" ht="15.75" hidden="false" customHeight="false" outlineLevel="0" collapsed="false">
      <c r="A359" s="51"/>
      <c r="B359" s="51"/>
      <c r="C359" s="6"/>
      <c r="D359" s="49"/>
      <c r="E359" s="51"/>
      <c r="F359" s="6"/>
      <c r="G359" s="6"/>
      <c r="H359" s="6"/>
      <c r="I359" s="6"/>
      <c r="J359" s="6"/>
      <c r="K359" s="51"/>
      <c r="L359" s="51"/>
      <c r="M359" s="51"/>
      <c r="N359" s="51"/>
      <c r="O359" s="51"/>
      <c r="P359" s="51"/>
      <c r="Q359" s="51"/>
      <c r="R359" s="51"/>
      <c r="S359" s="51"/>
      <c r="T359" s="51"/>
      <c r="U359" s="51"/>
      <c r="V359" s="51"/>
      <c r="W359" s="51"/>
      <c r="X359" s="51"/>
      <c r="Y359" s="51"/>
      <c r="Z359" s="51"/>
      <c r="AA359" s="51"/>
      <c r="AB359" s="51"/>
    </row>
    <row r="360" customFormat="false" ht="15.75" hidden="false" customHeight="false" outlineLevel="0" collapsed="false">
      <c r="A360" s="51"/>
      <c r="B360" s="51"/>
      <c r="C360" s="6"/>
      <c r="D360" s="49"/>
      <c r="E360" s="51"/>
      <c r="F360" s="6"/>
      <c r="G360" s="6"/>
      <c r="H360" s="6"/>
      <c r="I360" s="6"/>
      <c r="J360" s="6"/>
      <c r="K360" s="51"/>
      <c r="L360" s="51"/>
      <c r="M360" s="51"/>
      <c r="N360" s="51"/>
      <c r="O360" s="51"/>
      <c r="P360" s="51"/>
      <c r="Q360" s="51"/>
      <c r="R360" s="51"/>
      <c r="S360" s="51"/>
      <c r="T360" s="51"/>
      <c r="U360" s="51"/>
      <c r="V360" s="51"/>
      <c r="W360" s="51"/>
      <c r="X360" s="51"/>
      <c r="Y360" s="51"/>
      <c r="Z360" s="51"/>
      <c r="AA360" s="51"/>
      <c r="AB360" s="51"/>
    </row>
    <row r="361" customFormat="false" ht="15.75" hidden="false" customHeight="false" outlineLevel="0" collapsed="false">
      <c r="A361" s="51"/>
      <c r="B361" s="51"/>
      <c r="C361" s="6"/>
      <c r="D361" s="49"/>
      <c r="E361" s="51"/>
      <c r="F361" s="6"/>
      <c r="G361" s="6"/>
      <c r="H361" s="6"/>
      <c r="I361" s="6"/>
      <c r="J361" s="6"/>
      <c r="K361" s="51"/>
      <c r="L361" s="51"/>
      <c r="M361" s="51"/>
      <c r="N361" s="51"/>
      <c r="O361" s="51"/>
      <c r="P361" s="51"/>
      <c r="Q361" s="51"/>
      <c r="R361" s="51"/>
      <c r="S361" s="51"/>
      <c r="T361" s="51"/>
      <c r="U361" s="51"/>
      <c r="V361" s="51"/>
      <c r="W361" s="51"/>
      <c r="X361" s="51"/>
      <c r="Y361" s="51"/>
      <c r="Z361" s="51"/>
      <c r="AA361" s="51"/>
      <c r="AB361" s="51"/>
    </row>
    <row r="362" customFormat="false" ht="15.75" hidden="false" customHeight="false" outlineLevel="0" collapsed="false">
      <c r="A362" s="51"/>
      <c r="B362" s="51"/>
      <c r="C362" s="6"/>
      <c r="D362" s="49"/>
      <c r="E362" s="51"/>
      <c r="F362" s="6"/>
      <c r="G362" s="6"/>
      <c r="H362" s="6"/>
      <c r="I362" s="6"/>
      <c r="J362" s="6"/>
      <c r="K362" s="51"/>
      <c r="L362" s="51"/>
      <c r="M362" s="51"/>
      <c r="N362" s="51"/>
      <c r="O362" s="51"/>
      <c r="P362" s="51"/>
      <c r="Q362" s="51"/>
      <c r="R362" s="51"/>
      <c r="S362" s="51"/>
      <c r="T362" s="51"/>
      <c r="U362" s="51"/>
      <c r="V362" s="51"/>
      <c r="W362" s="51"/>
      <c r="X362" s="51"/>
      <c r="Y362" s="51"/>
      <c r="Z362" s="51"/>
      <c r="AA362" s="51"/>
      <c r="AB362" s="51"/>
    </row>
    <row r="363" customFormat="false" ht="15.75" hidden="false" customHeight="false" outlineLevel="0" collapsed="false">
      <c r="A363" s="51"/>
      <c r="B363" s="51"/>
      <c r="C363" s="6"/>
      <c r="D363" s="49"/>
      <c r="E363" s="51"/>
      <c r="F363" s="6"/>
      <c r="G363" s="6"/>
      <c r="H363" s="6"/>
      <c r="I363" s="6"/>
      <c r="J363" s="6"/>
      <c r="K363" s="51"/>
      <c r="L363" s="51"/>
      <c r="M363" s="51"/>
      <c r="N363" s="51"/>
      <c r="O363" s="51"/>
      <c r="P363" s="51"/>
      <c r="Q363" s="51"/>
      <c r="R363" s="51"/>
      <c r="S363" s="51"/>
      <c r="T363" s="51"/>
      <c r="U363" s="51"/>
      <c r="V363" s="51"/>
      <c r="W363" s="51"/>
      <c r="X363" s="51"/>
      <c r="Y363" s="51"/>
      <c r="Z363" s="51"/>
      <c r="AA363" s="51"/>
      <c r="AB363" s="51"/>
    </row>
    <row r="364" customFormat="false" ht="15.75" hidden="false" customHeight="false" outlineLevel="0" collapsed="false">
      <c r="A364" s="51"/>
      <c r="B364" s="51"/>
      <c r="C364" s="6"/>
      <c r="D364" s="49"/>
      <c r="E364" s="51"/>
      <c r="F364" s="6"/>
      <c r="G364" s="6"/>
      <c r="H364" s="6"/>
      <c r="I364" s="6"/>
      <c r="J364" s="6"/>
      <c r="K364" s="51"/>
      <c r="L364" s="51"/>
      <c r="M364" s="51"/>
      <c r="N364" s="51"/>
      <c r="O364" s="51"/>
      <c r="P364" s="51"/>
      <c r="Q364" s="51"/>
      <c r="R364" s="51"/>
      <c r="S364" s="51"/>
      <c r="T364" s="51"/>
      <c r="U364" s="51"/>
      <c r="V364" s="51"/>
      <c r="W364" s="51"/>
      <c r="X364" s="51"/>
      <c r="Y364" s="51"/>
      <c r="Z364" s="51"/>
      <c r="AA364" s="51"/>
      <c r="AB364" s="51"/>
    </row>
    <row r="365" customFormat="false" ht="15.75" hidden="false" customHeight="false" outlineLevel="0" collapsed="false">
      <c r="A365" s="51"/>
      <c r="B365" s="51"/>
      <c r="C365" s="6"/>
      <c r="D365" s="49"/>
      <c r="E365" s="51"/>
      <c r="F365" s="6"/>
      <c r="G365" s="6"/>
      <c r="H365" s="6"/>
      <c r="I365" s="6"/>
      <c r="J365" s="6"/>
      <c r="K365" s="51"/>
      <c r="L365" s="51"/>
      <c r="M365" s="51"/>
      <c r="N365" s="51"/>
      <c r="O365" s="51"/>
      <c r="P365" s="51"/>
      <c r="Q365" s="51"/>
      <c r="R365" s="51"/>
      <c r="S365" s="51"/>
      <c r="T365" s="51"/>
      <c r="U365" s="51"/>
      <c r="V365" s="51"/>
      <c r="W365" s="51"/>
      <c r="X365" s="51"/>
      <c r="Y365" s="51"/>
      <c r="Z365" s="51"/>
      <c r="AA365" s="51"/>
      <c r="AB365" s="51"/>
    </row>
    <row r="366" customFormat="false" ht="15.75" hidden="false" customHeight="false" outlineLevel="0" collapsed="false">
      <c r="A366" s="51"/>
      <c r="B366" s="51"/>
      <c r="C366" s="6"/>
      <c r="D366" s="49"/>
      <c r="E366" s="51"/>
      <c r="F366" s="6"/>
      <c r="G366" s="6"/>
      <c r="H366" s="6"/>
      <c r="I366" s="6"/>
      <c r="J366" s="6"/>
      <c r="K366" s="51"/>
      <c r="L366" s="51"/>
      <c r="M366" s="51"/>
      <c r="N366" s="51"/>
      <c r="O366" s="51"/>
      <c r="P366" s="51"/>
      <c r="Q366" s="51"/>
      <c r="R366" s="51"/>
      <c r="S366" s="51"/>
      <c r="T366" s="51"/>
      <c r="U366" s="51"/>
      <c r="V366" s="51"/>
      <c r="W366" s="51"/>
      <c r="X366" s="51"/>
      <c r="Y366" s="51"/>
      <c r="Z366" s="51"/>
      <c r="AA366" s="51"/>
      <c r="AB366" s="51"/>
    </row>
    <row r="367" customFormat="false" ht="15.75" hidden="false" customHeight="false" outlineLevel="0" collapsed="false">
      <c r="A367" s="51"/>
      <c r="B367" s="51"/>
      <c r="C367" s="6"/>
      <c r="D367" s="49"/>
      <c r="E367" s="51"/>
      <c r="F367" s="6"/>
      <c r="G367" s="6"/>
      <c r="H367" s="6"/>
      <c r="I367" s="6"/>
      <c r="J367" s="6"/>
      <c r="K367" s="51"/>
      <c r="L367" s="51"/>
      <c r="M367" s="51"/>
      <c r="N367" s="51"/>
      <c r="O367" s="51"/>
      <c r="P367" s="51"/>
      <c r="Q367" s="51"/>
      <c r="R367" s="51"/>
      <c r="S367" s="51"/>
      <c r="T367" s="51"/>
      <c r="U367" s="51"/>
      <c r="V367" s="51"/>
      <c r="W367" s="51"/>
      <c r="X367" s="51"/>
      <c r="Y367" s="51"/>
      <c r="Z367" s="51"/>
      <c r="AA367" s="51"/>
      <c r="AB367" s="51"/>
    </row>
    <row r="368" customFormat="false" ht="15.75" hidden="false" customHeight="false" outlineLevel="0" collapsed="false">
      <c r="A368" s="51"/>
      <c r="B368" s="51"/>
      <c r="C368" s="6"/>
      <c r="D368" s="49"/>
      <c r="E368" s="51"/>
      <c r="F368" s="6"/>
      <c r="G368" s="6"/>
      <c r="H368" s="6"/>
      <c r="I368" s="6"/>
      <c r="J368" s="6"/>
      <c r="K368" s="51"/>
      <c r="L368" s="51"/>
      <c r="M368" s="51"/>
      <c r="N368" s="51"/>
      <c r="O368" s="51"/>
      <c r="P368" s="51"/>
      <c r="Q368" s="51"/>
      <c r="R368" s="51"/>
      <c r="S368" s="51"/>
      <c r="T368" s="51"/>
      <c r="U368" s="51"/>
      <c r="V368" s="51"/>
      <c r="W368" s="51"/>
      <c r="X368" s="51"/>
      <c r="Y368" s="51"/>
      <c r="Z368" s="51"/>
      <c r="AA368" s="51"/>
      <c r="AB368" s="51"/>
    </row>
    <row r="369" customFormat="false" ht="15.75" hidden="false" customHeight="false" outlineLevel="0" collapsed="false">
      <c r="A369" s="51"/>
      <c r="B369" s="51"/>
      <c r="C369" s="6"/>
      <c r="D369" s="49"/>
      <c r="E369" s="51"/>
      <c r="F369" s="6"/>
      <c r="G369" s="6"/>
      <c r="H369" s="6"/>
      <c r="I369" s="6"/>
      <c r="J369" s="6"/>
      <c r="K369" s="51"/>
      <c r="L369" s="51"/>
      <c r="M369" s="51"/>
      <c r="N369" s="51"/>
      <c r="O369" s="51"/>
      <c r="P369" s="51"/>
      <c r="Q369" s="51"/>
      <c r="R369" s="51"/>
      <c r="S369" s="51"/>
      <c r="T369" s="51"/>
      <c r="U369" s="51"/>
      <c r="V369" s="51"/>
      <c r="W369" s="51"/>
      <c r="X369" s="51"/>
      <c r="Y369" s="51"/>
      <c r="Z369" s="51"/>
      <c r="AA369" s="51"/>
      <c r="AB369" s="51"/>
    </row>
    <row r="370" customFormat="false" ht="15.75" hidden="false" customHeight="false" outlineLevel="0" collapsed="false">
      <c r="A370" s="51"/>
      <c r="B370" s="51"/>
      <c r="C370" s="6"/>
      <c r="D370" s="49"/>
      <c r="E370" s="51"/>
      <c r="F370" s="6"/>
      <c r="G370" s="6"/>
      <c r="H370" s="6"/>
      <c r="I370" s="6"/>
      <c r="J370" s="6"/>
      <c r="K370" s="51"/>
      <c r="L370" s="51"/>
      <c r="M370" s="51"/>
      <c r="N370" s="51"/>
      <c r="O370" s="51"/>
      <c r="P370" s="51"/>
      <c r="Q370" s="51"/>
      <c r="R370" s="51"/>
      <c r="S370" s="51"/>
      <c r="T370" s="51"/>
      <c r="U370" s="51"/>
      <c r="V370" s="51"/>
      <c r="W370" s="51"/>
      <c r="X370" s="51"/>
      <c r="Y370" s="51"/>
      <c r="Z370" s="51"/>
      <c r="AA370" s="51"/>
      <c r="AB370" s="51"/>
    </row>
    <row r="371" customFormat="false" ht="15.75" hidden="false" customHeight="false" outlineLevel="0" collapsed="false">
      <c r="A371" s="51"/>
      <c r="B371" s="51"/>
      <c r="C371" s="6"/>
      <c r="D371" s="49"/>
      <c r="E371" s="51"/>
      <c r="F371" s="6"/>
      <c r="G371" s="6"/>
      <c r="H371" s="6"/>
      <c r="I371" s="6"/>
      <c r="J371" s="6"/>
      <c r="K371" s="51"/>
      <c r="L371" s="51"/>
      <c r="M371" s="51"/>
      <c r="N371" s="51"/>
      <c r="O371" s="51"/>
      <c r="P371" s="51"/>
      <c r="Q371" s="51"/>
      <c r="R371" s="51"/>
      <c r="S371" s="51"/>
      <c r="T371" s="51"/>
      <c r="U371" s="51"/>
      <c r="V371" s="51"/>
      <c r="W371" s="51"/>
      <c r="X371" s="51"/>
      <c r="Y371" s="51"/>
      <c r="Z371" s="51"/>
      <c r="AA371" s="51"/>
      <c r="AB371" s="51"/>
    </row>
    <row r="372" customFormat="false" ht="15.75" hidden="false" customHeight="false" outlineLevel="0" collapsed="false">
      <c r="A372" s="51"/>
      <c r="B372" s="51"/>
      <c r="C372" s="6"/>
      <c r="D372" s="49"/>
      <c r="E372" s="51"/>
      <c r="F372" s="6"/>
      <c r="G372" s="6"/>
      <c r="H372" s="6"/>
      <c r="I372" s="6"/>
      <c r="J372" s="6"/>
      <c r="K372" s="51"/>
      <c r="L372" s="51"/>
      <c r="M372" s="51"/>
      <c r="N372" s="51"/>
      <c r="O372" s="51"/>
      <c r="P372" s="51"/>
      <c r="Q372" s="51"/>
      <c r="R372" s="51"/>
      <c r="S372" s="51"/>
      <c r="T372" s="51"/>
      <c r="U372" s="51"/>
      <c r="V372" s="51"/>
      <c r="W372" s="51"/>
      <c r="X372" s="51"/>
      <c r="Y372" s="51"/>
      <c r="Z372" s="51"/>
      <c r="AA372" s="51"/>
      <c r="AB372" s="51"/>
    </row>
    <row r="373" customFormat="false" ht="15.75" hidden="false" customHeight="false" outlineLevel="0" collapsed="false">
      <c r="A373" s="51"/>
      <c r="B373" s="51"/>
      <c r="C373" s="6"/>
      <c r="D373" s="49"/>
      <c r="E373" s="51"/>
      <c r="F373" s="6"/>
      <c r="G373" s="6"/>
      <c r="H373" s="6"/>
      <c r="I373" s="6"/>
      <c r="J373" s="6"/>
      <c r="K373" s="51"/>
      <c r="L373" s="51"/>
      <c r="M373" s="51"/>
      <c r="N373" s="51"/>
      <c r="O373" s="51"/>
      <c r="P373" s="51"/>
      <c r="Q373" s="51"/>
      <c r="R373" s="51"/>
      <c r="S373" s="51"/>
      <c r="T373" s="51"/>
      <c r="U373" s="51"/>
      <c r="V373" s="51"/>
      <c r="W373" s="51"/>
      <c r="X373" s="51"/>
      <c r="Y373" s="51"/>
      <c r="Z373" s="51"/>
      <c r="AA373" s="51"/>
      <c r="AB373" s="51"/>
    </row>
    <row r="374" customFormat="false" ht="15.75" hidden="false" customHeight="false" outlineLevel="0" collapsed="false">
      <c r="A374" s="51"/>
      <c r="B374" s="51"/>
      <c r="C374" s="6"/>
      <c r="D374" s="49"/>
      <c r="E374" s="51"/>
      <c r="F374" s="6"/>
      <c r="G374" s="6"/>
      <c r="H374" s="6"/>
      <c r="I374" s="6"/>
      <c r="J374" s="6"/>
      <c r="K374" s="51"/>
      <c r="L374" s="51"/>
      <c r="M374" s="51"/>
      <c r="N374" s="51"/>
      <c r="O374" s="51"/>
      <c r="P374" s="51"/>
      <c r="Q374" s="51"/>
      <c r="R374" s="51"/>
      <c r="S374" s="51"/>
      <c r="T374" s="51"/>
      <c r="U374" s="51"/>
      <c r="V374" s="51"/>
      <c r="W374" s="51"/>
      <c r="X374" s="51"/>
      <c r="Y374" s="51"/>
      <c r="Z374" s="51"/>
      <c r="AA374" s="51"/>
      <c r="AB374" s="51"/>
    </row>
    <row r="375" customFormat="false" ht="15.75" hidden="false" customHeight="false" outlineLevel="0" collapsed="false">
      <c r="A375" s="51"/>
      <c r="B375" s="51"/>
      <c r="C375" s="6"/>
      <c r="D375" s="49"/>
      <c r="E375" s="51"/>
      <c r="F375" s="6"/>
      <c r="G375" s="6"/>
      <c r="H375" s="6"/>
      <c r="I375" s="6"/>
      <c r="J375" s="6"/>
      <c r="K375" s="51"/>
      <c r="L375" s="51"/>
      <c r="M375" s="51"/>
      <c r="N375" s="51"/>
      <c r="O375" s="51"/>
      <c r="P375" s="51"/>
      <c r="Q375" s="51"/>
      <c r="R375" s="51"/>
      <c r="S375" s="51"/>
      <c r="T375" s="51"/>
      <c r="U375" s="51"/>
      <c r="V375" s="51"/>
      <c r="W375" s="51"/>
      <c r="X375" s="51"/>
      <c r="Y375" s="51"/>
      <c r="Z375" s="51"/>
      <c r="AA375" s="51"/>
      <c r="AB375" s="51"/>
    </row>
    <row r="376" customFormat="false" ht="15.75" hidden="false" customHeight="false" outlineLevel="0" collapsed="false">
      <c r="A376" s="51"/>
      <c r="B376" s="51"/>
      <c r="C376" s="6"/>
      <c r="D376" s="49"/>
      <c r="E376" s="51"/>
      <c r="F376" s="6"/>
      <c r="G376" s="6"/>
      <c r="H376" s="6"/>
      <c r="I376" s="6"/>
      <c r="J376" s="6"/>
      <c r="K376" s="51"/>
      <c r="L376" s="51"/>
      <c r="M376" s="51"/>
      <c r="N376" s="51"/>
      <c r="O376" s="51"/>
      <c r="P376" s="51"/>
      <c r="Q376" s="51"/>
      <c r="R376" s="51"/>
      <c r="S376" s="51"/>
      <c r="T376" s="51"/>
      <c r="U376" s="51"/>
      <c r="V376" s="51"/>
      <c r="W376" s="51"/>
      <c r="X376" s="51"/>
      <c r="Y376" s="51"/>
      <c r="Z376" s="51"/>
      <c r="AA376" s="51"/>
      <c r="AB376" s="51"/>
    </row>
    <row r="377" customFormat="false" ht="15.75" hidden="false" customHeight="false" outlineLevel="0" collapsed="false">
      <c r="A377" s="51"/>
      <c r="B377" s="51"/>
      <c r="C377" s="6"/>
      <c r="D377" s="49"/>
      <c r="E377" s="51"/>
      <c r="F377" s="6"/>
      <c r="G377" s="6"/>
      <c r="H377" s="6"/>
      <c r="I377" s="6"/>
      <c r="J377" s="6"/>
      <c r="K377" s="51"/>
      <c r="L377" s="51"/>
      <c r="M377" s="51"/>
      <c r="N377" s="51"/>
      <c r="O377" s="51"/>
      <c r="P377" s="51"/>
      <c r="Q377" s="51"/>
      <c r="R377" s="51"/>
      <c r="S377" s="51"/>
      <c r="T377" s="51"/>
      <c r="U377" s="51"/>
      <c r="V377" s="51"/>
      <c r="W377" s="51"/>
      <c r="X377" s="51"/>
      <c r="Y377" s="51"/>
      <c r="Z377" s="51"/>
      <c r="AA377" s="51"/>
      <c r="AB377" s="51"/>
    </row>
    <row r="378" customFormat="false" ht="15.75" hidden="false" customHeight="false" outlineLevel="0" collapsed="false">
      <c r="A378" s="51"/>
      <c r="B378" s="51"/>
      <c r="C378" s="6"/>
      <c r="D378" s="49"/>
      <c r="E378" s="51"/>
      <c r="F378" s="6"/>
      <c r="G378" s="6"/>
      <c r="H378" s="6"/>
      <c r="I378" s="6"/>
      <c r="J378" s="6"/>
      <c r="K378" s="51"/>
      <c r="L378" s="51"/>
      <c r="M378" s="51"/>
      <c r="N378" s="51"/>
      <c r="O378" s="51"/>
      <c r="P378" s="51"/>
      <c r="Q378" s="51"/>
      <c r="R378" s="51"/>
      <c r="S378" s="51"/>
      <c r="T378" s="51"/>
      <c r="U378" s="51"/>
      <c r="V378" s="51"/>
      <c r="W378" s="51"/>
      <c r="X378" s="51"/>
      <c r="Y378" s="51"/>
      <c r="Z378" s="51"/>
      <c r="AA378" s="51"/>
      <c r="AB378" s="51"/>
    </row>
    <row r="379" customFormat="false" ht="15.75" hidden="false" customHeight="false" outlineLevel="0" collapsed="false">
      <c r="A379" s="51"/>
      <c r="B379" s="51"/>
      <c r="C379" s="6"/>
      <c r="D379" s="49"/>
      <c r="E379" s="51"/>
      <c r="F379" s="6"/>
      <c r="G379" s="6"/>
      <c r="H379" s="6"/>
      <c r="I379" s="6"/>
      <c r="J379" s="6"/>
      <c r="K379" s="51"/>
      <c r="L379" s="51"/>
      <c r="M379" s="51"/>
      <c r="N379" s="51"/>
      <c r="O379" s="51"/>
      <c r="P379" s="51"/>
      <c r="Q379" s="51"/>
      <c r="R379" s="51"/>
      <c r="S379" s="51"/>
      <c r="T379" s="51"/>
      <c r="U379" s="51"/>
      <c r="V379" s="51"/>
      <c r="W379" s="51"/>
      <c r="X379" s="51"/>
      <c r="Y379" s="51"/>
      <c r="Z379" s="51"/>
      <c r="AA379" s="51"/>
      <c r="AB379" s="51"/>
    </row>
    <row r="380" customFormat="false" ht="15.75" hidden="false" customHeight="false" outlineLevel="0" collapsed="false">
      <c r="A380" s="51"/>
      <c r="B380" s="51"/>
      <c r="C380" s="6"/>
      <c r="D380" s="49"/>
      <c r="E380" s="51"/>
      <c r="F380" s="6"/>
      <c r="G380" s="6"/>
      <c r="H380" s="6"/>
      <c r="I380" s="6"/>
      <c r="J380" s="6"/>
      <c r="K380" s="51"/>
      <c r="L380" s="51"/>
      <c r="M380" s="51"/>
      <c r="N380" s="51"/>
      <c r="O380" s="51"/>
      <c r="P380" s="51"/>
      <c r="Q380" s="51"/>
      <c r="R380" s="51"/>
      <c r="S380" s="51"/>
      <c r="T380" s="51"/>
      <c r="U380" s="51"/>
      <c r="V380" s="51"/>
      <c r="W380" s="51"/>
      <c r="X380" s="51"/>
      <c r="Y380" s="51"/>
      <c r="Z380" s="51"/>
      <c r="AA380" s="51"/>
      <c r="AB380" s="51"/>
    </row>
    <row r="381" customFormat="false" ht="15.75" hidden="false" customHeight="false" outlineLevel="0" collapsed="false">
      <c r="A381" s="51"/>
      <c r="B381" s="51"/>
      <c r="C381" s="6"/>
      <c r="D381" s="49"/>
      <c r="E381" s="51"/>
      <c r="F381" s="6"/>
      <c r="G381" s="6"/>
      <c r="H381" s="6"/>
      <c r="I381" s="6"/>
      <c r="J381" s="6"/>
      <c r="K381" s="51"/>
      <c r="L381" s="51"/>
      <c r="M381" s="51"/>
      <c r="N381" s="51"/>
      <c r="O381" s="51"/>
      <c r="P381" s="51"/>
      <c r="Q381" s="51"/>
      <c r="R381" s="51"/>
      <c r="S381" s="51"/>
      <c r="T381" s="51"/>
      <c r="U381" s="51"/>
      <c r="V381" s="51"/>
      <c r="W381" s="51"/>
      <c r="X381" s="51"/>
      <c r="Y381" s="51"/>
      <c r="Z381" s="51"/>
      <c r="AA381" s="51"/>
      <c r="AB381" s="51"/>
    </row>
    <row r="382" customFormat="false" ht="15.75" hidden="false" customHeight="false" outlineLevel="0" collapsed="false">
      <c r="A382" s="51"/>
      <c r="B382" s="51"/>
      <c r="C382" s="6"/>
      <c r="D382" s="49"/>
      <c r="E382" s="51"/>
      <c r="F382" s="6"/>
      <c r="G382" s="6"/>
      <c r="H382" s="6"/>
      <c r="I382" s="6"/>
      <c r="J382" s="6"/>
      <c r="K382" s="51"/>
      <c r="L382" s="51"/>
      <c r="M382" s="51"/>
      <c r="N382" s="51"/>
      <c r="O382" s="51"/>
      <c r="P382" s="51"/>
      <c r="Q382" s="51"/>
      <c r="R382" s="51"/>
      <c r="S382" s="51"/>
      <c r="T382" s="51"/>
      <c r="U382" s="51"/>
      <c r="V382" s="51"/>
      <c r="W382" s="51"/>
      <c r="X382" s="51"/>
      <c r="Y382" s="51"/>
      <c r="Z382" s="51"/>
      <c r="AA382" s="51"/>
      <c r="AB382" s="51"/>
    </row>
    <row r="383" customFormat="false" ht="15.75" hidden="false" customHeight="false" outlineLevel="0" collapsed="false">
      <c r="A383" s="51"/>
      <c r="B383" s="51"/>
      <c r="C383" s="6"/>
      <c r="D383" s="49"/>
      <c r="E383" s="51"/>
      <c r="F383" s="6"/>
      <c r="G383" s="6"/>
      <c r="H383" s="6"/>
      <c r="I383" s="6"/>
      <c r="J383" s="6"/>
      <c r="K383" s="51"/>
      <c r="L383" s="51"/>
      <c r="M383" s="51"/>
      <c r="N383" s="51"/>
      <c r="O383" s="51"/>
      <c r="P383" s="51"/>
      <c r="Q383" s="51"/>
      <c r="R383" s="51"/>
      <c r="S383" s="51"/>
      <c r="T383" s="51"/>
      <c r="U383" s="51"/>
      <c r="V383" s="51"/>
      <c r="W383" s="51"/>
      <c r="X383" s="51"/>
      <c r="Y383" s="51"/>
      <c r="Z383" s="51"/>
      <c r="AA383" s="51"/>
      <c r="AB383" s="51"/>
    </row>
    <row r="384" customFormat="false" ht="15.75" hidden="false" customHeight="false" outlineLevel="0" collapsed="false">
      <c r="A384" s="51"/>
      <c r="B384" s="51"/>
      <c r="C384" s="6"/>
      <c r="D384" s="49"/>
      <c r="E384" s="51"/>
      <c r="F384" s="6"/>
      <c r="G384" s="6"/>
      <c r="H384" s="6"/>
      <c r="I384" s="6"/>
      <c r="J384" s="6"/>
      <c r="K384" s="51"/>
      <c r="L384" s="51"/>
      <c r="M384" s="51"/>
      <c r="N384" s="51"/>
      <c r="O384" s="51"/>
      <c r="P384" s="51"/>
      <c r="Q384" s="51"/>
      <c r="R384" s="51"/>
      <c r="S384" s="51"/>
      <c r="T384" s="51"/>
      <c r="U384" s="51"/>
      <c r="V384" s="51"/>
      <c r="W384" s="51"/>
      <c r="X384" s="51"/>
      <c r="Y384" s="51"/>
      <c r="Z384" s="51"/>
      <c r="AA384" s="51"/>
      <c r="AB384" s="51"/>
    </row>
    <row r="385" customFormat="false" ht="15.75" hidden="false" customHeight="false" outlineLevel="0" collapsed="false">
      <c r="A385" s="51"/>
      <c r="B385" s="51"/>
      <c r="C385" s="6"/>
      <c r="D385" s="49"/>
      <c r="E385" s="51"/>
      <c r="F385" s="6"/>
      <c r="G385" s="6"/>
      <c r="H385" s="6"/>
      <c r="I385" s="6"/>
      <c r="J385" s="6"/>
      <c r="K385" s="51"/>
      <c r="L385" s="51"/>
      <c r="M385" s="51"/>
      <c r="N385" s="51"/>
      <c r="O385" s="51"/>
      <c r="P385" s="51"/>
      <c r="Q385" s="51"/>
      <c r="R385" s="51"/>
      <c r="S385" s="51"/>
      <c r="T385" s="51"/>
      <c r="U385" s="51"/>
      <c r="V385" s="51"/>
      <c r="W385" s="51"/>
      <c r="X385" s="51"/>
      <c r="Y385" s="51"/>
      <c r="Z385" s="51"/>
      <c r="AA385" s="51"/>
      <c r="AB385" s="51"/>
    </row>
    <row r="386" customFormat="false" ht="15.75" hidden="false" customHeight="false" outlineLevel="0" collapsed="false">
      <c r="A386" s="51"/>
      <c r="B386" s="51"/>
      <c r="C386" s="6"/>
      <c r="D386" s="49"/>
      <c r="E386" s="51"/>
      <c r="F386" s="6"/>
      <c r="G386" s="6"/>
      <c r="H386" s="6"/>
      <c r="I386" s="6"/>
      <c r="J386" s="6"/>
      <c r="K386" s="51"/>
      <c r="L386" s="51"/>
      <c r="M386" s="51"/>
      <c r="N386" s="51"/>
      <c r="O386" s="51"/>
      <c r="P386" s="51"/>
      <c r="Q386" s="51"/>
      <c r="R386" s="51"/>
      <c r="S386" s="51"/>
      <c r="T386" s="51"/>
      <c r="U386" s="51"/>
      <c r="V386" s="51"/>
      <c r="W386" s="51"/>
      <c r="X386" s="51"/>
      <c r="Y386" s="51"/>
      <c r="Z386" s="51"/>
      <c r="AA386" s="51"/>
      <c r="AB386" s="51"/>
    </row>
    <row r="387" customFormat="false" ht="15.75" hidden="false" customHeight="false" outlineLevel="0" collapsed="false">
      <c r="A387" s="51"/>
      <c r="B387" s="51"/>
      <c r="C387" s="6"/>
      <c r="D387" s="49"/>
      <c r="E387" s="51"/>
      <c r="F387" s="6"/>
      <c r="G387" s="6"/>
      <c r="H387" s="6"/>
      <c r="I387" s="6"/>
      <c r="J387" s="6"/>
      <c r="K387" s="51"/>
      <c r="L387" s="51"/>
      <c r="M387" s="51"/>
      <c r="N387" s="51"/>
      <c r="O387" s="51"/>
      <c r="P387" s="51"/>
      <c r="Q387" s="51"/>
      <c r="R387" s="51"/>
      <c r="S387" s="51"/>
      <c r="T387" s="51"/>
      <c r="U387" s="51"/>
      <c r="V387" s="51"/>
      <c r="W387" s="51"/>
      <c r="X387" s="51"/>
      <c r="Y387" s="51"/>
      <c r="Z387" s="51"/>
      <c r="AA387" s="51"/>
      <c r="AB387" s="51"/>
    </row>
    <row r="388" customFormat="false" ht="15.75" hidden="false" customHeight="false" outlineLevel="0" collapsed="false">
      <c r="A388" s="51"/>
      <c r="B388" s="51"/>
      <c r="C388" s="6"/>
      <c r="D388" s="49"/>
      <c r="E388" s="51"/>
      <c r="F388" s="6"/>
      <c r="G388" s="6"/>
      <c r="H388" s="6"/>
      <c r="I388" s="6"/>
      <c r="J388" s="6"/>
      <c r="K388" s="51"/>
      <c r="L388" s="51"/>
      <c r="M388" s="51"/>
      <c r="N388" s="51"/>
      <c r="O388" s="51"/>
      <c r="P388" s="51"/>
      <c r="Q388" s="51"/>
      <c r="R388" s="51"/>
      <c r="S388" s="51"/>
      <c r="T388" s="51"/>
      <c r="U388" s="51"/>
      <c r="V388" s="51"/>
      <c r="W388" s="51"/>
      <c r="X388" s="51"/>
      <c r="Y388" s="51"/>
      <c r="Z388" s="51"/>
      <c r="AA388" s="51"/>
      <c r="AB388" s="51"/>
    </row>
    <row r="389" customFormat="false" ht="15.75" hidden="false" customHeight="false" outlineLevel="0" collapsed="false">
      <c r="A389" s="51"/>
      <c r="B389" s="51"/>
      <c r="C389" s="6"/>
      <c r="D389" s="49"/>
      <c r="E389" s="51"/>
      <c r="F389" s="6"/>
      <c r="G389" s="6"/>
      <c r="H389" s="6"/>
      <c r="I389" s="6"/>
      <c r="J389" s="6"/>
      <c r="K389" s="51"/>
      <c r="L389" s="51"/>
      <c r="M389" s="51"/>
      <c r="N389" s="51"/>
      <c r="O389" s="51"/>
      <c r="P389" s="51"/>
      <c r="Q389" s="51"/>
      <c r="R389" s="51"/>
      <c r="S389" s="51"/>
      <c r="T389" s="51"/>
      <c r="U389" s="51"/>
      <c r="V389" s="51"/>
      <c r="W389" s="51"/>
      <c r="X389" s="51"/>
      <c r="Y389" s="51"/>
      <c r="Z389" s="51"/>
      <c r="AA389" s="51"/>
      <c r="AB389" s="51"/>
    </row>
    <row r="390" customFormat="false" ht="15.75" hidden="false" customHeight="false" outlineLevel="0" collapsed="false">
      <c r="A390" s="51"/>
      <c r="B390" s="51"/>
      <c r="C390" s="6"/>
      <c r="D390" s="49"/>
      <c r="E390" s="51"/>
      <c r="F390" s="6"/>
      <c r="G390" s="6"/>
      <c r="H390" s="6"/>
      <c r="I390" s="6"/>
      <c r="J390" s="6"/>
      <c r="K390" s="51"/>
      <c r="L390" s="51"/>
      <c r="M390" s="51"/>
      <c r="N390" s="51"/>
      <c r="O390" s="51"/>
      <c r="P390" s="51"/>
      <c r="Q390" s="51"/>
      <c r="R390" s="51"/>
      <c r="S390" s="51"/>
      <c r="T390" s="51"/>
      <c r="U390" s="51"/>
      <c r="V390" s="51"/>
      <c r="W390" s="51"/>
      <c r="X390" s="51"/>
      <c r="Y390" s="51"/>
      <c r="Z390" s="51"/>
      <c r="AA390" s="51"/>
      <c r="AB390" s="51"/>
    </row>
    <row r="391" customFormat="false" ht="15.75" hidden="false" customHeight="false" outlineLevel="0" collapsed="false">
      <c r="A391" s="51"/>
      <c r="B391" s="51"/>
      <c r="C391" s="6"/>
      <c r="D391" s="49"/>
      <c r="E391" s="51"/>
      <c r="F391" s="6"/>
      <c r="G391" s="6"/>
      <c r="H391" s="6"/>
      <c r="I391" s="6"/>
      <c r="J391" s="6"/>
      <c r="K391" s="51"/>
      <c r="L391" s="51"/>
      <c r="M391" s="51"/>
      <c r="N391" s="51"/>
      <c r="O391" s="51"/>
      <c r="P391" s="51"/>
      <c r="Q391" s="51"/>
      <c r="R391" s="51"/>
      <c r="S391" s="51"/>
      <c r="T391" s="51"/>
      <c r="U391" s="51"/>
      <c r="V391" s="51"/>
      <c r="W391" s="51"/>
      <c r="X391" s="51"/>
      <c r="Y391" s="51"/>
      <c r="Z391" s="51"/>
      <c r="AA391" s="51"/>
      <c r="AB391" s="51"/>
    </row>
    <row r="392" customFormat="false" ht="15.75" hidden="false" customHeight="false" outlineLevel="0" collapsed="false">
      <c r="A392" s="51"/>
      <c r="B392" s="51"/>
      <c r="C392" s="6"/>
      <c r="D392" s="49"/>
      <c r="E392" s="51"/>
      <c r="F392" s="6"/>
      <c r="G392" s="6"/>
      <c r="H392" s="6"/>
      <c r="I392" s="6"/>
      <c r="J392" s="6"/>
      <c r="K392" s="51"/>
      <c r="L392" s="51"/>
      <c r="M392" s="51"/>
      <c r="N392" s="51"/>
      <c r="O392" s="51"/>
      <c r="P392" s="51"/>
      <c r="Q392" s="51"/>
      <c r="R392" s="51"/>
      <c r="S392" s="51"/>
      <c r="T392" s="51"/>
      <c r="U392" s="51"/>
      <c r="V392" s="51"/>
      <c r="W392" s="51"/>
      <c r="X392" s="51"/>
      <c r="Y392" s="51"/>
      <c r="Z392" s="51"/>
      <c r="AA392" s="51"/>
      <c r="AB392" s="51"/>
    </row>
    <row r="393" customFormat="false" ht="15.75" hidden="false" customHeight="false" outlineLevel="0" collapsed="false">
      <c r="A393" s="51"/>
      <c r="B393" s="51"/>
      <c r="C393" s="6"/>
      <c r="D393" s="49"/>
      <c r="E393" s="51"/>
      <c r="F393" s="6"/>
      <c r="G393" s="6"/>
      <c r="H393" s="6"/>
      <c r="I393" s="6"/>
      <c r="J393" s="6"/>
      <c r="K393" s="51"/>
      <c r="L393" s="51"/>
      <c r="M393" s="51"/>
      <c r="N393" s="51"/>
      <c r="O393" s="51"/>
      <c r="P393" s="51"/>
      <c r="Q393" s="51"/>
      <c r="R393" s="51"/>
      <c r="S393" s="51"/>
      <c r="T393" s="51"/>
      <c r="U393" s="51"/>
      <c r="V393" s="51"/>
      <c r="W393" s="51"/>
      <c r="X393" s="51"/>
      <c r="Y393" s="51"/>
      <c r="Z393" s="51"/>
      <c r="AA393" s="51"/>
      <c r="AB393" s="51"/>
    </row>
    <row r="394" customFormat="false" ht="15.75" hidden="false" customHeight="false" outlineLevel="0" collapsed="false">
      <c r="A394" s="51"/>
      <c r="B394" s="51"/>
      <c r="C394" s="6"/>
      <c r="D394" s="49"/>
      <c r="E394" s="51"/>
      <c r="F394" s="6"/>
      <c r="G394" s="6"/>
      <c r="H394" s="6"/>
      <c r="I394" s="6"/>
      <c r="J394" s="6"/>
      <c r="K394" s="51"/>
      <c r="L394" s="51"/>
      <c r="M394" s="51"/>
      <c r="N394" s="51"/>
      <c r="O394" s="51"/>
      <c r="P394" s="51"/>
      <c r="Q394" s="51"/>
      <c r="R394" s="51"/>
      <c r="S394" s="51"/>
      <c r="T394" s="51"/>
      <c r="U394" s="51"/>
      <c r="V394" s="51"/>
      <c r="W394" s="51"/>
      <c r="X394" s="51"/>
      <c r="Y394" s="51"/>
      <c r="Z394" s="51"/>
      <c r="AA394" s="51"/>
      <c r="AB394" s="51"/>
    </row>
    <row r="395" customFormat="false" ht="15.75" hidden="false" customHeight="false" outlineLevel="0" collapsed="false">
      <c r="A395" s="51"/>
      <c r="B395" s="51"/>
      <c r="C395" s="6"/>
      <c r="D395" s="49"/>
      <c r="E395" s="51"/>
      <c r="F395" s="6"/>
      <c r="G395" s="6"/>
      <c r="H395" s="6"/>
      <c r="I395" s="6"/>
      <c r="J395" s="6"/>
      <c r="K395" s="51"/>
      <c r="L395" s="51"/>
      <c r="M395" s="51"/>
      <c r="N395" s="51"/>
      <c r="O395" s="51"/>
      <c r="P395" s="51"/>
      <c r="Q395" s="51"/>
      <c r="R395" s="51"/>
      <c r="S395" s="51"/>
      <c r="T395" s="51"/>
      <c r="U395" s="51"/>
      <c r="V395" s="51"/>
      <c r="W395" s="51"/>
      <c r="X395" s="51"/>
      <c r="Y395" s="51"/>
      <c r="Z395" s="51"/>
      <c r="AA395" s="51"/>
      <c r="AB395" s="51"/>
    </row>
    <row r="396" customFormat="false" ht="15.75" hidden="false" customHeight="false" outlineLevel="0" collapsed="false">
      <c r="A396" s="51"/>
      <c r="B396" s="51"/>
      <c r="C396" s="6"/>
      <c r="D396" s="49"/>
      <c r="E396" s="51"/>
      <c r="F396" s="6"/>
      <c r="G396" s="6"/>
      <c r="H396" s="6"/>
      <c r="I396" s="6"/>
      <c r="J396" s="6"/>
      <c r="K396" s="51"/>
      <c r="L396" s="51"/>
      <c r="M396" s="51"/>
      <c r="N396" s="51"/>
      <c r="O396" s="51"/>
      <c r="P396" s="51"/>
      <c r="Q396" s="51"/>
      <c r="R396" s="51"/>
      <c r="S396" s="51"/>
      <c r="T396" s="51"/>
      <c r="U396" s="51"/>
      <c r="V396" s="51"/>
      <c r="W396" s="51"/>
      <c r="X396" s="51"/>
      <c r="Y396" s="51"/>
      <c r="Z396" s="51"/>
      <c r="AA396" s="51"/>
      <c r="AB396" s="51"/>
    </row>
    <row r="397" customFormat="false" ht="15.75" hidden="false" customHeight="false" outlineLevel="0" collapsed="false">
      <c r="A397" s="51"/>
      <c r="B397" s="51"/>
      <c r="C397" s="6"/>
      <c r="D397" s="49"/>
      <c r="E397" s="51"/>
      <c r="F397" s="6"/>
      <c r="G397" s="6"/>
      <c r="H397" s="6"/>
      <c r="I397" s="6"/>
      <c r="J397" s="6"/>
      <c r="K397" s="51"/>
      <c r="L397" s="51"/>
      <c r="M397" s="51"/>
      <c r="N397" s="51"/>
      <c r="O397" s="51"/>
      <c r="P397" s="51"/>
      <c r="Q397" s="51"/>
      <c r="R397" s="51"/>
      <c r="S397" s="51"/>
      <c r="T397" s="51"/>
      <c r="U397" s="51"/>
      <c r="V397" s="51"/>
      <c r="W397" s="51"/>
      <c r="X397" s="51"/>
      <c r="Y397" s="51"/>
      <c r="Z397" s="51"/>
      <c r="AA397" s="51"/>
      <c r="AB397" s="51"/>
    </row>
    <row r="398" customFormat="false" ht="15.75" hidden="false" customHeight="false" outlineLevel="0" collapsed="false">
      <c r="A398" s="51"/>
      <c r="B398" s="51"/>
      <c r="C398" s="6"/>
      <c r="D398" s="49"/>
      <c r="E398" s="51"/>
      <c r="F398" s="6"/>
      <c r="G398" s="6"/>
      <c r="H398" s="6"/>
      <c r="I398" s="6"/>
      <c r="J398" s="6"/>
      <c r="K398" s="51"/>
      <c r="L398" s="51"/>
      <c r="M398" s="51"/>
      <c r="N398" s="51"/>
      <c r="O398" s="51"/>
      <c r="P398" s="51"/>
      <c r="Q398" s="51"/>
      <c r="R398" s="51"/>
      <c r="S398" s="51"/>
      <c r="T398" s="51"/>
      <c r="U398" s="51"/>
      <c r="V398" s="51"/>
      <c r="W398" s="51"/>
      <c r="X398" s="51"/>
      <c r="Y398" s="51"/>
      <c r="Z398" s="51"/>
      <c r="AA398" s="51"/>
      <c r="AB398" s="51"/>
    </row>
    <row r="399" customFormat="false" ht="15.75" hidden="false" customHeight="false" outlineLevel="0" collapsed="false">
      <c r="A399" s="51"/>
      <c r="B399" s="51"/>
      <c r="C399" s="6"/>
      <c r="D399" s="49"/>
      <c r="E399" s="51"/>
      <c r="F399" s="6"/>
      <c r="G399" s="6"/>
      <c r="H399" s="6"/>
      <c r="I399" s="6"/>
      <c r="J399" s="6"/>
      <c r="K399" s="51"/>
      <c r="L399" s="51"/>
      <c r="M399" s="51"/>
      <c r="N399" s="51"/>
      <c r="O399" s="51"/>
      <c r="P399" s="51"/>
      <c r="Q399" s="51"/>
      <c r="R399" s="51"/>
      <c r="S399" s="51"/>
      <c r="T399" s="51"/>
      <c r="U399" s="51"/>
      <c r="V399" s="51"/>
      <c r="W399" s="51"/>
      <c r="X399" s="51"/>
      <c r="Y399" s="51"/>
      <c r="Z399" s="51"/>
      <c r="AA399" s="51"/>
      <c r="AB399" s="51"/>
    </row>
    <row r="400" customFormat="false" ht="15.75" hidden="false" customHeight="false" outlineLevel="0" collapsed="false">
      <c r="A400" s="51"/>
      <c r="B400" s="51"/>
      <c r="C400" s="6"/>
      <c r="D400" s="49"/>
      <c r="E400" s="51"/>
      <c r="F400" s="6"/>
      <c r="G400" s="6"/>
      <c r="H400" s="6"/>
      <c r="I400" s="6"/>
      <c r="J400" s="6"/>
      <c r="K400" s="51"/>
      <c r="L400" s="51"/>
      <c r="M400" s="51"/>
      <c r="N400" s="51"/>
      <c r="O400" s="51"/>
      <c r="P400" s="51"/>
      <c r="Q400" s="51"/>
      <c r="R400" s="51"/>
      <c r="S400" s="51"/>
      <c r="T400" s="51"/>
      <c r="U400" s="51"/>
      <c r="V400" s="51"/>
      <c r="W400" s="51"/>
      <c r="X400" s="51"/>
      <c r="Y400" s="51"/>
      <c r="Z400" s="51"/>
      <c r="AA400" s="51"/>
      <c r="AB400" s="51"/>
    </row>
    <row r="401" customFormat="false" ht="15.75" hidden="false" customHeight="false" outlineLevel="0" collapsed="false">
      <c r="A401" s="51"/>
      <c r="B401" s="51"/>
      <c r="C401" s="6"/>
      <c r="D401" s="49"/>
      <c r="E401" s="51"/>
      <c r="F401" s="6"/>
      <c r="G401" s="6"/>
      <c r="H401" s="6"/>
      <c r="I401" s="6"/>
      <c r="J401" s="6"/>
      <c r="K401" s="51"/>
      <c r="L401" s="51"/>
      <c r="M401" s="51"/>
      <c r="N401" s="51"/>
      <c r="O401" s="51"/>
      <c r="P401" s="51"/>
      <c r="Q401" s="51"/>
      <c r="R401" s="51"/>
      <c r="S401" s="51"/>
      <c r="T401" s="51"/>
      <c r="U401" s="51"/>
      <c r="V401" s="51"/>
      <c r="W401" s="51"/>
      <c r="X401" s="51"/>
      <c r="Y401" s="51"/>
      <c r="Z401" s="51"/>
      <c r="AA401" s="51"/>
      <c r="AB401" s="51"/>
    </row>
    <row r="402" customFormat="false" ht="15.75" hidden="false" customHeight="false" outlineLevel="0" collapsed="false">
      <c r="A402" s="51"/>
      <c r="B402" s="51"/>
      <c r="C402" s="6"/>
      <c r="D402" s="49"/>
      <c r="E402" s="51"/>
      <c r="F402" s="6"/>
      <c r="G402" s="6"/>
      <c r="H402" s="6"/>
      <c r="I402" s="6"/>
      <c r="J402" s="6"/>
      <c r="K402" s="51"/>
      <c r="L402" s="51"/>
      <c r="M402" s="51"/>
      <c r="N402" s="51"/>
      <c r="O402" s="51"/>
      <c r="P402" s="51"/>
      <c r="Q402" s="51"/>
      <c r="R402" s="51"/>
      <c r="S402" s="51"/>
      <c r="T402" s="51"/>
      <c r="U402" s="51"/>
      <c r="V402" s="51"/>
      <c r="W402" s="51"/>
      <c r="X402" s="51"/>
      <c r="Y402" s="51"/>
      <c r="Z402" s="51"/>
      <c r="AA402" s="51"/>
      <c r="AB402" s="51"/>
    </row>
    <row r="403" customFormat="false" ht="15.75" hidden="false" customHeight="false" outlineLevel="0" collapsed="false">
      <c r="A403" s="51"/>
      <c r="B403" s="51"/>
      <c r="C403" s="6"/>
      <c r="D403" s="49"/>
      <c r="E403" s="51"/>
      <c r="F403" s="6"/>
      <c r="G403" s="6"/>
      <c r="H403" s="6"/>
      <c r="I403" s="6"/>
      <c r="J403" s="6"/>
      <c r="K403" s="51"/>
      <c r="L403" s="51"/>
      <c r="M403" s="51"/>
      <c r="N403" s="51"/>
      <c r="O403" s="51"/>
      <c r="P403" s="51"/>
      <c r="Q403" s="51"/>
      <c r="R403" s="51"/>
      <c r="S403" s="51"/>
      <c r="T403" s="51"/>
      <c r="U403" s="51"/>
      <c r="V403" s="51"/>
      <c r="W403" s="51"/>
      <c r="X403" s="51"/>
      <c r="Y403" s="51"/>
      <c r="Z403" s="51"/>
      <c r="AA403" s="51"/>
      <c r="AB403" s="51"/>
    </row>
    <row r="404" customFormat="false" ht="15.75" hidden="false" customHeight="false" outlineLevel="0" collapsed="false">
      <c r="A404" s="51"/>
      <c r="B404" s="51"/>
      <c r="C404" s="6"/>
      <c r="D404" s="49"/>
      <c r="E404" s="51"/>
      <c r="F404" s="6"/>
      <c r="G404" s="6"/>
      <c r="H404" s="6"/>
      <c r="I404" s="6"/>
      <c r="J404" s="6"/>
      <c r="K404" s="51"/>
      <c r="L404" s="51"/>
      <c r="M404" s="51"/>
      <c r="N404" s="51"/>
      <c r="O404" s="51"/>
      <c r="P404" s="51"/>
      <c r="Q404" s="51"/>
      <c r="R404" s="51"/>
      <c r="S404" s="51"/>
      <c r="T404" s="51"/>
      <c r="U404" s="51"/>
      <c r="V404" s="51"/>
      <c r="W404" s="51"/>
      <c r="X404" s="51"/>
      <c r="Y404" s="51"/>
      <c r="Z404" s="51"/>
      <c r="AA404" s="51"/>
      <c r="AB404" s="51"/>
    </row>
    <row r="405" customFormat="false" ht="15.75" hidden="false" customHeight="false" outlineLevel="0" collapsed="false">
      <c r="A405" s="51"/>
      <c r="B405" s="51"/>
      <c r="C405" s="6"/>
      <c r="D405" s="49"/>
      <c r="E405" s="51"/>
      <c r="F405" s="6"/>
      <c r="G405" s="6"/>
      <c r="H405" s="6"/>
      <c r="I405" s="6"/>
      <c r="J405" s="6"/>
      <c r="K405" s="51"/>
      <c r="L405" s="51"/>
      <c r="M405" s="51"/>
      <c r="N405" s="51"/>
      <c r="O405" s="51"/>
      <c r="P405" s="51"/>
      <c r="Q405" s="51"/>
      <c r="R405" s="51"/>
      <c r="S405" s="51"/>
      <c r="T405" s="51"/>
      <c r="U405" s="51"/>
      <c r="V405" s="51"/>
      <c r="W405" s="51"/>
      <c r="X405" s="51"/>
      <c r="Y405" s="51"/>
      <c r="Z405" s="51"/>
      <c r="AA405" s="51"/>
      <c r="AB405" s="51"/>
    </row>
    <row r="406" customFormat="false" ht="15.75" hidden="false" customHeight="false" outlineLevel="0" collapsed="false">
      <c r="A406" s="51"/>
      <c r="B406" s="51"/>
      <c r="C406" s="6"/>
      <c r="D406" s="49"/>
      <c r="E406" s="51"/>
      <c r="F406" s="6"/>
      <c r="G406" s="6"/>
      <c r="H406" s="6"/>
      <c r="I406" s="6"/>
      <c r="J406" s="6"/>
      <c r="K406" s="51"/>
      <c r="L406" s="51"/>
      <c r="M406" s="51"/>
      <c r="N406" s="51"/>
      <c r="O406" s="51"/>
      <c r="P406" s="51"/>
      <c r="Q406" s="51"/>
      <c r="R406" s="51"/>
      <c r="S406" s="51"/>
      <c r="T406" s="51"/>
      <c r="U406" s="51"/>
      <c r="V406" s="51"/>
      <c r="W406" s="51"/>
      <c r="X406" s="51"/>
      <c r="Y406" s="51"/>
      <c r="Z406" s="51"/>
      <c r="AA406" s="51"/>
      <c r="AB406" s="51"/>
    </row>
    <row r="407" customFormat="false" ht="15.75" hidden="false" customHeight="false" outlineLevel="0" collapsed="false">
      <c r="A407" s="51"/>
      <c r="B407" s="51"/>
      <c r="C407" s="6"/>
      <c r="D407" s="49"/>
      <c r="E407" s="51"/>
      <c r="F407" s="6"/>
      <c r="G407" s="6"/>
      <c r="H407" s="6"/>
      <c r="I407" s="6"/>
      <c r="J407" s="6"/>
      <c r="K407" s="51"/>
      <c r="L407" s="51"/>
      <c r="M407" s="51"/>
      <c r="N407" s="51"/>
      <c r="O407" s="51"/>
      <c r="P407" s="51"/>
      <c r="Q407" s="51"/>
      <c r="R407" s="51"/>
      <c r="S407" s="51"/>
      <c r="T407" s="51"/>
      <c r="U407" s="51"/>
      <c r="V407" s="51"/>
      <c r="W407" s="51"/>
      <c r="X407" s="51"/>
      <c r="Y407" s="51"/>
      <c r="Z407" s="51"/>
      <c r="AA407" s="51"/>
      <c r="AB407" s="51"/>
    </row>
    <row r="408" customFormat="false" ht="15.75" hidden="false" customHeight="false" outlineLevel="0" collapsed="false">
      <c r="A408" s="51"/>
      <c r="B408" s="51"/>
      <c r="C408" s="6"/>
      <c r="D408" s="49"/>
      <c r="E408" s="51"/>
      <c r="F408" s="6"/>
      <c r="G408" s="6"/>
      <c r="H408" s="6"/>
      <c r="I408" s="6"/>
      <c r="J408" s="6"/>
      <c r="K408" s="51"/>
      <c r="L408" s="51"/>
      <c r="M408" s="51"/>
      <c r="N408" s="51"/>
      <c r="O408" s="51"/>
      <c r="P408" s="51"/>
      <c r="Q408" s="51"/>
      <c r="R408" s="51"/>
      <c r="S408" s="51"/>
      <c r="T408" s="51"/>
      <c r="U408" s="51"/>
      <c r="V408" s="51"/>
      <c r="W408" s="51"/>
      <c r="X408" s="51"/>
      <c r="Y408" s="51"/>
      <c r="Z408" s="51"/>
      <c r="AA408" s="51"/>
      <c r="AB408" s="51"/>
    </row>
    <row r="409" customFormat="false" ht="15.75" hidden="false" customHeight="false" outlineLevel="0" collapsed="false">
      <c r="A409" s="51"/>
      <c r="B409" s="51"/>
      <c r="C409" s="6"/>
      <c r="D409" s="49"/>
      <c r="E409" s="51"/>
      <c r="F409" s="6"/>
      <c r="G409" s="6"/>
      <c r="H409" s="6"/>
      <c r="I409" s="6"/>
      <c r="J409" s="6"/>
      <c r="K409" s="51"/>
      <c r="L409" s="51"/>
      <c r="M409" s="51"/>
      <c r="N409" s="51"/>
      <c r="O409" s="51"/>
      <c r="P409" s="51"/>
      <c r="Q409" s="51"/>
      <c r="R409" s="51"/>
      <c r="S409" s="51"/>
      <c r="T409" s="51"/>
      <c r="U409" s="51"/>
      <c r="V409" s="51"/>
      <c r="W409" s="51"/>
      <c r="X409" s="51"/>
      <c r="Y409" s="51"/>
      <c r="Z409" s="51"/>
      <c r="AA409" s="51"/>
      <c r="AB409" s="51"/>
    </row>
    <row r="410" customFormat="false" ht="15.75" hidden="false" customHeight="false" outlineLevel="0" collapsed="false">
      <c r="A410" s="51"/>
      <c r="B410" s="51"/>
      <c r="C410" s="6"/>
      <c r="D410" s="49"/>
      <c r="E410" s="51"/>
      <c r="F410" s="6"/>
      <c r="G410" s="6"/>
      <c r="H410" s="6"/>
      <c r="I410" s="6"/>
      <c r="J410" s="6"/>
      <c r="K410" s="51"/>
      <c r="L410" s="51"/>
      <c r="M410" s="51"/>
      <c r="N410" s="51"/>
      <c r="O410" s="51"/>
      <c r="P410" s="51"/>
      <c r="Q410" s="51"/>
      <c r="R410" s="51"/>
      <c r="S410" s="51"/>
      <c r="T410" s="51"/>
      <c r="U410" s="51"/>
      <c r="V410" s="51"/>
      <c r="W410" s="51"/>
      <c r="X410" s="51"/>
      <c r="Y410" s="51"/>
      <c r="Z410" s="51"/>
      <c r="AA410" s="51"/>
      <c r="AB410" s="51"/>
    </row>
    <row r="411" customFormat="false" ht="15.75" hidden="false" customHeight="false" outlineLevel="0" collapsed="false">
      <c r="A411" s="51"/>
      <c r="B411" s="51"/>
      <c r="C411" s="6"/>
      <c r="D411" s="49"/>
      <c r="E411" s="51"/>
      <c r="F411" s="6"/>
      <c r="G411" s="6"/>
      <c r="H411" s="6"/>
      <c r="I411" s="6"/>
      <c r="J411" s="6"/>
      <c r="K411" s="51"/>
      <c r="L411" s="51"/>
      <c r="M411" s="51"/>
      <c r="N411" s="51"/>
      <c r="O411" s="51"/>
      <c r="P411" s="51"/>
      <c r="Q411" s="51"/>
      <c r="R411" s="51"/>
      <c r="S411" s="51"/>
      <c r="T411" s="51"/>
      <c r="U411" s="51"/>
      <c r="V411" s="51"/>
      <c r="W411" s="51"/>
      <c r="X411" s="51"/>
      <c r="Y411" s="51"/>
      <c r="Z411" s="51"/>
      <c r="AA411" s="51"/>
      <c r="AB411" s="51"/>
    </row>
    <row r="412" customFormat="false" ht="15.75" hidden="false" customHeight="false" outlineLevel="0" collapsed="false">
      <c r="A412" s="51"/>
      <c r="B412" s="51"/>
      <c r="C412" s="6"/>
      <c r="D412" s="49"/>
      <c r="E412" s="51"/>
      <c r="F412" s="6"/>
      <c r="G412" s="6"/>
      <c r="H412" s="6"/>
      <c r="I412" s="6"/>
      <c r="J412" s="6"/>
      <c r="K412" s="51"/>
      <c r="L412" s="51"/>
      <c r="M412" s="51"/>
      <c r="N412" s="51"/>
      <c r="O412" s="51"/>
      <c r="P412" s="51"/>
      <c r="Q412" s="51"/>
      <c r="R412" s="51"/>
      <c r="S412" s="51"/>
      <c r="T412" s="51"/>
      <c r="U412" s="51"/>
      <c r="V412" s="51"/>
      <c r="W412" s="51"/>
      <c r="X412" s="51"/>
      <c r="Y412" s="51"/>
      <c r="Z412" s="51"/>
      <c r="AA412" s="51"/>
      <c r="AB412" s="51"/>
    </row>
    <row r="413" customFormat="false" ht="15.75" hidden="false" customHeight="false" outlineLevel="0" collapsed="false">
      <c r="A413" s="51"/>
      <c r="B413" s="51"/>
      <c r="C413" s="6"/>
      <c r="D413" s="49"/>
      <c r="E413" s="51"/>
      <c r="F413" s="6"/>
      <c r="G413" s="6"/>
      <c r="H413" s="6"/>
      <c r="I413" s="6"/>
      <c r="J413" s="6"/>
      <c r="K413" s="51"/>
      <c r="L413" s="51"/>
      <c r="M413" s="51"/>
      <c r="N413" s="51"/>
      <c r="O413" s="51"/>
      <c r="P413" s="51"/>
      <c r="Q413" s="51"/>
      <c r="R413" s="51"/>
      <c r="S413" s="51"/>
      <c r="T413" s="51"/>
      <c r="U413" s="51"/>
      <c r="V413" s="51"/>
      <c r="W413" s="51"/>
      <c r="X413" s="51"/>
      <c r="Y413" s="51"/>
      <c r="Z413" s="51"/>
      <c r="AA413" s="51"/>
      <c r="AB413" s="51"/>
    </row>
    <row r="414" customFormat="false" ht="15.75" hidden="false" customHeight="false" outlineLevel="0" collapsed="false">
      <c r="A414" s="51"/>
      <c r="B414" s="51"/>
      <c r="C414" s="6"/>
      <c r="D414" s="49"/>
      <c r="E414" s="51"/>
      <c r="F414" s="6"/>
      <c r="G414" s="6"/>
      <c r="H414" s="6"/>
      <c r="I414" s="6"/>
      <c r="J414" s="6"/>
      <c r="K414" s="51"/>
      <c r="L414" s="51"/>
      <c r="M414" s="51"/>
      <c r="N414" s="51"/>
      <c r="O414" s="51"/>
      <c r="P414" s="51"/>
      <c r="Q414" s="51"/>
      <c r="R414" s="51"/>
      <c r="S414" s="51"/>
      <c r="T414" s="51"/>
      <c r="U414" s="51"/>
      <c r="V414" s="51"/>
      <c r="W414" s="51"/>
      <c r="X414" s="51"/>
      <c r="Y414" s="51"/>
      <c r="Z414" s="51"/>
      <c r="AA414" s="51"/>
      <c r="AB414" s="51"/>
    </row>
    <row r="415" customFormat="false" ht="15.75" hidden="false" customHeight="false" outlineLevel="0" collapsed="false">
      <c r="A415" s="51"/>
      <c r="B415" s="51"/>
      <c r="C415" s="6"/>
      <c r="D415" s="49"/>
      <c r="E415" s="51"/>
      <c r="F415" s="6"/>
      <c r="G415" s="6"/>
      <c r="H415" s="6"/>
      <c r="I415" s="6"/>
      <c r="J415" s="6"/>
      <c r="K415" s="51"/>
      <c r="L415" s="51"/>
      <c r="M415" s="51"/>
      <c r="N415" s="51"/>
      <c r="O415" s="51"/>
      <c r="P415" s="51"/>
      <c r="Q415" s="51"/>
      <c r="R415" s="51"/>
      <c r="S415" s="51"/>
      <c r="T415" s="51"/>
      <c r="U415" s="51"/>
      <c r="V415" s="51"/>
      <c r="W415" s="51"/>
      <c r="X415" s="51"/>
      <c r="Y415" s="51"/>
      <c r="Z415" s="51"/>
      <c r="AA415" s="51"/>
      <c r="AB415" s="51"/>
    </row>
    <row r="416" customFormat="false" ht="15.75" hidden="false" customHeight="false" outlineLevel="0" collapsed="false">
      <c r="A416" s="51"/>
      <c r="B416" s="51"/>
      <c r="C416" s="6"/>
      <c r="D416" s="49"/>
      <c r="E416" s="51"/>
      <c r="F416" s="6"/>
      <c r="G416" s="6"/>
      <c r="H416" s="6"/>
      <c r="I416" s="6"/>
      <c r="J416" s="6"/>
      <c r="K416" s="51"/>
      <c r="L416" s="51"/>
      <c r="M416" s="51"/>
      <c r="N416" s="51"/>
      <c r="O416" s="51"/>
      <c r="P416" s="51"/>
      <c r="Q416" s="51"/>
      <c r="R416" s="51"/>
      <c r="S416" s="51"/>
      <c r="T416" s="51"/>
      <c r="U416" s="51"/>
      <c r="V416" s="51"/>
      <c r="W416" s="51"/>
      <c r="X416" s="51"/>
      <c r="Y416" s="51"/>
      <c r="Z416" s="51"/>
      <c r="AA416" s="51"/>
      <c r="AB416" s="51"/>
    </row>
    <row r="417" customFormat="false" ht="15.75" hidden="false" customHeight="false" outlineLevel="0" collapsed="false">
      <c r="A417" s="51"/>
      <c r="B417" s="51"/>
      <c r="C417" s="6"/>
      <c r="D417" s="49"/>
      <c r="E417" s="51"/>
      <c r="F417" s="6"/>
      <c r="G417" s="6"/>
      <c r="H417" s="6"/>
      <c r="I417" s="6"/>
      <c r="J417" s="6"/>
      <c r="K417" s="51"/>
      <c r="L417" s="51"/>
      <c r="M417" s="51"/>
      <c r="N417" s="51"/>
      <c r="O417" s="51"/>
      <c r="P417" s="51"/>
      <c r="Q417" s="51"/>
      <c r="R417" s="51"/>
      <c r="S417" s="51"/>
      <c r="T417" s="51"/>
      <c r="U417" s="51"/>
      <c r="V417" s="51"/>
      <c r="W417" s="51"/>
      <c r="X417" s="51"/>
      <c r="Y417" s="51"/>
      <c r="Z417" s="51"/>
      <c r="AA417" s="51"/>
      <c r="AB417" s="51"/>
    </row>
    <row r="418" customFormat="false" ht="15.75" hidden="false" customHeight="false" outlineLevel="0" collapsed="false">
      <c r="A418" s="51"/>
      <c r="B418" s="51"/>
      <c r="C418" s="6"/>
      <c r="D418" s="49"/>
      <c r="E418" s="51"/>
      <c r="F418" s="6"/>
      <c r="G418" s="6"/>
      <c r="H418" s="6"/>
      <c r="I418" s="6"/>
      <c r="J418" s="6"/>
      <c r="K418" s="51"/>
      <c r="L418" s="51"/>
      <c r="M418" s="51"/>
      <c r="N418" s="51"/>
      <c r="O418" s="51"/>
      <c r="P418" s="51"/>
      <c r="Q418" s="51"/>
      <c r="R418" s="51"/>
      <c r="S418" s="51"/>
      <c r="T418" s="51"/>
      <c r="U418" s="51"/>
      <c r="V418" s="51"/>
      <c r="W418" s="51"/>
      <c r="X418" s="51"/>
      <c r="Y418" s="51"/>
      <c r="Z418" s="51"/>
      <c r="AA418" s="51"/>
      <c r="AB418" s="51"/>
    </row>
    <row r="419" customFormat="false" ht="15.75" hidden="false" customHeight="false" outlineLevel="0" collapsed="false">
      <c r="A419" s="51"/>
      <c r="B419" s="51"/>
      <c r="C419" s="6"/>
      <c r="D419" s="49"/>
      <c r="E419" s="51"/>
      <c r="F419" s="6"/>
      <c r="G419" s="6"/>
      <c r="H419" s="6"/>
      <c r="I419" s="6"/>
      <c r="J419" s="6"/>
      <c r="K419" s="51"/>
      <c r="L419" s="51"/>
      <c r="M419" s="51"/>
      <c r="N419" s="51"/>
      <c r="O419" s="51"/>
      <c r="P419" s="51"/>
      <c r="Q419" s="51"/>
      <c r="R419" s="51"/>
      <c r="S419" s="51"/>
      <c r="T419" s="51"/>
      <c r="U419" s="51"/>
      <c r="V419" s="51"/>
      <c r="W419" s="51"/>
      <c r="X419" s="51"/>
      <c r="Y419" s="51"/>
      <c r="Z419" s="51"/>
      <c r="AA419" s="51"/>
      <c r="AB419" s="51"/>
    </row>
    <row r="420" customFormat="false" ht="15.75" hidden="false" customHeight="false" outlineLevel="0" collapsed="false">
      <c r="A420" s="51"/>
      <c r="B420" s="51"/>
      <c r="C420" s="6"/>
      <c r="D420" s="49"/>
      <c r="E420" s="51"/>
      <c r="F420" s="6"/>
      <c r="G420" s="6"/>
      <c r="H420" s="6"/>
      <c r="I420" s="6"/>
      <c r="J420" s="6"/>
      <c r="K420" s="51"/>
      <c r="L420" s="51"/>
      <c r="M420" s="51"/>
      <c r="N420" s="51"/>
      <c r="O420" s="51"/>
      <c r="P420" s="51"/>
      <c r="Q420" s="51"/>
      <c r="R420" s="51"/>
      <c r="S420" s="51"/>
      <c r="T420" s="51"/>
      <c r="U420" s="51"/>
      <c r="V420" s="51"/>
      <c r="W420" s="51"/>
      <c r="X420" s="51"/>
      <c r="Y420" s="51"/>
      <c r="Z420" s="51"/>
      <c r="AA420" s="51"/>
      <c r="AB420" s="51"/>
    </row>
    <row r="421" customFormat="false" ht="15.75" hidden="false" customHeight="false" outlineLevel="0" collapsed="false">
      <c r="A421" s="51"/>
      <c r="B421" s="51"/>
      <c r="C421" s="6"/>
      <c r="D421" s="49"/>
      <c r="E421" s="51"/>
      <c r="F421" s="6"/>
      <c r="G421" s="6"/>
      <c r="H421" s="6"/>
      <c r="I421" s="6"/>
      <c r="J421" s="6"/>
      <c r="K421" s="51"/>
      <c r="L421" s="51"/>
      <c r="M421" s="51"/>
      <c r="N421" s="51"/>
      <c r="O421" s="51"/>
      <c r="P421" s="51"/>
      <c r="Q421" s="51"/>
      <c r="R421" s="51"/>
      <c r="S421" s="51"/>
      <c r="T421" s="51"/>
      <c r="U421" s="51"/>
      <c r="V421" s="51"/>
      <c r="W421" s="51"/>
      <c r="X421" s="51"/>
      <c r="Y421" s="51"/>
      <c r="Z421" s="51"/>
      <c r="AA421" s="51"/>
      <c r="AB421" s="51"/>
    </row>
    <row r="422" customFormat="false" ht="15.75" hidden="false" customHeight="false" outlineLevel="0" collapsed="false">
      <c r="A422" s="51"/>
      <c r="B422" s="51"/>
      <c r="C422" s="6"/>
      <c r="D422" s="49"/>
      <c r="E422" s="51"/>
      <c r="F422" s="6"/>
      <c r="G422" s="6"/>
      <c r="H422" s="6"/>
      <c r="I422" s="6"/>
      <c r="J422" s="6"/>
      <c r="K422" s="51"/>
      <c r="L422" s="51"/>
      <c r="M422" s="51"/>
      <c r="N422" s="51"/>
      <c r="O422" s="51"/>
      <c r="P422" s="51"/>
      <c r="Q422" s="51"/>
      <c r="R422" s="51"/>
      <c r="S422" s="51"/>
      <c r="T422" s="51"/>
      <c r="U422" s="51"/>
      <c r="V422" s="51"/>
      <c r="W422" s="51"/>
      <c r="X422" s="51"/>
      <c r="Y422" s="51"/>
      <c r="Z422" s="51"/>
      <c r="AA422" s="51"/>
      <c r="AB422" s="51"/>
    </row>
    <row r="423" customFormat="false" ht="15.75" hidden="false" customHeight="false" outlineLevel="0" collapsed="false">
      <c r="A423" s="51"/>
      <c r="B423" s="51"/>
      <c r="C423" s="6"/>
      <c r="D423" s="49"/>
      <c r="E423" s="51"/>
      <c r="F423" s="6"/>
      <c r="G423" s="6"/>
      <c r="H423" s="6"/>
      <c r="I423" s="6"/>
      <c r="J423" s="6"/>
      <c r="K423" s="51"/>
      <c r="L423" s="51"/>
      <c r="M423" s="51"/>
      <c r="N423" s="51"/>
      <c r="O423" s="51"/>
      <c r="P423" s="51"/>
      <c r="Q423" s="51"/>
      <c r="R423" s="51"/>
      <c r="S423" s="51"/>
      <c r="T423" s="51"/>
      <c r="U423" s="51"/>
      <c r="V423" s="51"/>
      <c r="W423" s="51"/>
      <c r="X423" s="51"/>
      <c r="Y423" s="51"/>
      <c r="Z423" s="51"/>
      <c r="AA423" s="51"/>
      <c r="AB423" s="51"/>
    </row>
    <row r="424" customFormat="false" ht="15.75" hidden="false" customHeight="false" outlineLevel="0" collapsed="false">
      <c r="A424" s="51"/>
      <c r="B424" s="51"/>
      <c r="C424" s="6"/>
      <c r="D424" s="49"/>
      <c r="E424" s="51"/>
      <c r="F424" s="6"/>
      <c r="G424" s="6"/>
      <c r="H424" s="6"/>
      <c r="I424" s="6"/>
      <c r="J424" s="6"/>
      <c r="K424" s="51"/>
      <c r="L424" s="51"/>
      <c r="M424" s="51"/>
      <c r="N424" s="51"/>
      <c r="O424" s="51"/>
      <c r="P424" s="51"/>
      <c r="Q424" s="51"/>
      <c r="R424" s="51"/>
      <c r="S424" s="51"/>
      <c r="T424" s="51"/>
      <c r="U424" s="51"/>
      <c r="V424" s="51"/>
      <c r="W424" s="51"/>
      <c r="X424" s="51"/>
      <c r="Y424" s="51"/>
      <c r="Z424" s="51"/>
      <c r="AA424" s="51"/>
      <c r="AB424" s="51"/>
    </row>
    <row r="425" customFormat="false" ht="15.75" hidden="false" customHeight="false" outlineLevel="0" collapsed="false">
      <c r="A425" s="51"/>
      <c r="B425" s="51"/>
      <c r="C425" s="6"/>
      <c r="D425" s="49"/>
      <c r="E425" s="51"/>
      <c r="F425" s="6"/>
      <c r="G425" s="6"/>
      <c r="H425" s="6"/>
      <c r="I425" s="6"/>
      <c r="J425" s="6"/>
      <c r="K425" s="51"/>
      <c r="L425" s="51"/>
      <c r="M425" s="51"/>
      <c r="N425" s="51"/>
      <c r="O425" s="51"/>
      <c r="P425" s="51"/>
      <c r="Q425" s="51"/>
      <c r="R425" s="51"/>
      <c r="S425" s="51"/>
      <c r="T425" s="51"/>
      <c r="U425" s="51"/>
      <c r="V425" s="51"/>
      <c r="W425" s="51"/>
      <c r="X425" s="51"/>
      <c r="Y425" s="51"/>
      <c r="Z425" s="51"/>
      <c r="AA425" s="51"/>
      <c r="AB425" s="51"/>
    </row>
    <row r="426" customFormat="false" ht="15.75" hidden="false" customHeight="false" outlineLevel="0" collapsed="false">
      <c r="A426" s="51"/>
      <c r="B426" s="51"/>
      <c r="C426" s="6"/>
      <c r="D426" s="49"/>
      <c r="E426" s="51"/>
      <c r="F426" s="6"/>
      <c r="G426" s="6"/>
      <c r="H426" s="6"/>
      <c r="I426" s="6"/>
      <c r="J426" s="6"/>
      <c r="K426" s="51"/>
      <c r="L426" s="51"/>
      <c r="M426" s="51"/>
      <c r="N426" s="51"/>
      <c r="O426" s="51"/>
      <c r="P426" s="51"/>
      <c r="Q426" s="51"/>
      <c r="R426" s="51"/>
      <c r="S426" s="51"/>
      <c r="T426" s="51"/>
      <c r="U426" s="51"/>
      <c r="V426" s="51"/>
      <c r="W426" s="51"/>
      <c r="X426" s="51"/>
      <c r="Y426" s="51"/>
      <c r="Z426" s="51"/>
      <c r="AA426" s="51"/>
      <c r="AB426" s="51"/>
    </row>
    <row r="427" customFormat="false" ht="15.75" hidden="false" customHeight="false" outlineLevel="0" collapsed="false">
      <c r="A427" s="51"/>
      <c r="B427" s="51"/>
      <c r="C427" s="6"/>
      <c r="D427" s="49"/>
      <c r="E427" s="51"/>
      <c r="F427" s="6"/>
      <c r="G427" s="6"/>
      <c r="H427" s="6"/>
      <c r="I427" s="6"/>
      <c r="J427" s="6"/>
      <c r="K427" s="51"/>
      <c r="L427" s="51"/>
      <c r="M427" s="51"/>
      <c r="N427" s="51"/>
      <c r="O427" s="51"/>
      <c r="P427" s="51"/>
      <c r="Q427" s="51"/>
      <c r="R427" s="51"/>
      <c r="S427" s="51"/>
      <c r="T427" s="51"/>
      <c r="U427" s="51"/>
      <c r="V427" s="51"/>
      <c r="W427" s="51"/>
      <c r="X427" s="51"/>
      <c r="Y427" s="51"/>
      <c r="Z427" s="51"/>
      <c r="AA427" s="51"/>
      <c r="AB427" s="51"/>
    </row>
    <row r="428" customFormat="false" ht="15.75" hidden="false" customHeight="false" outlineLevel="0" collapsed="false">
      <c r="A428" s="51"/>
      <c r="B428" s="51"/>
      <c r="C428" s="6"/>
      <c r="D428" s="49"/>
      <c r="E428" s="51"/>
      <c r="F428" s="6"/>
      <c r="G428" s="6"/>
      <c r="H428" s="6"/>
      <c r="I428" s="6"/>
      <c r="J428" s="6"/>
      <c r="K428" s="51"/>
      <c r="L428" s="51"/>
      <c r="M428" s="51"/>
      <c r="N428" s="51"/>
      <c r="O428" s="51"/>
      <c r="P428" s="51"/>
      <c r="Q428" s="51"/>
      <c r="R428" s="51"/>
      <c r="S428" s="51"/>
      <c r="T428" s="51"/>
      <c r="U428" s="51"/>
      <c r="V428" s="51"/>
      <c r="W428" s="51"/>
      <c r="X428" s="51"/>
      <c r="Y428" s="51"/>
      <c r="Z428" s="51"/>
      <c r="AA428" s="51"/>
      <c r="AB428" s="51"/>
    </row>
    <row r="429" customFormat="false" ht="15.75" hidden="false" customHeight="false" outlineLevel="0" collapsed="false">
      <c r="A429" s="51"/>
      <c r="B429" s="51"/>
      <c r="C429" s="6"/>
      <c r="D429" s="49"/>
      <c r="E429" s="51"/>
      <c r="F429" s="6"/>
      <c r="G429" s="6"/>
      <c r="H429" s="6"/>
      <c r="I429" s="6"/>
      <c r="J429" s="6"/>
      <c r="K429" s="51"/>
      <c r="L429" s="51"/>
      <c r="M429" s="51"/>
      <c r="N429" s="51"/>
      <c r="O429" s="51"/>
      <c r="P429" s="51"/>
      <c r="Q429" s="51"/>
      <c r="R429" s="51"/>
      <c r="S429" s="51"/>
      <c r="T429" s="51"/>
      <c r="U429" s="51"/>
      <c r="V429" s="51"/>
      <c r="W429" s="51"/>
      <c r="X429" s="51"/>
      <c r="Y429" s="51"/>
      <c r="Z429" s="51"/>
      <c r="AA429" s="51"/>
      <c r="AB429" s="51"/>
    </row>
    <row r="430" customFormat="false" ht="15.75" hidden="false" customHeight="false" outlineLevel="0" collapsed="false">
      <c r="A430" s="51"/>
      <c r="B430" s="51"/>
      <c r="C430" s="6"/>
      <c r="D430" s="49"/>
      <c r="E430" s="51"/>
      <c r="F430" s="6"/>
      <c r="G430" s="6"/>
      <c r="H430" s="6"/>
      <c r="I430" s="6"/>
      <c r="J430" s="6"/>
      <c r="K430" s="51"/>
      <c r="L430" s="51"/>
      <c r="M430" s="51"/>
      <c r="N430" s="51"/>
      <c r="O430" s="51"/>
      <c r="P430" s="51"/>
      <c r="Q430" s="51"/>
      <c r="R430" s="51"/>
      <c r="S430" s="51"/>
      <c r="T430" s="51"/>
      <c r="U430" s="51"/>
      <c r="V430" s="51"/>
      <c r="W430" s="51"/>
      <c r="X430" s="51"/>
      <c r="Y430" s="51"/>
      <c r="Z430" s="51"/>
      <c r="AA430" s="51"/>
      <c r="AB430" s="51"/>
    </row>
    <row r="431" customFormat="false" ht="15.75" hidden="false" customHeight="false" outlineLevel="0" collapsed="false">
      <c r="A431" s="51"/>
      <c r="B431" s="51"/>
      <c r="C431" s="6"/>
      <c r="D431" s="49"/>
      <c r="E431" s="51"/>
      <c r="F431" s="6"/>
      <c r="G431" s="6"/>
      <c r="H431" s="6"/>
      <c r="I431" s="6"/>
      <c r="J431" s="6"/>
      <c r="K431" s="51"/>
      <c r="L431" s="51"/>
      <c r="M431" s="51"/>
      <c r="N431" s="51"/>
      <c r="O431" s="51"/>
      <c r="P431" s="51"/>
      <c r="Q431" s="51"/>
      <c r="R431" s="51"/>
      <c r="S431" s="51"/>
      <c r="T431" s="51"/>
      <c r="U431" s="51"/>
      <c r="V431" s="51"/>
      <c r="W431" s="51"/>
      <c r="X431" s="51"/>
      <c r="Y431" s="51"/>
      <c r="Z431" s="51"/>
      <c r="AA431" s="51"/>
      <c r="AB431" s="51"/>
    </row>
    <row r="432" customFormat="false" ht="15.75" hidden="false" customHeight="false" outlineLevel="0" collapsed="false">
      <c r="A432" s="51"/>
      <c r="B432" s="51"/>
      <c r="C432" s="6"/>
      <c r="D432" s="49"/>
      <c r="E432" s="51"/>
      <c r="F432" s="6"/>
      <c r="G432" s="6"/>
      <c r="H432" s="6"/>
      <c r="I432" s="6"/>
      <c r="J432" s="6"/>
      <c r="K432" s="51"/>
      <c r="L432" s="51"/>
      <c r="M432" s="51"/>
      <c r="N432" s="51"/>
      <c r="O432" s="51"/>
      <c r="P432" s="51"/>
      <c r="Q432" s="51"/>
      <c r="R432" s="51"/>
      <c r="S432" s="51"/>
      <c r="T432" s="51"/>
      <c r="U432" s="51"/>
      <c r="V432" s="51"/>
      <c r="W432" s="51"/>
      <c r="X432" s="51"/>
      <c r="Y432" s="51"/>
      <c r="Z432" s="51"/>
      <c r="AA432" s="51"/>
      <c r="AB432" s="51"/>
    </row>
    <row r="433" customFormat="false" ht="15.75" hidden="false" customHeight="false" outlineLevel="0" collapsed="false">
      <c r="A433" s="51"/>
      <c r="B433" s="51"/>
      <c r="C433" s="6"/>
      <c r="D433" s="49"/>
      <c r="E433" s="51"/>
      <c r="F433" s="6"/>
      <c r="G433" s="6"/>
      <c r="H433" s="6"/>
      <c r="I433" s="6"/>
      <c r="J433" s="6"/>
      <c r="K433" s="51"/>
      <c r="L433" s="51"/>
      <c r="M433" s="51"/>
      <c r="N433" s="51"/>
      <c r="O433" s="51"/>
      <c r="P433" s="51"/>
      <c r="Q433" s="51"/>
      <c r="R433" s="51"/>
      <c r="S433" s="51"/>
      <c r="T433" s="51"/>
      <c r="U433" s="51"/>
      <c r="V433" s="51"/>
      <c r="W433" s="51"/>
      <c r="X433" s="51"/>
      <c r="Y433" s="51"/>
      <c r="Z433" s="51"/>
      <c r="AA433" s="51"/>
      <c r="AB433" s="51"/>
    </row>
    <row r="434" customFormat="false" ht="15.75" hidden="false" customHeight="false" outlineLevel="0" collapsed="false">
      <c r="A434" s="51"/>
      <c r="B434" s="51"/>
      <c r="C434" s="6"/>
      <c r="D434" s="49"/>
      <c r="E434" s="51"/>
      <c r="F434" s="6"/>
      <c r="G434" s="6"/>
      <c r="H434" s="6"/>
      <c r="I434" s="6"/>
      <c r="J434" s="6"/>
      <c r="K434" s="51"/>
      <c r="L434" s="51"/>
      <c r="M434" s="51"/>
      <c r="N434" s="51"/>
      <c r="O434" s="51"/>
      <c r="P434" s="51"/>
      <c r="Q434" s="51"/>
      <c r="R434" s="51"/>
      <c r="S434" s="51"/>
      <c r="T434" s="51"/>
      <c r="U434" s="51"/>
      <c r="V434" s="51"/>
      <c r="W434" s="51"/>
      <c r="X434" s="51"/>
      <c r="Y434" s="51"/>
      <c r="Z434" s="51"/>
      <c r="AA434" s="51"/>
      <c r="AB434" s="51"/>
    </row>
    <row r="435" customFormat="false" ht="15.75" hidden="false" customHeight="false" outlineLevel="0" collapsed="false">
      <c r="A435" s="51"/>
      <c r="B435" s="51"/>
      <c r="C435" s="6"/>
      <c r="D435" s="49"/>
      <c r="E435" s="51"/>
      <c r="F435" s="6"/>
      <c r="G435" s="6"/>
      <c r="H435" s="6"/>
      <c r="I435" s="6"/>
      <c r="J435" s="6"/>
      <c r="K435" s="51"/>
      <c r="L435" s="51"/>
      <c r="M435" s="51"/>
      <c r="N435" s="51"/>
      <c r="O435" s="51"/>
      <c r="P435" s="51"/>
      <c r="Q435" s="51"/>
      <c r="R435" s="51"/>
      <c r="S435" s="51"/>
      <c r="T435" s="51"/>
      <c r="U435" s="51"/>
      <c r="V435" s="51"/>
      <c r="W435" s="51"/>
      <c r="X435" s="51"/>
      <c r="Y435" s="51"/>
      <c r="Z435" s="51"/>
      <c r="AA435" s="51"/>
      <c r="AB435" s="51"/>
    </row>
    <row r="436" customFormat="false" ht="15.75" hidden="false" customHeight="false" outlineLevel="0" collapsed="false">
      <c r="A436" s="51"/>
      <c r="B436" s="51"/>
      <c r="C436" s="6"/>
      <c r="D436" s="49"/>
      <c r="E436" s="51"/>
      <c r="F436" s="6"/>
      <c r="G436" s="6"/>
      <c r="H436" s="6"/>
      <c r="I436" s="6"/>
      <c r="J436" s="6"/>
      <c r="K436" s="51"/>
      <c r="L436" s="51"/>
      <c r="M436" s="51"/>
      <c r="N436" s="51"/>
      <c r="O436" s="51"/>
      <c r="P436" s="51"/>
      <c r="Q436" s="51"/>
      <c r="R436" s="51"/>
      <c r="S436" s="51"/>
      <c r="T436" s="51"/>
      <c r="U436" s="51"/>
      <c r="V436" s="51"/>
      <c r="W436" s="51"/>
      <c r="X436" s="51"/>
      <c r="Y436" s="51"/>
      <c r="Z436" s="51"/>
      <c r="AA436" s="51"/>
      <c r="AB436" s="51"/>
    </row>
    <row r="437" customFormat="false" ht="15.75" hidden="false" customHeight="false" outlineLevel="0" collapsed="false">
      <c r="A437" s="51"/>
      <c r="B437" s="51"/>
      <c r="C437" s="6"/>
      <c r="D437" s="49"/>
      <c r="E437" s="51"/>
      <c r="F437" s="6"/>
      <c r="G437" s="6"/>
      <c r="H437" s="6"/>
      <c r="I437" s="6"/>
      <c r="J437" s="6"/>
      <c r="K437" s="51"/>
      <c r="L437" s="51"/>
      <c r="M437" s="51"/>
      <c r="N437" s="51"/>
      <c r="O437" s="51"/>
      <c r="P437" s="51"/>
      <c r="Q437" s="51"/>
      <c r="R437" s="51"/>
      <c r="S437" s="51"/>
      <c r="T437" s="51"/>
      <c r="U437" s="51"/>
      <c r="V437" s="51"/>
      <c r="W437" s="51"/>
      <c r="X437" s="51"/>
      <c r="Y437" s="51"/>
      <c r="Z437" s="51"/>
      <c r="AA437" s="51"/>
      <c r="AB437" s="51"/>
    </row>
    <row r="438" customFormat="false" ht="15.75" hidden="false" customHeight="false" outlineLevel="0" collapsed="false">
      <c r="A438" s="51"/>
      <c r="B438" s="51"/>
      <c r="C438" s="6"/>
      <c r="D438" s="49"/>
      <c r="E438" s="51"/>
      <c r="F438" s="6"/>
      <c r="G438" s="6"/>
      <c r="H438" s="6"/>
      <c r="I438" s="6"/>
      <c r="J438" s="6"/>
      <c r="K438" s="51"/>
      <c r="L438" s="51"/>
      <c r="M438" s="51"/>
      <c r="N438" s="51"/>
      <c r="O438" s="51"/>
      <c r="P438" s="51"/>
      <c r="Q438" s="51"/>
      <c r="R438" s="51"/>
      <c r="S438" s="51"/>
      <c r="T438" s="51"/>
      <c r="U438" s="51"/>
      <c r="V438" s="51"/>
      <c r="W438" s="51"/>
      <c r="X438" s="51"/>
      <c r="Y438" s="51"/>
      <c r="Z438" s="51"/>
      <c r="AA438" s="51"/>
      <c r="AB438" s="51"/>
    </row>
    <row r="439" customFormat="false" ht="15.75" hidden="false" customHeight="false" outlineLevel="0" collapsed="false">
      <c r="A439" s="51"/>
      <c r="B439" s="51"/>
      <c r="C439" s="6"/>
      <c r="D439" s="49"/>
      <c r="E439" s="51"/>
      <c r="F439" s="6"/>
      <c r="G439" s="6"/>
      <c r="H439" s="6"/>
      <c r="I439" s="6"/>
      <c r="J439" s="6"/>
      <c r="K439" s="51"/>
      <c r="L439" s="51"/>
      <c r="M439" s="51"/>
      <c r="N439" s="51"/>
      <c r="O439" s="51"/>
      <c r="P439" s="51"/>
      <c r="Q439" s="51"/>
      <c r="R439" s="51"/>
      <c r="S439" s="51"/>
      <c r="T439" s="51"/>
      <c r="U439" s="51"/>
      <c r="V439" s="51"/>
      <c r="W439" s="51"/>
      <c r="X439" s="51"/>
      <c r="Y439" s="51"/>
      <c r="Z439" s="51"/>
      <c r="AA439" s="51"/>
      <c r="AB439" s="51"/>
    </row>
    <row r="440" customFormat="false" ht="15.75" hidden="false" customHeight="false" outlineLevel="0" collapsed="false">
      <c r="A440" s="51"/>
      <c r="B440" s="51"/>
      <c r="C440" s="6"/>
      <c r="D440" s="49"/>
      <c r="E440" s="51"/>
      <c r="F440" s="6"/>
      <c r="G440" s="6"/>
      <c r="H440" s="6"/>
      <c r="I440" s="6"/>
      <c r="J440" s="6"/>
      <c r="K440" s="51"/>
      <c r="L440" s="51"/>
      <c r="M440" s="51"/>
      <c r="N440" s="51"/>
      <c r="O440" s="51"/>
      <c r="P440" s="51"/>
      <c r="Q440" s="51"/>
      <c r="R440" s="51"/>
      <c r="S440" s="51"/>
      <c r="T440" s="51"/>
      <c r="U440" s="51"/>
      <c r="V440" s="51"/>
      <c r="W440" s="51"/>
      <c r="X440" s="51"/>
      <c r="Y440" s="51"/>
      <c r="Z440" s="51"/>
      <c r="AA440" s="51"/>
      <c r="AB440" s="51"/>
    </row>
    <row r="441" customFormat="false" ht="15.75" hidden="false" customHeight="false" outlineLevel="0" collapsed="false">
      <c r="A441" s="51"/>
      <c r="B441" s="51"/>
      <c r="C441" s="6"/>
      <c r="D441" s="49"/>
      <c r="E441" s="51"/>
      <c r="F441" s="6"/>
      <c r="G441" s="6"/>
      <c r="H441" s="6"/>
      <c r="I441" s="6"/>
      <c r="J441" s="6"/>
      <c r="K441" s="51"/>
      <c r="L441" s="51"/>
      <c r="M441" s="51"/>
      <c r="N441" s="51"/>
      <c r="O441" s="51"/>
      <c r="P441" s="51"/>
      <c r="Q441" s="51"/>
      <c r="R441" s="51"/>
      <c r="S441" s="51"/>
      <c r="T441" s="51"/>
      <c r="U441" s="51"/>
      <c r="V441" s="51"/>
      <c r="W441" s="51"/>
      <c r="X441" s="51"/>
      <c r="Y441" s="51"/>
      <c r="Z441" s="51"/>
      <c r="AA441" s="51"/>
      <c r="AB441" s="51"/>
    </row>
    <row r="442" customFormat="false" ht="15.75" hidden="false" customHeight="false" outlineLevel="0" collapsed="false">
      <c r="A442" s="51"/>
      <c r="B442" s="51"/>
      <c r="C442" s="6"/>
      <c r="D442" s="49"/>
      <c r="E442" s="51"/>
      <c r="F442" s="6"/>
      <c r="G442" s="6"/>
      <c r="H442" s="6"/>
      <c r="I442" s="6"/>
      <c r="J442" s="6"/>
      <c r="K442" s="51"/>
      <c r="L442" s="51"/>
      <c r="M442" s="51"/>
      <c r="N442" s="51"/>
      <c r="O442" s="51"/>
      <c r="P442" s="51"/>
      <c r="Q442" s="51"/>
      <c r="R442" s="51"/>
      <c r="S442" s="51"/>
      <c r="T442" s="51"/>
      <c r="U442" s="51"/>
      <c r="V442" s="51"/>
      <c r="W442" s="51"/>
      <c r="X442" s="51"/>
      <c r="Y442" s="51"/>
      <c r="Z442" s="51"/>
      <c r="AA442" s="51"/>
      <c r="AB442" s="51"/>
    </row>
    <row r="443" customFormat="false" ht="15.75" hidden="false" customHeight="false" outlineLevel="0" collapsed="false">
      <c r="A443" s="51"/>
      <c r="B443" s="51"/>
      <c r="C443" s="6"/>
      <c r="D443" s="49"/>
      <c r="E443" s="51"/>
      <c r="F443" s="6"/>
      <c r="G443" s="6"/>
      <c r="H443" s="6"/>
      <c r="I443" s="6"/>
      <c r="J443" s="6"/>
      <c r="K443" s="51"/>
      <c r="L443" s="51"/>
      <c r="M443" s="51"/>
      <c r="N443" s="51"/>
      <c r="O443" s="51"/>
      <c r="P443" s="51"/>
      <c r="Q443" s="51"/>
      <c r="R443" s="51"/>
      <c r="S443" s="51"/>
      <c r="T443" s="51"/>
      <c r="U443" s="51"/>
      <c r="V443" s="51"/>
      <c r="W443" s="51"/>
      <c r="X443" s="51"/>
      <c r="Y443" s="51"/>
      <c r="Z443" s="51"/>
      <c r="AA443" s="51"/>
      <c r="AB443" s="51"/>
    </row>
    <row r="444" customFormat="false" ht="15.75" hidden="false" customHeight="false" outlineLevel="0" collapsed="false">
      <c r="A444" s="51"/>
      <c r="B444" s="51"/>
      <c r="C444" s="6"/>
      <c r="D444" s="49"/>
      <c r="E444" s="51"/>
      <c r="F444" s="6"/>
      <c r="G444" s="6"/>
      <c r="H444" s="6"/>
      <c r="I444" s="6"/>
      <c r="J444" s="6"/>
      <c r="K444" s="51"/>
      <c r="L444" s="51"/>
      <c r="M444" s="51"/>
      <c r="N444" s="51"/>
      <c r="O444" s="51"/>
      <c r="P444" s="51"/>
      <c r="Q444" s="51"/>
      <c r="R444" s="51"/>
      <c r="S444" s="51"/>
      <c r="T444" s="51"/>
      <c r="U444" s="51"/>
      <c r="V444" s="51"/>
      <c r="W444" s="51"/>
      <c r="X444" s="51"/>
      <c r="Y444" s="51"/>
      <c r="Z444" s="51"/>
      <c r="AA444" s="51"/>
      <c r="AB444" s="51"/>
    </row>
    <row r="445" customFormat="false" ht="15.75" hidden="false" customHeight="false" outlineLevel="0" collapsed="false">
      <c r="A445" s="51"/>
      <c r="B445" s="51"/>
      <c r="C445" s="6"/>
      <c r="D445" s="49"/>
      <c r="E445" s="51"/>
      <c r="F445" s="6"/>
      <c r="G445" s="6"/>
      <c r="H445" s="6"/>
      <c r="I445" s="6"/>
      <c r="J445" s="6"/>
      <c r="K445" s="51"/>
      <c r="L445" s="51"/>
      <c r="M445" s="51"/>
      <c r="N445" s="51"/>
      <c r="O445" s="51"/>
      <c r="P445" s="51"/>
      <c r="Q445" s="51"/>
      <c r="R445" s="51"/>
      <c r="S445" s="51"/>
      <c r="T445" s="51"/>
      <c r="U445" s="51"/>
      <c r="V445" s="51"/>
      <c r="W445" s="51"/>
      <c r="X445" s="51"/>
      <c r="Y445" s="51"/>
      <c r="Z445" s="51"/>
      <c r="AA445" s="51"/>
      <c r="AB445" s="51"/>
    </row>
    <row r="446" customFormat="false" ht="15.75" hidden="false" customHeight="false" outlineLevel="0" collapsed="false">
      <c r="A446" s="51"/>
      <c r="B446" s="51"/>
      <c r="C446" s="6"/>
      <c r="D446" s="49"/>
      <c r="E446" s="51"/>
      <c r="F446" s="6"/>
      <c r="G446" s="6"/>
      <c r="H446" s="6"/>
      <c r="I446" s="6"/>
      <c r="J446" s="6"/>
      <c r="K446" s="51"/>
      <c r="L446" s="51"/>
      <c r="M446" s="51"/>
      <c r="N446" s="51"/>
      <c r="O446" s="51"/>
      <c r="P446" s="51"/>
      <c r="Q446" s="51"/>
      <c r="R446" s="51"/>
      <c r="S446" s="51"/>
      <c r="T446" s="51"/>
      <c r="U446" s="51"/>
      <c r="V446" s="51"/>
      <c r="W446" s="51"/>
      <c r="X446" s="51"/>
      <c r="Y446" s="51"/>
      <c r="Z446" s="51"/>
      <c r="AA446" s="51"/>
      <c r="AB446" s="51"/>
    </row>
    <row r="447" customFormat="false" ht="15.75" hidden="false" customHeight="false" outlineLevel="0" collapsed="false">
      <c r="A447" s="51"/>
      <c r="B447" s="51"/>
      <c r="C447" s="6"/>
      <c r="D447" s="49"/>
      <c r="E447" s="51"/>
      <c r="F447" s="6"/>
      <c r="G447" s="6"/>
      <c r="H447" s="6"/>
      <c r="I447" s="6"/>
      <c r="J447" s="6"/>
      <c r="K447" s="51"/>
      <c r="L447" s="51"/>
      <c r="M447" s="51"/>
      <c r="N447" s="51"/>
      <c r="O447" s="51"/>
      <c r="P447" s="51"/>
      <c r="Q447" s="51"/>
      <c r="R447" s="51"/>
      <c r="S447" s="51"/>
      <c r="T447" s="51"/>
      <c r="U447" s="51"/>
      <c r="V447" s="51"/>
      <c r="W447" s="51"/>
      <c r="X447" s="51"/>
      <c r="Y447" s="51"/>
      <c r="Z447" s="51"/>
      <c r="AA447" s="51"/>
      <c r="AB447" s="51"/>
    </row>
    <row r="448" customFormat="false" ht="15.75" hidden="false" customHeight="false" outlineLevel="0" collapsed="false">
      <c r="A448" s="51"/>
      <c r="B448" s="51"/>
      <c r="C448" s="6"/>
      <c r="D448" s="49"/>
      <c r="E448" s="51"/>
      <c r="F448" s="6"/>
      <c r="G448" s="6"/>
      <c r="H448" s="6"/>
      <c r="I448" s="6"/>
      <c r="J448" s="6"/>
      <c r="K448" s="51"/>
      <c r="L448" s="51"/>
      <c r="M448" s="51"/>
      <c r="N448" s="51"/>
      <c r="O448" s="51"/>
      <c r="P448" s="51"/>
      <c r="Q448" s="51"/>
      <c r="R448" s="51"/>
      <c r="S448" s="51"/>
      <c r="T448" s="51"/>
      <c r="U448" s="51"/>
      <c r="V448" s="51"/>
      <c r="W448" s="51"/>
      <c r="X448" s="51"/>
      <c r="Y448" s="51"/>
      <c r="Z448" s="51"/>
      <c r="AA448" s="51"/>
      <c r="AB448" s="51"/>
    </row>
    <row r="449" customFormat="false" ht="15.75" hidden="false" customHeight="false" outlineLevel="0" collapsed="false">
      <c r="A449" s="51"/>
      <c r="B449" s="51"/>
      <c r="C449" s="6"/>
      <c r="D449" s="49"/>
      <c r="E449" s="51"/>
      <c r="F449" s="6"/>
      <c r="G449" s="6"/>
      <c r="H449" s="6"/>
      <c r="I449" s="6"/>
      <c r="J449" s="6"/>
      <c r="K449" s="51"/>
      <c r="L449" s="51"/>
      <c r="M449" s="51"/>
      <c r="N449" s="51"/>
      <c r="O449" s="51"/>
      <c r="P449" s="51"/>
      <c r="Q449" s="51"/>
      <c r="R449" s="51"/>
      <c r="S449" s="51"/>
      <c r="T449" s="51"/>
      <c r="U449" s="51"/>
      <c r="V449" s="51"/>
      <c r="W449" s="51"/>
      <c r="X449" s="51"/>
      <c r="Y449" s="51"/>
      <c r="Z449" s="51"/>
      <c r="AA449" s="51"/>
      <c r="AB449" s="51"/>
    </row>
    <row r="450" customFormat="false" ht="15.75" hidden="false" customHeight="false" outlineLevel="0" collapsed="false">
      <c r="A450" s="51"/>
      <c r="B450" s="51"/>
      <c r="C450" s="6"/>
      <c r="D450" s="49"/>
      <c r="E450" s="51"/>
      <c r="F450" s="6"/>
      <c r="G450" s="6"/>
      <c r="H450" s="6"/>
      <c r="I450" s="6"/>
      <c r="J450" s="6"/>
      <c r="K450" s="51"/>
      <c r="L450" s="51"/>
      <c r="M450" s="51"/>
      <c r="N450" s="51"/>
      <c r="O450" s="51"/>
      <c r="P450" s="51"/>
      <c r="Q450" s="51"/>
      <c r="R450" s="51"/>
      <c r="S450" s="51"/>
      <c r="T450" s="51"/>
      <c r="U450" s="51"/>
      <c r="V450" s="51"/>
      <c r="W450" s="51"/>
      <c r="X450" s="51"/>
      <c r="Y450" s="51"/>
      <c r="Z450" s="51"/>
      <c r="AA450" s="51"/>
      <c r="AB450" s="51"/>
    </row>
    <row r="451" customFormat="false" ht="15.75" hidden="false" customHeight="false" outlineLevel="0" collapsed="false">
      <c r="A451" s="51"/>
      <c r="B451" s="51"/>
      <c r="C451" s="6"/>
      <c r="D451" s="49"/>
      <c r="E451" s="51"/>
      <c r="F451" s="6"/>
      <c r="G451" s="6"/>
      <c r="H451" s="6"/>
      <c r="I451" s="6"/>
      <c r="J451" s="6"/>
      <c r="K451" s="51"/>
      <c r="L451" s="51"/>
      <c r="M451" s="51"/>
      <c r="N451" s="51"/>
      <c r="O451" s="51"/>
      <c r="P451" s="51"/>
      <c r="Q451" s="51"/>
      <c r="R451" s="51"/>
      <c r="S451" s="51"/>
      <c r="T451" s="51"/>
      <c r="U451" s="51"/>
      <c r="V451" s="51"/>
      <c r="W451" s="51"/>
      <c r="X451" s="51"/>
      <c r="Y451" s="51"/>
      <c r="Z451" s="51"/>
      <c r="AA451" s="51"/>
      <c r="AB451" s="51"/>
    </row>
    <row r="452" customFormat="false" ht="15.75" hidden="false" customHeight="false" outlineLevel="0" collapsed="false">
      <c r="A452" s="51"/>
      <c r="B452" s="51"/>
      <c r="C452" s="6"/>
      <c r="D452" s="49"/>
      <c r="E452" s="51"/>
      <c r="F452" s="6"/>
      <c r="G452" s="6"/>
      <c r="H452" s="6"/>
      <c r="I452" s="6"/>
      <c r="J452" s="6"/>
      <c r="K452" s="51"/>
      <c r="L452" s="51"/>
      <c r="M452" s="51"/>
      <c r="N452" s="51"/>
      <c r="O452" s="51"/>
      <c r="P452" s="51"/>
      <c r="Q452" s="51"/>
      <c r="R452" s="51"/>
      <c r="S452" s="51"/>
      <c r="T452" s="51"/>
      <c r="U452" s="51"/>
      <c r="V452" s="51"/>
      <c r="W452" s="51"/>
      <c r="X452" s="51"/>
      <c r="Y452" s="51"/>
      <c r="Z452" s="51"/>
      <c r="AA452" s="51"/>
      <c r="AB452" s="51"/>
    </row>
    <row r="453" customFormat="false" ht="15.75" hidden="false" customHeight="false" outlineLevel="0" collapsed="false">
      <c r="A453" s="51"/>
      <c r="B453" s="51"/>
      <c r="C453" s="6"/>
      <c r="D453" s="49"/>
      <c r="E453" s="51"/>
      <c r="F453" s="6"/>
      <c r="G453" s="6"/>
      <c r="H453" s="6"/>
      <c r="I453" s="6"/>
      <c r="J453" s="6"/>
      <c r="K453" s="51"/>
      <c r="L453" s="51"/>
      <c r="M453" s="51"/>
      <c r="N453" s="51"/>
      <c r="O453" s="51"/>
      <c r="P453" s="51"/>
      <c r="Q453" s="51"/>
      <c r="R453" s="51"/>
      <c r="S453" s="51"/>
      <c r="T453" s="51"/>
      <c r="U453" s="51"/>
      <c r="V453" s="51"/>
      <c r="W453" s="51"/>
      <c r="X453" s="51"/>
      <c r="Y453" s="51"/>
      <c r="Z453" s="51"/>
      <c r="AA453" s="51"/>
      <c r="AB453" s="51"/>
    </row>
    <row r="454" customFormat="false" ht="15.75" hidden="false" customHeight="false" outlineLevel="0" collapsed="false">
      <c r="A454" s="51"/>
      <c r="B454" s="51"/>
      <c r="C454" s="6"/>
      <c r="D454" s="49"/>
      <c r="E454" s="51"/>
      <c r="F454" s="6"/>
      <c r="G454" s="6"/>
      <c r="H454" s="6"/>
      <c r="I454" s="6"/>
      <c r="J454" s="6"/>
      <c r="K454" s="51"/>
      <c r="L454" s="51"/>
      <c r="M454" s="51"/>
      <c r="N454" s="51"/>
      <c r="O454" s="51"/>
      <c r="P454" s="51"/>
      <c r="Q454" s="51"/>
      <c r="R454" s="51"/>
      <c r="S454" s="51"/>
      <c r="T454" s="51"/>
      <c r="U454" s="51"/>
      <c r="V454" s="51"/>
      <c r="W454" s="51"/>
      <c r="X454" s="51"/>
      <c r="Y454" s="51"/>
      <c r="Z454" s="51"/>
      <c r="AA454" s="51"/>
      <c r="AB454" s="51"/>
    </row>
    <row r="455" customFormat="false" ht="15.75" hidden="false" customHeight="false" outlineLevel="0" collapsed="false">
      <c r="A455" s="51"/>
      <c r="B455" s="51"/>
      <c r="C455" s="6"/>
      <c r="D455" s="49"/>
      <c r="E455" s="51"/>
      <c r="F455" s="6"/>
      <c r="G455" s="6"/>
      <c r="H455" s="6"/>
      <c r="I455" s="6"/>
      <c r="J455" s="6"/>
      <c r="K455" s="51"/>
      <c r="L455" s="51"/>
      <c r="M455" s="51"/>
      <c r="N455" s="51"/>
      <c r="O455" s="51"/>
      <c r="P455" s="51"/>
      <c r="Q455" s="51"/>
      <c r="R455" s="51"/>
      <c r="S455" s="51"/>
      <c r="T455" s="51"/>
      <c r="U455" s="51"/>
      <c r="V455" s="51"/>
      <c r="W455" s="51"/>
      <c r="X455" s="51"/>
      <c r="Y455" s="51"/>
      <c r="Z455" s="51"/>
      <c r="AA455" s="51"/>
      <c r="AB455" s="51"/>
    </row>
    <row r="456" customFormat="false" ht="15.75" hidden="false" customHeight="false" outlineLevel="0" collapsed="false">
      <c r="A456" s="51"/>
      <c r="B456" s="51"/>
      <c r="C456" s="6"/>
      <c r="D456" s="49"/>
      <c r="E456" s="51"/>
      <c r="F456" s="6"/>
      <c r="G456" s="6"/>
      <c r="H456" s="6"/>
      <c r="I456" s="6"/>
      <c r="J456" s="6"/>
      <c r="K456" s="51"/>
      <c r="L456" s="51"/>
      <c r="M456" s="51"/>
      <c r="N456" s="51"/>
      <c r="O456" s="51"/>
      <c r="P456" s="51"/>
      <c r="Q456" s="51"/>
      <c r="R456" s="51"/>
      <c r="S456" s="51"/>
      <c r="T456" s="51"/>
      <c r="U456" s="51"/>
      <c r="V456" s="51"/>
      <c r="W456" s="51"/>
      <c r="X456" s="51"/>
      <c r="Y456" s="51"/>
      <c r="Z456" s="51"/>
      <c r="AA456" s="51"/>
      <c r="AB456" s="51"/>
    </row>
    <row r="457" customFormat="false" ht="15.75" hidden="false" customHeight="false" outlineLevel="0" collapsed="false">
      <c r="A457" s="51"/>
      <c r="B457" s="51"/>
      <c r="C457" s="6"/>
      <c r="D457" s="49"/>
      <c r="E457" s="51"/>
      <c r="F457" s="6"/>
      <c r="G457" s="6"/>
      <c r="H457" s="6"/>
      <c r="I457" s="6"/>
      <c r="J457" s="6"/>
      <c r="K457" s="51"/>
      <c r="L457" s="51"/>
      <c r="M457" s="51"/>
      <c r="N457" s="51"/>
      <c r="O457" s="51"/>
      <c r="P457" s="51"/>
      <c r="Q457" s="51"/>
      <c r="R457" s="51"/>
      <c r="S457" s="51"/>
      <c r="T457" s="51"/>
      <c r="U457" s="51"/>
      <c r="V457" s="51"/>
      <c r="W457" s="51"/>
      <c r="X457" s="51"/>
      <c r="Y457" s="51"/>
      <c r="Z457" s="51"/>
      <c r="AA457" s="51"/>
      <c r="AB457" s="51"/>
    </row>
    <row r="458" customFormat="false" ht="15.75" hidden="false" customHeight="false" outlineLevel="0" collapsed="false">
      <c r="A458" s="51"/>
      <c r="B458" s="51"/>
      <c r="C458" s="6"/>
      <c r="D458" s="49"/>
      <c r="E458" s="51"/>
      <c r="F458" s="6"/>
      <c r="G458" s="6"/>
      <c r="H458" s="6"/>
      <c r="I458" s="6"/>
      <c r="J458" s="6"/>
      <c r="K458" s="51"/>
      <c r="L458" s="51"/>
      <c r="M458" s="51"/>
      <c r="N458" s="51"/>
      <c r="O458" s="51"/>
      <c r="P458" s="51"/>
      <c r="Q458" s="51"/>
      <c r="R458" s="51"/>
      <c r="S458" s="51"/>
      <c r="T458" s="51"/>
      <c r="U458" s="51"/>
      <c r="V458" s="51"/>
      <c r="W458" s="51"/>
      <c r="X458" s="51"/>
      <c r="Y458" s="51"/>
      <c r="Z458" s="51"/>
      <c r="AA458" s="51"/>
      <c r="AB458" s="51"/>
    </row>
    <row r="459" customFormat="false" ht="15.75" hidden="false" customHeight="false" outlineLevel="0" collapsed="false">
      <c r="A459" s="51"/>
      <c r="B459" s="51"/>
      <c r="C459" s="6"/>
      <c r="D459" s="49"/>
      <c r="E459" s="51"/>
      <c r="F459" s="6"/>
      <c r="G459" s="6"/>
      <c r="H459" s="6"/>
      <c r="I459" s="6"/>
      <c r="J459" s="6"/>
      <c r="K459" s="51"/>
      <c r="L459" s="51"/>
      <c r="M459" s="51"/>
      <c r="N459" s="51"/>
      <c r="O459" s="51"/>
      <c r="P459" s="51"/>
      <c r="Q459" s="51"/>
      <c r="R459" s="51"/>
      <c r="S459" s="51"/>
      <c r="T459" s="51"/>
      <c r="U459" s="51"/>
      <c r="V459" s="51"/>
      <c r="W459" s="51"/>
      <c r="X459" s="51"/>
      <c r="Y459" s="51"/>
      <c r="Z459" s="51"/>
      <c r="AA459" s="51"/>
      <c r="AB459" s="51"/>
    </row>
    <row r="460" customFormat="false" ht="15.75" hidden="false" customHeight="false" outlineLevel="0" collapsed="false">
      <c r="A460" s="51"/>
      <c r="B460" s="51"/>
      <c r="C460" s="6"/>
      <c r="D460" s="49"/>
      <c r="E460" s="51"/>
      <c r="F460" s="6"/>
      <c r="G460" s="6"/>
      <c r="H460" s="6"/>
      <c r="I460" s="6"/>
      <c r="J460" s="6"/>
      <c r="K460" s="51"/>
      <c r="L460" s="51"/>
      <c r="M460" s="51"/>
      <c r="N460" s="51"/>
      <c r="O460" s="51"/>
      <c r="P460" s="51"/>
      <c r="Q460" s="51"/>
      <c r="R460" s="51"/>
      <c r="S460" s="51"/>
      <c r="T460" s="51"/>
      <c r="U460" s="51"/>
      <c r="V460" s="51"/>
      <c r="W460" s="51"/>
      <c r="X460" s="51"/>
      <c r="Y460" s="51"/>
      <c r="Z460" s="51"/>
      <c r="AA460" s="51"/>
      <c r="AB460" s="51"/>
    </row>
    <row r="461" customFormat="false" ht="15.75" hidden="false" customHeight="false" outlineLevel="0" collapsed="false">
      <c r="A461" s="51"/>
      <c r="B461" s="51"/>
      <c r="C461" s="6"/>
      <c r="D461" s="49"/>
      <c r="E461" s="51"/>
      <c r="F461" s="6"/>
      <c r="G461" s="6"/>
      <c r="H461" s="6"/>
      <c r="I461" s="6"/>
      <c r="J461" s="6"/>
      <c r="K461" s="51"/>
      <c r="L461" s="51"/>
      <c r="M461" s="51"/>
      <c r="N461" s="51"/>
      <c r="O461" s="51"/>
      <c r="P461" s="51"/>
      <c r="Q461" s="51"/>
      <c r="R461" s="51"/>
      <c r="S461" s="51"/>
      <c r="T461" s="51"/>
      <c r="U461" s="51"/>
      <c r="V461" s="51"/>
      <c r="W461" s="51"/>
      <c r="X461" s="51"/>
      <c r="Y461" s="51"/>
      <c r="Z461" s="51"/>
      <c r="AA461" s="51"/>
      <c r="AB461" s="51"/>
    </row>
    <row r="462" customFormat="false" ht="15.75" hidden="false" customHeight="false" outlineLevel="0" collapsed="false">
      <c r="A462" s="51"/>
      <c r="B462" s="51"/>
      <c r="C462" s="6"/>
      <c r="D462" s="49"/>
      <c r="E462" s="51"/>
      <c r="F462" s="6"/>
      <c r="G462" s="6"/>
      <c r="H462" s="6"/>
      <c r="I462" s="6"/>
      <c r="J462" s="6"/>
      <c r="K462" s="51"/>
      <c r="L462" s="51"/>
      <c r="M462" s="51"/>
      <c r="N462" s="51"/>
      <c r="O462" s="51"/>
      <c r="P462" s="51"/>
      <c r="Q462" s="51"/>
      <c r="R462" s="51"/>
      <c r="S462" s="51"/>
      <c r="T462" s="51"/>
      <c r="U462" s="51"/>
      <c r="V462" s="51"/>
      <c r="W462" s="51"/>
      <c r="X462" s="51"/>
      <c r="Y462" s="51"/>
      <c r="Z462" s="51"/>
      <c r="AA462" s="51"/>
      <c r="AB462" s="51"/>
    </row>
    <row r="463" customFormat="false" ht="15.75" hidden="false" customHeight="false" outlineLevel="0" collapsed="false">
      <c r="A463" s="51"/>
      <c r="B463" s="51"/>
      <c r="C463" s="6"/>
      <c r="D463" s="49"/>
      <c r="E463" s="51"/>
      <c r="F463" s="6"/>
      <c r="G463" s="6"/>
      <c r="H463" s="6"/>
      <c r="I463" s="6"/>
      <c r="J463" s="6"/>
      <c r="K463" s="51"/>
      <c r="L463" s="51"/>
      <c r="M463" s="51"/>
      <c r="N463" s="51"/>
      <c r="O463" s="51"/>
      <c r="P463" s="51"/>
      <c r="Q463" s="51"/>
      <c r="R463" s="51"/>
      <c r="S463" s="51"/>
      <c r="T463" s="51"/>
      <c r="U463" s="51"/>
      <c r="V463" s="51"/>
      <c r="W463" s="51"/>
      <c r="X463" s="51"/>
      <c r="Y463" s="51"/>
      <c r="Z463" s="51"/>
      <c r="AA463" s="51"/>
      <c r="AB463" s="51"/>
    </row>
    <row r="464" customFormat="false" ht="15.75" hidden="false" customHeight="false" outlineLevel="0" collapsed="false">
      <c r="A464" s="51"/>
      <c r="B464" s="51"/>
      <c r="C464" s="6"/>
      <c r="D464" s="49"/>
      <c r="E464" s="51"/>
      <c r="F464" s="6"/>
      <c r="G464" s="6"/>
      <c r="H464" s="6"/>
      <c r="I464" s="6"/>
      <c r="J464" s="6"/>
      <c r="K464" s="51"/>
      <c r="L464" s="51"/>
      <c r="M464" s="51"/>
      <c r="N464" s="51"/>
      <c r="O464" s="51"/>
      <c r="P464" s="51"/>
      <c r="Q464" s="51"/>
      <c r="R464" s="51"/>
      <c r="S464" s="51"/>
      <c r="T464" s="51"/>
      <c r="U464" s="51"/>
      <c r="V464" s="51"/>
      <c r="W464" s="51"/>
      <c r="X464" s="51"/>
      <c r="Y464" s="51"/>
      <c r="Z464" s="51"/>
      <c r="AA464" s="51"/>
      <c r="AB464" s="51"/>
    </row>
    <row r="465" customFormat="false" ht="15.75" hidden="false" customHeight="false" outlineLevel="0" collapsed="false">
      <c r="A465" s="51"/>
      <c r="B465" s="51"/>
      <c r="C465" s="6"/>
      <c r="D465" s="49"/>
      <c r="E465" s="51"/>
      <c r="F465" s="6"/>
      <c r="G465" s="6"/>
      <c r="H465" s="6"/>
      <c r="I465" s="6"/>
      <c r="J465" s="6"/>
      <c r="K465" s="51"/>
      <c r="L465" s="51"/>
      <c r="M465" s="51"/>
      <c r="N465" s="51"/>
      <c r="O465" s="51"/>
      <c r="P465" s="51"/>
      <c r="Q465" s="51"/>
      <c r="R465" s="51"/>
      <c r="S465" s="51"/>
      <c r="T465" s="51"/>
      <c r="U465" s="51"/>
      <c r="V465" s="51"/>
      <c r="W465" s="51"/>
      <c r="X465" s="51"/>
      <c r="Y465" s="51"/>
      <c r="Z465" s="51"/>
      <c r="AA465" s="51"/>
      <c r="AB465" s="51"/>
    </row>
    <row r="466" customFormat="false" ht="15.75" hidden="false" customHeight="false" outlineLevel="0" collapsed="false">
      <c r="A466" s="51"/>
      <c r="B466" s="51"/>
      <c r="C466" s="6"/>
      <c r="D466" s="49"/>
      <c r="E466" s="51"/>
      <c r="F466" s="6"/>
      <c r="G466" s="6"/>
      <c r="H466" s="6"/>
      <c r="I466" s="6"/>
      <c r="J466" s="6"/>
      <c r="K466" s="51"/>
      <c r="L466" s="51"/>
      <c r="M466" s="51"/>
      <c r="N466" s="51"/>
      <c r="O466" s="51"/>
      <c r="P466" s="51"/>
      <c r="Q466" s="51"/>
      <c r="R466" s="51"/>
      <c r="S466" s="51"/>
      <c r="T466" s="51"/>
      <c r="U466" s="51"/>
      <c r="V466" s="51"/>
      <c r="W466" s="51"/>
      <c r="X466" s="51"/>
      <c r="Y466" s="51"/>
      <c r="Z466" s="51"/>
      <c r="AA466" s="51"/>
      <c r="AB466" s="51"/>
    </row>
    <row r="467" customFormat="false" ht="15.75" hidden="false" customHeight="false" outlineLevel="0" collapsed="false">
      <c r="A467" s="51"/>
      <c r="B467" s="51"/>
      <c r="C467" s="6"/>
      <c r="D467" s="49"/>
      <c r="E467" s="51"/>
      <c r="F467" s="6"/>
      <c r="G467" s="6"/>
      <c r="H467" s="6"/>
      <c r="I467" s="6"/>
      <c r="J467" s="6"/>
      <c r="K467" s="51"/>
      <c r="L467" s="51"/>
      <c r="M467" s="51"/>
      <c r="N467" s="51"/>
      <c r="O467" s="51"/>
      <c r="P467" s="51"/>
      <c r="Q467" s="51"/>
      <c r="R467" s="51"/>
      <c r="S467" s="51"/>
      <c r="T467" s="51"/>
      <c r="U467" s="51"/>
      <c r="V467" s="51"/>
      <c r="W467" s="51"/>
      <c r="X467" s="51"/>
      <c r="Y467" s="51"/>
      <c r="Z467" s="51"/>
      <c r="AA467" s="51"/>
      <c r="AB467" s="51"/>
    </row>
    <row r="468" customFormat="false" ht="15.75" hidden="false" customHeight="false" outlineLevel="0" collapsed="false">
      <c r="A468" s="51"/>
      <c r="B468" s="51"/>
      <c r="C468" s="6"/>
      <c r="D468" s="49"/>
      <c r="E468" s="51"/>
      <c r="F468" s="6"/>
      <c r="G468" s="6"/>
      <c r="H468" s="6"/>
      <c r="I468" s="6"/>
      <c r="J468" s="6"/>
      <c r="K468" s="51"/>
      <c r="L468" s="51"/>
      <c r="M468" s="51"/>
      <c r="N468" s="51"/>
      <c r="O468" s="51"/>
      <c r="P468" s="51"/>
      <c r="Q468" s="51"/>
      <c r="R468" s="51"/>
      <c r="S468" s="51"/>
      <c r="T468" s="51"/>
      <c r="U468" s="51"/>
      <c r="V468" s="51"/>
      <c r="W468" s="51"/>
      <c r="X468" s="51"/>
      <c r="Y468" s="51"/>
      <c r="Z468" s="51"/>
      <c r="AA468" s="51"/>
      <c r="AB468" s="51"/>
    </row>
    <row r="469" customFormat="false" ht="15.75" hidden="false" customHeight="false" outlineLevel="0" collapsed="false">
      <c r="A469" s="51"/>
      <c r="B469" s="51"/>
      <c r="C469" s="6"/>
      <c r="D469" s="49"/>
      <c r="E469" s="51"/>
      <c r="F469" s="6"/>
      <c r="G469" s="6"/>
      <c r="H469" s="6"/>
      <c r="I469" s="6"/>
      <c r="J469" s="6"/>
      <c r="K469" s="51"/>
      <c r="L469" s="51"/>
      <c r="M469" s="51"/>
      <c r="N469" s="51"/>
      <c r="O469" s="51"/>
      <c r="P469" s="51"/>
      <c r="Q469" s="51"/>
      <c r="R469" s="51"/>
      <c r="S469" s="51"/>
      <c r="T469" s="51"/>
      <c r="U469" s="51"/>
      <c r="V469" s="51"/>
      <c r="W469" s="51"/>
      <c r="X469" s="51"/>
      <c r="Y469" s="51"/>
      <c r="Z469" s="51"/>
      <c r="AA469" s="51"/>
      <c r="AB469" s="51"/>
    </row>
    <row r="470" customFormat="false" ht="15.75" hidden="false" customHeight="false" outlineLevel="0" collapsed="false">
      <c r="A470" s="51"/>
      <c r="B470" s="51"/>
      <c r="C470" s="6"/>
      <c r="D470" s="49"/>
      <c r="E470" s="51"/>
      <c r="F470" s="6"/>
      <c r="G470" s="6"/>
      <c r="H470" s="6"/>
      <c r="I470" s="6"/>
      <c r="J470" s="6"/>
      <c r="K470" s="51"/>
      <c r="L470" s="51"/>
      <c r="M470" s="51"/>
      <c r="N470" s="51"/>
      <c r="O470" s="51"/>
      <c r="P470" s="51"/>
      <c r="Q470" s="51"/>
      <c r="R470" s="51"/>
      <c r="S470" s="51"/>
      <c r="T470" s="51"/>
      <c r="U470" s="51"/>
      <c r="V470" s="51"/>
      <c r="W470" s="51"/>
      <c r="X470" s="51"/>
      <c r="Y470" s="51"/>
      <c r="Z470" s="51"/>
      <c r="AA470" s="51"/>
      <c r="AB470" s="51"/>
    </row>
    <row r="471" customFormat="false" ht="15.75" hidden="false" customHeight="false" outlineLevel="0" collapsed="false">
      <c r="A471" s="51"/>
      <c r="B471" s="51"/>
      <c r="C471" s="6"/>
      <c r="D471" s="49"/>
      <c r="E471" s="51"/>
      <c r="F471" s="6"/>
      <c r="G471" s="6"/>
      <c r="H471" s="6"/>
      <c r="I471" s="6"/>
      <c r="J471" s="6"/>
      <c r="K471" s="51"/>
      <c r="L471" s="51"/>
      <c r="M471" s="51"/>
      <c r="N471" s="51"/>
      <c r="O471" s="51"/>
      <c r="P471" s="51"/>
      <c r="Q471" s="51"/>
      <c r="R471" s="51"/>
      <c r="S471" s="51"/>
      <c r="T471" s="51"/>
      <c r="U471" s="51"/>
      <c r="V471" s="51"/>
      <c r="W471" s="51"/>
      <c r="X471" s="51"/>
      <c r="Y471" s="51"/>
      <c r="Z471" s="51"/>
      <c r="AA471" s="51"/>
      <c r="AB471" s="51"/>
    </row>
    <row r="472" customFormat="false" ht="15.75" hidden="false" customHeight="false" outlineLevel="0" collapsed="false">
      <c r="A472" s="51"/>
      <c r="B472" s="51"/>
      <c r="C472" s="6"/>
      <c r="D472" s="49"/>
      <c r="E472" s="51"/>
      <c r="F472" s="6"/>
      <c r="G472" s="6"/>
      <c r="H472" s="6"/>
      <c r="I472" s="6"/>
      <c r="J472" s="6"/>
      <c r="K472" s="51"/>
      <c r="L472" s="51"/>
      <c r="M472" s="51"/>
      <c r="N472" s="51"/>
      <c r="O472" s="51"/>
      <c r="P472" s="51"/>
      <c r="Q472" s="51"/>
      <c r="R472" s="51"/>
      <c r="S472" s="51"/>
      <c r="T472" s="51"/>
      <c r="U472" s="51"/>
      <c r="V472" s="51"/>
      <c r="W472" s="51"/>
      <c r="X472" s="51"/>
      <c r="Y472" s="51"/>
      <c r="Z472" s="51"/>
      <c r="AA472" s="51"/>
      <c r="AB472" s="51"/>
    </row>
    <row r="473" customFormat="false" ht="15.75" hidden="false" customHeight="false" outlineLevel="0" collapsed="false">
      <c r="A473" s="51"/>
      <c r="B473" s="51"/>
      <c r="C473" s="6"/>
      <c r="D473" s="49"/>
      <c r="E473" s="51"/>
      <c r="F473" s="6"/>
      <c r="G473" s="6"/>
      <c r="H473" s="6"/>
      <c r="I473" s="6"/>
      <c r="J473" s="6"/>
      <c r="K473" s="51"/>
      <c r="L473" s="51"/>
      <c r="M473" s="51"/>
      <c r="N473" s="51"/>
      <c r="O473" s="51"/>
      <c r="P473" s="51"/>
      <c r="Q473" s="51"/>
      <c r="R473" s="51"/>
      <c r="S473" s="51"/>
      <c r="T473" s="51"/>
      <c r="U473" s="51"/>
      <c r="V473" s="51"/>
      <c r="W473" s="51"/>
      <c r="X473" s="51"/>
      <c r="Y473" s="51"/>
      <c r="Z473" s="51"/>
      <c r="AA473" s="51"/>
      <c r="AB473" s="51"/>
    </row>
    <row r="474" customFormat="false" ht="15.75" hidden="false" customHeight="false" outlineLevel="0" collapsed="false">
      <c r="A474" s="51"/>
      <c r="B474" s="51"/>
      <c r="C474" s="6"/>
      <c r="D474" s="49"/>
      <c r="E474" s="51"/>
      <c r="F474" s="6"/>
      <c r="G474" s="6"/>
      <c r="H474" s="6"/>
      <c r="I474" s="6"/>
      <c r="J474" s="6"/>
      <c r="K474" s="51"/>
      <c r="L474" s="51"/>
      <c r="M474" s="51"/>
      <c r="N474" s="51"/>
      <c r="O474" s="51"/>
      <c r="P474" s="51"/>
      <c r="Q474" s="51"/>
      <c r="R474" s="51"/>
      <c r="S474" s="51"/>
      <c r="T474" s="51"/>
      <c r="U474" s="51"/>
      <c r="V474" s="51"/>
      <c r="W474" s="51"/>
      <c r="X474" s="51"/>
      <c r="Y474" s="51"/>
      <c r="Z474" s="51"/>
      <c r="AA474" s="51"/>
      <c r="AB474" s="51"/>
    </row>
    <row r="475" customFormat="false" ht="15.75" hidden="false" customHeight="false" outlineLevel="0" collapsed="false">
      <c r="A475" s="51"/>
      <c r="B475" s="51"/>
      <c r="C475" s="6"/>
      <c r="D475" s="49"/>
      <c r="E475" s="51"/>
      <c r="F475" s="6"/>
      <c r="G475" s="6"/>
      <c r="H475" s="6"/>
      <c r="I475" s="6"/>
      <c r="J475" s="6"/>
      <c r="K475" s="51"/>
      <c r="L475" s="51"/>
      <c r="M475" s="51"/>
      <c r="N475" s="51"/>
      <c r="O475" s="51"/>
      <c r="P475" s="51"/>
      <c r="Q475" s="51"/>
      <c r="R475" s="51"/>
      <c r="S475" s="51"/>
      <c r="T475" s="51"/>
      <c r="U475" s="51"/>
      <c r="V475" s="51"/>
      <c r="W475" s="51"/>
      <c r="X475" s="51"/>
      <c r="Y475" s="51"/>
      <c r="Z475" s="51"/>
      <c r="AA475" s="51"/>
      <c r="AB475" s="51"/>
    </row>
    <row r="476" customFormat="false" ht="15.75" hidden="false" customHeight="false" outlineLevel="0" collapsed="false">
      <c r="A476" s="51"/>
      <c r="B476" s="51"/>
      <c r="C476" s="6"/>
      <c r="D476" s="49"/>
      <c r="E476" s="51"/>
      <c r="F476" s="6"/>
      <c r="G476" s="6"/>
      <c r="H476" s="6"/>
      <c r="I476" s="6"/>
      <c r="J476" s="6"/>
      <c r="K476" s="51"/>
      <c r="L476" s="51"/>
      <c r="M476" s="51"/>
      <c r="N476" s="51"/>
      <c r="O476" s="51"/>
      <c r="P476" s="51"/>
      <c r="Q476" s="51"/>
      <c r="R476" s="51"/>
      <c r="S476" s="51"/>
      <c r="T476" s="51"/>
      <c r="U476" s="51"/>
      <c r="V476" s="51"/>
      <c r="W476" s="51"/>
      <c r="X476" s="51"/>
      <c r="Y476" s="51"/>
      <c r="Z476" s="51"/>
      <c r="AA476" s="51"/>
      <c r="AB476" s="51"/>
    </row>
    <row r="477" customFormat="false" ht="15.75" hidden="false" customHeight="false" outlineLevel="0" collapsed="false">
      <c r="A477" s="51"/>
      <c r="B477" s="51"/>
      <c r="C477" s="6"/>
      <c r="D477" s="49"/>
      <c r="E477" s="51"/>
      <c r="F477" s="6"/>
      <c r="G477" s="6"/>
      <c r="H477" s="6"/>
      <c r="I477" s="6"/>
      <c r="J477" s="6"/>
      <c r="K477" s="51"/>
      <c r="L477" s="51"/>
      <c r="M477" s="51"/>
      <c r="N477" s="51"/>
      <c r="O477" s="51"/>
      <c r="P477" s="51"/>
      <c r="Q477" s="51"/>
      <c r="R477" s="51"/>
      <c r="S477" s="51"/>
      <c r="T477" s="51"/>
      <c r="U477" s="51"/>
      <c r="V477" s="51"/>
      <c r="W477" s="51"/>
      <c r="X477" s="51"/>
      <c r="Y477" s="51"/>
      <c r="Z477" s="51"/>
      <c r="AA477" s="51"/>
      <c r="AB477" s="51"/>
    </row>
    <row r="478" customFormat="false" ht="15.75" hidden="false" customHeight="false" outlineLevel="0" collapsed="false">
      <c r="A478" s="51"/>
      <c r="B478" s="51"/>
      <c r="C478" s="6"/>
      <c r="D478" s="49"/>
      <c r="E478" s="51"/>
      <c r="F478" s="6"/>
      <c r="G478" s="6"/>
      <c r="H478" s="6"/>
      <c r="I478" s="6"/>
      <c r="J478" s="6"/>
      <c r="K478" s="51"/>
      <c r="L478" s="51"/>
      <c r="M478" s="51"/>
      <c r="N478" s="51"/>
      <c r="O478" s="51"/>
      <c r="P478" s="51"/>
      <c r="Q478" s="51"/>
      <c r="R478" s="51"/>
      <c r="S478" s="51"/>
      <c r="T478" s="51"/>
      <c r="U478" s="51"/>
      <c r="V478" s="51"/>
      <c r="W478" s="51"/>
      <c r="X478" s="51"/>
      <c r="Y478" s="51"/>
      <c r="Z478" s="51"/>
      <c r="AA478" s="51"/>
      <c r="AB478" s="51"/>
    </row>
    <row r="479" customFormat="false" ht="15.75" hidden="false" customHeight="false" outlineLevel="0" collapsed="false">
      <c r="A479" s="51"/>
      <c r="B479" s="51"/>
      <c r="C479" s="6"/>
      <c r="D479" s="49"/>
      <c r="E479" s="51"/>
      <c r="F479" s="6"/>
      <c r="G479" s="6"/>
      <c r="H479" s="6"/>
      <c r="I479" s="6"/>
      <c r="J479" s="6"/>
      <c r="K479" s="51"/>
      <c r="L479" s="51"/>
      <c r="M479" s="51"/>
      <c r="N479" s="51"/>
      <c r="O479" s="51"/>
      <c r="P479" s="51"/>
      <c r="Q479" s="51"/>
      <c r="R479" s="51"/>
      <c r="S479" s="51"/>
      <c r="T479" s="51"/>
      <c r="U479" s="51"/>
      <c r="V479" s="51"/>
      <c r="W479" s="51"/>
      <c r="X479" s="51"/>
      <c r="Y479" s="51"/>
      <c r="Z479" s="51"/>
      <c r="AA479" s="51"/>
      <c r="AB479" s="51"/>
    </row>
    <row r="480" customFormat="false" ht="15.75" hidden="false" customHeight="false" outlineLevel="0" collapsed="false">
      <c r="A480" s="51"/>
      <c r="B480" s="51"/>
      <c r="C480" s="6"/>
      <c r="D480" s="49"/>
      <c r="E480" s="51"/>
      <c r="F480" s="6"/>
      <c r="G480" s="6"/>
      <c r="H480" s="6"/>
      <c r="I480" s="6"/>
      <c r="J480" s="6"/>
      <c r="K480" s="51"/>
      <c r="L480" s="51"/>
      <c r="M480" s="51"/>
      <c r="N480" s="51"/>
      <c r="O480" s="51"/>
      <c r="P480" s="51"/>
      <c r="Q480" s="51"/>
      <c r="R480" s="51"/>
      <c r="S480" s="51"/>
      <c r="T480" s="51"/>
      <c r="U480" s="51"/>
      <c r="V480" s="51"/>
      <c r="W480" s="51"/>
      <c r="X480" s="51"/>
      <c r="Y480" s="51"/>
      <c r="Z480" s="51"/>
      <c r="AA480" s="51"/>
      <c r="AB480" s="51"/>
    </row>
    <row r="481" customFormat="false" ht="15.75" hidden="false" customHeight="false" outlineLevel="0" collapsed="false">
      <c r="A481" s="51"/>
      <c r="B481" s="51"/>
      <c r="C481" s="6"/>
      <c r="D481" s="49"/>
      <c r="E481" s="51"/>
      <c r="F481" s="6"/>
      <c r="G481" s="6"/>
      <c r="H481" s="6"/>
      <c r="I481" s="6"/>
      <c r="J481" s="6"/>
      <c r="K481" s="51"/>
      <c r="L481" s="51"/>
      <c r="M481" s="51"/>
      <c r="N481" s="51"/>
      <c r="O481" s="51"/>
      <c r="P481" s="51"/>
      <c r="Q481" s="51"/>
      <c r="R481" s="51"/>
      <c r="S481" s="51"/>
      <c r="T481" s="51"/>
      <c r="U481" s="51"/>
      <c r="V481" s="51"/>
      <c r="W481" s="51"/>
      <c r="X481" s="51"/>
      <c r="Y481" s="51"/>
      <c r="Z481" s="51"/>
      <c r="AA481" s="51"/>
      <c r="AB481" s="51"/>
    </row>
    <row r="482" customFormat="false" ht="15.75" hidden="false" customHeight="false" outlineLevel="0" collapsed="false">
      <c r="A482" s="51"/>
      <c r="B482" s="51"/>
      <c r="C482" s="6"/>
      <c r="D482" s="49"/>
      <c r="E482" s="51"/>
      <c r="F482" s="6"/>
      <c r="G482" s="6"/>
      <c r="H482" s="6"/>
      <c r="I482" s="6"/>
      <c r="J482" s="6"/>
      <c r="K482" s="51"/>
      <c r="L482" s="51"/>
      <c r="M482" s="51"/>
      <c r="N482" s="51"/>
      <c r="O482" s="51"/>
      <c r="P482" s="51"/>
      <c r="Q482" s="51"/>
      <c r="R482" s="51"/>
      <c r="S482" s="51"/>
      <c r="T482" s="51"/>
      <c r="U482" s="51"/>
      <c r="V482" s="51"/>
      <c r="W482" s="51"/>
      <c r="X482" s="51"/>
      <c r="Y482" s="51"/>
      <c r="Z482" s="51"/>
      <c r="AA482" s="51"/>
      <c r="AB482" s="51"/>
    </row>
    <row r="483" customFormat="false" ht="15.75" hidden="false" customHeight="false" outlineLevel="0" collapsed="false">
      <c r="A483" s="51"/>
      <c r="B483" s="51"/>
      <c r="C483" s="6"/>
      <c r="D483" s="49"/>
      <c r="E483" s="51"/>
      <c r="F483" s="6"/>
      <c r="G483" s="6"/>
      <c r="H483" s="6"/>
      <c r="I483" s="6"/>
      <c r="J483" s="6"/>
      <c r="K483" s="51"/>
      <c r="L483" s="51"/>
      <c r="M483" s="51"/>
      <c r="N483" s="51"/>
      <c r="O483" s="51"/>
      <c r="P483" s="51"/>
      <c r="Q483" s="51"/>
      <c r="R483" s="51"/>
      <c r="S483" s="51"/>
      <c r="T483" s="51"/>
      <c r="U483" s="51"/>
      <c r="V483" s="51"/>
      <c r="W483" s="51"/>
      <c r="X483" s="51"/>
      <c r="Y483" s="51"/>
      <c r="Z483" s="51"/>
      <c r="AA483" s="51"/>
      <c r="AB483" s="51"/>
    </row>
    <row r="484" customFormat="false" ht="15.75" hidden="false" customHeight="false" outlineLevel="0" collapsed="false">
      <c r="A484" s="51"/>
      <c r="B484" s="51"/>
      <c r="C484" s="6"/>
      <c r="D484" s="49"/>
      <c r="E484" s="51"/>
      <c r="F484" s="6"/>
      <c r="G484" s="6"/>
      <c r="H484" s="6"/>
      <c r="I484" s="6"/>
      <c r="J484" s="6"/>
      <c r="K484" s="51"/>
      <c r="L484" s="51"/>
      <c r="M484" s="51"/>
      <c r="N484" s="51"/>
      <c r="O484" s="51"/>
      <c r="P484" s="51"/>
      <c r="Q484" s="51"/>
      <c r="R484" s="51"/>
      <c r="S484" s="51"/>
      <c r="T484" s="51"/>
      <c r="U484" s="51"/>
      <c r="V484" s="51"/>
      <c r="W484" s="51"/>
      <c r="X484" s="51"/>
      <c r="Y484" s="51"/>
      <c r="Z484" s="51"/>
      <c r="AA484" s="51"/>
      <c r="AB484" s="51"/>
    </row>
    <row r="485" customFormat="false" ht="15.75" hidden="false" customHeight="false" outlineLevel="0" collapsed="false">
      <c r="A485" s="51"/>
      <c r="B485" s="51"/>
      <c r="C485" s="6"/>
      <c r="D485" s="49"/>
      <c r="E485" s="51"/>
      <c r="F485" s="6"/>
      <c r="G485" s="6"/>
      <c r="H485" s="6"/>
      <c r="I485" s="6"/>
      <c r="J485" s="6"/>
      <c r="K485" s="51"/>
      <c r="L485" s="51"/>
      <c r="M485" s="51"/>
      <c r="N485" s="51"/>
      <c r="O485" s="51"/>
      <c r="P485" s="51"/>
      <c r="Q485" s="51"/>
      <c r="R485" s="51"/>
      <c r="S485" s="51"/>
      <c r="T485" s="51"/>
      <c r="U485" s="51"/>
      <c r="V485" s="51"/>
      <c r="W485" s="51"/>
      <c r="X485" s="51"/>
      <c r="Y485" s="51"/>
      <c r="Z485" s="51"/>
      <c r="AA485" s="51"/>
      <c r="AB485" s="51"/>
    </row>
    <row r="486" customFormat="false" ht="15.75" hidden="false" customHeight="false" outlineLevel="0" collapsed="false">
      <c r="A486" s="51"/>
      <c r="B486" s="51"/>
      <c r="C486" s="6"/>
      <c r="D486" s="49"/>
      <c r="E486" s="51"/>
      <c r="F486" s="6"/>
      <c r="G486" s="6"/>
      <c r="H486" s="6"/>
      <c r="I486" s="6"/>
      <c r="J486" s="6"/>
      <c r="K486" s="51"/>
      <c r="L486" s="51"/>
      <c r="M486" s="51"/>
      <c r="N486" s="51"/>
      <c r="O486" s="51"/>
      <c r="P486" s="51"/>
      <c r="Q486" s="51"/>
      <c r="R486" s="51"/>
      <c r="S486" s="51"/>
      <c r="T486" s="51"/>
      <c r="U486" s="51"/>
      <c r="V486" s="51"/>
      <c r="W486" s="51"/>
      <c r="X486" s="51"/>
      <c r="Y486" s="51"/>
      <c r="Z486" s="51"/>
      <c r="AA486" s="51"/>
      <c r="AB486" s="51"/>
    </row>
    <row r="487" customFormat="false" ht="15.75" hidden="false" customHeight="false" outlineLevel="0" collapsed="false">
      <c r="A487" s="51"/>
      <c r="B487" s="51"/>
      <c r="C487" s="6"/>
      <c r="D487" s="49"/>
      <c r="E487" s="51"/>
      <c r="F487" s="6"/>
      <c r="G487" s="6"/>
      <c r="H487" s="6"/>
      <c r="I487" s="6"/>
      <c r="J487" s="6"/>
      <c r="K487" s="51"/>
      <c r="L487" s="51"/>
      <c r="M487" s="51"/>
      <c r="N487" s="51"/>
      <c r="O487" s="51"/>
      <c r="P487" s="51"/>
      <c r="Q487" s="51"/>
      <c r="R487" s="51"/>
      <c r="S487" s="51"/>
      <c r="T487" s="51"/>
      <c r="U487" s="51"/>
      <c r="V487" s="51"/>
      <c r="W487" s="51"/>
      <c r="X487" s="51"/>
      <c r="Y487" s="51"/>
      <c r="Z487" s="51"/>
      <c r="AA487" s="51"/>
      <c r="AB487" s="51"/>
    </row>
    <row r="488" customFormat="false" ht="15.75" hidden="false" customHeight="false" outlineLevel="0" collapsed="false">
      <c r="A488" s="51"/>
      <c r="B488" s="51"/>
      <c r="C488" s="6"/>
      <c r="D488" s="49"/>
      <c r="E488" s="51"/>
      <c r="F488" s="6"/>
      <c r="G488" s="6"/>
      <c r="H488" s="6"/>
      <c r="I488" s="6"/>
      <c r="J488" s="6"/>
      <c r="K488" s="51"/>
      <c r="L488" s="51"/>
      <c r="M488" s="51"/>
      <c r="N488" s="51"/>
      <c r="O488" s="51"/>
      <c r="P488" s="51"/>
      <c r="Q488" s="51"/>
      <c r="R488" s="51"/>
      <c r="S488" s="51"/>
      <c r="T488" s="51"/>
      <c r="U488" s="51"/>
      <c r="V488" s="51"/>
      <c r="W488" s="51"/>
      <c r="X488" s="51"/>
      <c r="Y488" s="51"/>
      <c r="Z488" s="51"/>
      <c r="AA488" s="51"/>
      <c r="AB488" s="51"/>
    </row>
    <row r="489" customFormat="false" ht="15.75" hidden="false" customHeight="false" outlineLevel="0" collapsed="false">
      <c r="A489" s="51"/>
      <c r="B489" s="51"/>
      <c r="C489" s="6"/>
      <c r="D489" s="49"/>
      <c r="E489" s="51"/>
      <c r="F489" s="6"/>
      <c r="G489" s="6"/>
      <c r="H489" s="6"/>
      <c r="I489" s="6"/>
      <c r="J489" s="6"/>
      <c r="K489" s="51"/>
      <c r="L489" s="51"/>
      <c r="M489" s="51"/>
      <c r="N489" s="51"/>
      <c r="O489" s="51"/>
      <c r="P489" s="51"/>
      <c r="Q489" s="51"/>
      <c r="R489" s="51"/>
      <c r="S489" s="51"/>
      <c r="T489" s="51"/>
      <c r="U489" s="51"/>
      <c r="V489" s="51"/>
      <c r="W489" s="51"/>
      <c r="X489" s="51"/>
      <c r="Y489" s="51"/>
      <c r="Z489" s="51"/>
      <c r="AA489" s="51"/>
      <c r="AB489" s="51"/>
    </row>
    <row r="490" customFormat="false" ht="15.75" hidden="false" customHeight="false" outlineLevel="0" collapsed="false">
      <c r="A490" s="51"/>
      <c r="B490" s="51"/>
      <c r="C490" s="6"/>
      <c r="D490" s="49"/>
      <c r="E490" s="51"/>
      <c r="F490" s="6"/>
      <c r="G490" s="6"/>
      <c r="H490" s="6"/>
      <c r="I490" s="6"/>
      <c r="J490" s="6"/>
      <c r="K490" s="51"/>
      <c r="L490" s="51"/>
      <c r="M490" s="51"/>
      <c r="N490" s="51"/>
      <c r="O490" s="51"/>
      <c r="P490" s="51"/>
      <c r="Q490" s="51"/>
      <c r="R490" s="51"/>
      <c r="S490" s="51"/>
      <c r="T490" s="51"/>
      <c r="U490" s="51"/>
      <c r="V490" s="51"/>
      <c r="W490" s="51"/>
      <c r="X490" s="51"/>
      <c r="Y490" s="51"/>
      <c r="Z490" s="51"/>
      <c r="AA490" s="51"/>
      <c r="AB490" s="51"/>
    </row>
    <row r="491" customFormat="false" ht="15.75" hidden="false" customHeight="false" outlineLevel="0" collapsed="false">
      <c r="A491" s="51"/>
      <c r="B491" s="51"/>
      <c r="C491" s="6"/>
      <c r="D491" s="49"/>
      <c r="E491" s="51"/>
      <c r="F491" s="6"/>
      <c r="G491" s="6"/>
      <c r="H491" s="6"/>
      <c r="I491" s="6"/>
      <c r="J491" s="6"/>
      <c r="K491" s="51"/>
      <c r="L491" s="51"/>
      <c r="M491" s="51"/>
      <c r="N491" s="51"/>
      <c r="O491" s="51"/>
      <c r="P491" s="51"/>
      <c r="Q491" s="51"/>
      <c r="R491" s="51"/>
      <c r="S491" s="51"/>
      <c r="T491" s="51"/>
      <c r="U491" s="51"/>
      <c r="V491" s="51"/>
      <c r="W491" s="51"/>
      <c r="X491" s="51"/>
      <c r="Y491" s="51"/>
      <c r="Z491" s="51"/>
      <c r="AA491" s="51"/>
      <c r="AB491" s="51"/>
    </row>
    <row r="492" customFormat="false" ht="15.75" hidden="false" customHeight="false" outlineLevel="0" collapsed="false">
      <c r="A492" s="51"/>
      <c r="B492" s="51"/>
      <c r="C492" s="6"/>
      <c r="D492" s="49"/>
      <c r="E492" s="51"/>
      <c r="F492" s="6"/>
      <c r="G492" s="6"/>
      <c r="H492" s="6"/>
      <c r="I492" s="6"/>
      <c r="J492" s="6"/>
      <c r="K492" s="51"/>
      <c r="L492" s="51"/>
      <c r="M492" s="51"/>
      <c r="N492" s="51"/>
      <c r="O492" s="51"/>
      <c r="P492" s="51"/>
      <c r="Q492" s="51"/>
      <c r="R492" s="51"/>
      <c r="S492" s="51"/>
      <c r="T492" s="51"/>
      <c r="U492" s="51"/>
      <c r="V492" s="51"/>
      <c r="W492" s="51"/>
      <c r="X492" s="51"/>
      <c r="Y492" s="51"/>
      <c r="Z492" s="51"/>
      <c r="AA492" s="51"/>
      <c r="AB492" s="51"/>
    </row>
    <row r="493" customFormat="false" ht="15.75" hidden="false" customHeight="false" outlineLevel="0" collapsed="false">
      <c r="A493" s="51"/>
      <c r="B493" s="51"/>
      <c r="C493" s="6"/>
      <c r="D493" s="49"/>
      <c r="E493" s="51"/>
      <c r="F493" s="6"/>
      <c r="G493" s="6"/>
      <c r="H493" s="6"/>
      <c r="I493" s="6"/>
      <c r="J493" s="6"/>
      <c r="K493" s="51"/>
      <c r="L493" s="51"/>
      <c r="M493" s="51"/>
      <c r="N493" s="51"/>
      <c r="O493" s="51"/>
      <c r="P493" s="51"/>
      <c r="Q493" s="51"/>
      <c r="R493" s="51"/>
      <c r="S493" s="51"/>
      <c r="T493" s="51"/>
      <c r="U493" s="51"/>
      <c r="V493" s="51"/>
      <c r="W493" s="51"/>
      <c r="X493" s="51"/>
      <c r="Y493" s="51"/>
      <c r="Z493" s="51"/>
      <c r="AA493" s="51"/>
      <c r="AB493" s="51"/>
    </row>
    <row r="494" customFormat="false" ht="15.75" hidden="false" customHeight="false" outlineLevel="0" collapsed="false">
      <c r="A494" s="51"/>
      <c r="B494" s="51"/>
      <c r="C494" s="6"/>
      <c r="D494" s="49"/>
      <c r="E494" s="51"/>
      <c r="F494" s="6"/>
      <c r="G494" s="6"/>
      <c r="H494" s="6"/>
      <c r="I494" s="6"/>
      <c r="J494" s="6"/>
      <c r="K494" s="51"/>
      <c r="L494" s="51"/>
      <c r="M494" s="51"/>
      <c r="N494" s="51"/>
      <c r="O494" s="51"/>
      <c r="P494" s="51"/>
      <c r="Q494" s="51"/>
      <c r="R494" s="51"/>
      <c r="S494" s="51"/>
      <c r="T494" s="51"/>
      <c r="U494" s="51"/>
      <c r="V494" s="51"/>
      <c r="W494" s="51"/>
      <c r="X494" s="51"/>
      <c r="Y494" s="51"/>
      <c r="Z494" s="51"/>
      <c r="AA494" s="51"/>
      <c r="AB494" s="51"/>
    </row>
    <row r="495" customFormat="false" ht="15.75" hidden="false" customHeight="false" outlineLevel="0" collapsed="false">
      <c r="A495" s="51"/>
      <c r="B495" s="51"/>
      <c r="C495" s="6"/>
      <c r="D495" s="49"/>
      <c r="E495" s="51"/>
      <c r="F495" s="6"/>
      <c r="G495" s="6"/>
      <c r="H495" s="6"/>
      <c r="I495" s="6"/>
      <c r="J495" s="6"/>
      <c r="K495" s="51"/>
      <c r="L495" s="51"/>
      <c r="M495" s="51"/>
      <c r="N495" s="51"/>
      <c r="O495" s="51"/>
      <c r="P495" s="51"/>
      <c r="Q495" s="51"/>
      <c r="R495" s="51"/>
      <c r="S495" s="51"/>
      <c r="T495" s="51"/>
      <c r="U495" s="51"/>
      <c r="V495" s="51"/>
      <c r="W495" s="51"/>
      <c r="X495" s="51"/>
      <c r="Y495" s="51"/>
      <c r="Z495" s="51"/>
      <c r="AA495" s="51"/>
      <c r="AB495" s="51"/>
    </row>
    <row r="496" customFormat="false" ht="15.75" hidden="false" customHeight="false" outlineLevel="0" collapsed="false">
      <c r="A496" s="51"/>
      <c r="B496" s="51"/>
      <c r="C496" s="6"/>
      <c r="D496" s="49"/>
      <c r="E496" s="51"/>
      <c r="F496" s="6"/>
      <c r="G496" s="6"/>
      <c r="H496" s="6"/>
      <c r="I496" s="6"/>
      <c r="J496" s="6"/>
      <c r="K496" s="51"/>
      <c r="L496" s="51"/>
      <c r="M496" s="51"/>
      <c r="N496" s="51"/>
      <c r="O496" s="51"/>
      <c r="P496" s="51"/>
      <c r="Q496" s="51"/>
      <c r="R496" s="51"/>
      <c r="S496" s="51"/>
      <c r="T496" s="51"/>
      <c r="U496" s="51"/>
      <c r="V496" s="51"/>
      <c r="W496" s="51"/>
      <c r="X496" s="51"/>
      <c r="Y496" s="51"/>
      <c r="Z496" s="51"/>
      <c r="AA496" s="51"/>
      <c r="AB496" s="51"/>
    </row>
    <row r="497" customFormat="false" ht="15.75" hidden="false" customHeight="false" outlineLevel="0" collapsed="false">
      <c r="A497" s="51"/>
      <c r="B497" s="51"/>
      <c r="C497" s="6"/>
      <c r="D497" s="49"/>
      <c r="E497" s="51"/>
      <c r="F497" s="6"/>
      <c r="G497" s="6"/>
      <c r="H497" s="6"/>
      <c r="I497" s="6"/>
      <c r="J497" s="6"/>
      <c r="K497" s="51"/>
      <c r="L497" s="51"/>
      <c r="M497" s="51"/>
      <c r="N497" s="51"/>
      <c r="O497" s="51"/>
      <c r="P497" s="51"/>
      <c r="Q497" s="51"/>
      <c r="R497" s="51"/>
      <c r="S497" s="51"/>
      <c r="T497" s="51"/>
      <c r="U497" s="51"/>
      <c r="V497" s="51"/>
      <c r="W497" s="51"/>
      <c r="X497" s="51"/>
      <c r="Y497" s="51"/>
      <c r="Z497" s="51"/>
      <c r="AA497" s="51"/>
      <c r="AB497" s="51"/>
    </row>
    <row r="498" customFormat="false" ht="15.75" hidden="false" customHeight="false" outlineLevel="0" collapsed="false">
      <c r="A498" s="51"/>
      <c r="B498" s="51"/>
      <c r="C498" s="6"/>
      <c r="D498" s="49"/>
      <c r="E498" s="51"/>
      <c r="F498" s="6"/>
      <c r="G498" s="6"/>
      <c r="H498" s="6"/>
      <c r="I498" s="6"/>
      <c r="J498" s="6"/>
      <c r="K498" s="51"/>
      <c r="L498" s="51"/>
      <c r="M498" s="51"/>
      <c r="N498" s="51"/>
      <c r="O498" s="51"/>
      <c r="P498" s="51"/>
      <c r="Q498" s="51"/>
      <c r="R498" s="51"/>
      <c r="S498" s="51"/>
      <c r="T498" s="51"/>
      <c r="U498" s="51"/>
      <c r="V498" s="51"/>
      <c r="W498" s="51"/>
      <c r="X498" s="51"/>
      <c r="Y498" s="51"/>
      <c r="Z498" s="51"/>
      <c r="AA498" s="51"/>
      <c r="AB498" s="51"/>
    </row>
    <row r="499" customFormat="false" ht="15.75" hidden="false" customHeight="false" outlineLevel="0" collapsed="false">
      <c r="A499" s="51"/>
      <c r="B499" s="51"/>
      <c r="C499" s="6"/>
      <c r="D499" s="49"/>
      <c r="E499" s="51"/>
      <c r="F499" s="6"/>
      <c r="G499" s="6"/>
      <c r="H499" s="6"/>
      <c r="I499" s="6"/>
      <c r="J499" s="6"/>
      <c r="K499" s="51"/>
      <c r="L499" s="51"/>
      <c r="M499" s="51"/>
      <c r="N499" s="51"/>
      <c r="O499" s="51"/>
      <c r="P499" s="51"/>
      <c r="Q499" s="51"/>
      <c r="R499" s="51"/>
      <c r="S499" s="51"/>
      <c r="T499" s="51"/>
      <c r="U499" s="51"/>
      <c r="V499" s="51"/>
      <c r="W499" s="51"/>
      <c r="X499" s="51"/>
      <c r="Y499" s="51"/>
      <c r="Z499" s="51"/>
      <c r="AA499" s="51"/>
      <c r="AB499" s="51"/>
    </row>
    <row r="500" customFormat="false" ht="15.75" hidden="false" customHeight="false" outlineLevel="0" collapsed="false">
      <c r="A500" s="51"/>
      <c r="B500" s="51"/>
      <c r="C500" s="6"/>
      <c r="D500" s="49"/>
      <c r="E500" s="51"/>
      <c r="F500" s="6"/>
      <c r="G500" s="6"/>
      <c r="H500" s="6"/>
      <c r="I500" s="6"/>
      <c r="J500" s="6"/>
      <c r="K500" s="51"/>
      <c r="L500" s="51"/>
      <c r="M500" s="51"/>
      <c r="N500" s="51"/>
      <c r="O500" s="51"/>
      <c r="P500" s="51"/>
      <c r="Q500" s="51"/>
      <c r="R500" s="51"/>
      <c r="S500" s="51"/>
      <c r="T500" s="51"/>
      <c r="U500" s="51"/>
      <c r="V500" s="51"/>
      <c r="W500" s="51"/>
      <c r="X500" s="51"/>
      <c r="Y500" s="51"/>
      <c r="Z500" s="51"/>
      <c r="AA500" s="51"/>
      <c r="AB500" s="51"/>
    </row>
    <row r="501" customFormat="false" ht="15.75" hidden="false" customHeight="false" outlineLevel="0" collapsed="false">
      <c r="A501" s="51"/>
      <c r="B501" s="51"/>
      <c r="C501" s="6"/>
      <c r="D501" s="49"/>
      <c r="E501" s="51"/>
      <c r="F501" s="6"/>
      <c r="G501" s="6"/>
      <c r="H501" s="6"/>
      <c r="I501" s="6"/>
      <c r="J501" s="6"/>
      <c r="K501" s="51"/>
      <c r="L501" s="51"/>
      <c r="M501" s="51"/>
      <c r="N501" s="51"/>
      <c r="O501" s="51"/>
      <c r="P501" s="51"/>
      <c r="Q501" s="51"/>
      <c r="R501" s="51"/>
      <c r="S501" s="51"/>
      <c r="T501" s="51"/>
      <c r="U501" s="51"/>
      <c r="V501" s="51"/>
      <c r="W501" s="51"/>
      <c r="X501" s="51"/>
      <c r="Y501" s="51"/>
      <c r="Z501" s="51"/>
      <c r="AA501" s="51"/>
      <c r="AB501" s="51"/>
    </row>
    <row r="502" customFormat="false" ht="15.75" hidden="false" customHeight="false" outlineLevel="0" collapsed="false">
      <c r="A502" s="51"/>
      <c r="B502" s="51"/>
      <c r="C502" s="6"/>
      <c r="D502" s="49"/>
      <c r="E502" s="51"/>
      <c r="F502" s="6"/>
      <c r="G502" s="6"/>
      <c r="H502" s="6"/>
      <c r="I502" s="6"/>
      <c r="J502" s="6"/>
      <c r="K502" s="51"/>
      <c r="L502" s="51"/>
      <c r="M502" s="51"/>
      <c r="N502" s="51"/>
      <c r="O502" s="51"/>
      <c r="P502" s="51"/>
      <c r="Q502" s="51"/>
      <c r="R502" s="51"/>
      <c r="S502" s="51"/>
      <c r="T502" s="51"/>
      <c r="U502" s="51"/>
      <c r="V502" s="51"/>
      <c r="W502" s="51"/>
      <c r="X502" s="51"/>
      <c r="Y502" s="51"/>
      <c r="Z502" s="51"/>
      <c r="AA502" s="51"/>
      <c r="AB502" s="51"/>
    </row>
    <row r="503" customFormat="false" ht="15.75" hidden="false" customHeight="false" outlineLevel="0" collapsed="false">
      <c r="A503" s="51"/>
      <c r="B503" s="51"/>
      <c r="C503" s="6"/>
      <c r="D503" s="49"/>
      <c r="E503" s="51"/>
      <c r="F503" s="6"/>
      <c r="G503" s="6"/>
      <c r="H503" s="6"/>
      <c r="I503" s="6"/>
      <c r="J503" s="6"/>
      <c r="K503" s="51"/>
      <c r="L503" s="51"/>
      <c r="M503" s="51"/>
      <c r="N503" s="51"/>
      <c r="O503" s="51"/>
      <c r="P503" s="51"/>
      <c r="Q503" s="51"/>
      <c r="R503" s="51"/>
      <c r="S503" s="51"/>
      <c r="T503" s="51"/>
      <c r="U503" s="51"/>
      <c r="V503" s="51"/>
      <c r="W503" s="51"/>
      <c r="X503" s="51"/>
      <c r="Y503" s="51"/>
      <c r="Z503" s="51"/>
      <c r="AA503" s="51"/>
      <c r="AB503" s="51"/>
    </row>
    <row r="504" customFormat="false" ht="15.75" hidden="false" customHeight="false" outlineLevel="0" collapsed="false">
      <c r="A504" s="51"/>
      <c r="B504" s="51"/>
      <c r="C504" s="6"/>
      <c r="D504" s="49"/>
      <c r="E504" s="51"/>
      <c r="F504" s="6"/>
      <c r="G504" s="6"/>
      <c r="H504" s="6"/>
      <c r="I504" s="6"/>
      <c r="J504" s="6"/>
      <c r="K504" s="51"/>
      <c r="L504" s="51"/>
      <c r="M504" s="51"/>
      <c r="N504" s="51"/>
      <c r="O504" s="51"/>
      <c r="P504" s="51"/>
      <c r="Q504" s="51"/>
      <c r="R504" s="51"/>
      <c r="S504" s="51"/>
      <c r="T504" s="51"/>
      <c r="U504" s="51"/>
      <c r="V504" s="51"/>
      <c r="W504" s="51"/>
      <c r="X504" s="51"/>
      <c r="Y504" s="51"/>
      <c r="Z504" s="51"/>
      <c r="AA504" s="51"/>
      <c r="AB504" s="51"/>
    </row>
    <row r="505" customFormat="false" ht="15.75" hidden="false" customHeight="false" outlineLevel="0" collapsed="false">
      <c r="A505" s="51"/>
      <c r="B505" s="51"/>
      <c r="C505" s="6"/>
      <c r="D505" s="49"/>
      <c r="E505" s="51"/>
      <c r="F505" s="6"/>
      <c r="G505" s="6"/>
      <c r="H505" s="6"/>
      <c r="I505" s="6"/>
      <c r="J505" s="6"/>
      <c r="K505" s="51"/>
      <c r="L505" s="51"/>
      <c r="M505" s="51"/>
      <c r="N505" s="51"/>
      <c r="O505" s="51"/>
      <c r="P505" s="51"/>
      <c r="Q505" s="51"/>
      <c r="R505" s="51"/>
      <c r="S505" s="51"/>
      <c r="T505" s="51"/>
      <c r="U505" s="51"/>
      <c r="V505" s="51"/>
      <c r="W505" s="51"/>
      <c r="X505" s="51"/>
      <c r="Y505" s="51"/>
      <c r="Z505" s="51"/>
      <c r="AA505" s="51"/>
      <c r="AB505" s="51"/>
    </row>
    <row r="506" customFormat="false" ht="15.75" hidden="false" customHeight="false" outlineLevel="0" collapsed="false">
      <c r="A506" s="51"/>
      <c r="B506" s="51"/>
      <c r="C506" s="6"/>
      <c r="D506" s="49"/>
      <c r="E506" s="51"/>
      <c r="F506" s="6"/>
      <c r="G506" s="6"/>
      <c r="H506" s="6"/>
      <c r="I506" s="6"/>
      <c r="J506" s="6"/>
      <c r="K506" s="51"/>
      <c r="L506" s="51"/>
      <c r="M506" s="51"/>
      <c r="N506" s="51"/>
      <c r="O506" s="51"/>
      <c r="P506" s="51"/>
      <c r="Q506" s="51"/>
      <c r="R506" s="51"/>
      <c r="S506" s="51"/>
      <c r="T506" s="51"/>
      <c r="U506" s="51"/>
      <c r="V506" s="51"/>
      <c r="W506" s="51"/>
      <c r="X506" s="51"/>
      <c r="Y506" s="51"/>
      <c r="Z506" s="51"/>
      <c r="AA506" s="51"/>
      <c r="AB506" s="51"/>
    </row>
    <row r="507" customFormat="false" ht="15.75" hidden="false" customHeight="false" outlineLevel="0" collapsed="false">
      <c r="A507" s="51"/>
      <c r="B507" s="51"/>
      <c r="C507" s="6"/>
      <c r="D507" s="49"/>
      <c r="E507" s="51"/>
      <c r="F507" s="6"/>
      <c r="G507" s="6"/>
      <c r="H507" s="6"/>
      <c r="I507" s="6"/>
      <c r="J507" s="6"/>
      <c r="K507" s="51"/>
      <c r="L507" s="51"/>
      <c r="M507" s="51"/>
      <c r="N507" s="51"/>
      <c r="O507" s="51"/>
      <c r="P507" s="51"/>
      <c r="Q507" s="51"/>
      <c r="R507" s="51"/>
      <c r="S507" s="51"/>
      <c r="T507" s="51"/>
      <c r="U507" s="51"/>
      <c r="V507" s="51"/>
      <c r="W507" s="51"/>
      <c r="X507" s="51"/>
      <c r="Y507" s="51"/>
      <c r="Z507" s="51"/>
      <c r="AA507" s="51"/>
      <c r="AB507" s="51"/>
    </row>
    <row r="508" customFormat="false" ht="15.75" hidden="false" customHeight="false" outlineLevel="0" collapsed="false">
      <c r="A508" s="51"/>
      <c r="B508" s="51"/>
      <c r="C508" s="6"/>
      <c r="D508" s="49"/>
      <c r="E508" s="51"/>
      <c r="F508" s="6"/>
      <c r="G508" s="6"/>
      <c r="H508" s="6"/>
      <c r="I508" s="6"/>
      <c r="J508" s="6"/>
      <c r="K508" s="51"/>
      <c r="L508" s="51"/>
      <c r="M508" s="51"/>
      <c r="N508" s="51"/>
      <c r="O508" s="51"/>
      <c r="P508" s="51"/>
      <c r="Q508" s="51"/>
      <c r="R508" s="51"/>
      <c r="S508" s="51"/>
      <c r="T508" s="51"/>
      <c r="U508" s="51"/>
      <c r="V508" s="51"/>
      <c r="W508" s="51"/>
      <c r="X508" s="51"/>
      <c r="Y508" s="51"/>
      <c r="Z508" s="51"/>
      <c r="AA508" s="51"/>
      <c r="AB508" s="51"/>
    </row>
    <row r="509" customFormat="false" ht="15.75" hidden="false" customHeight="false" outlineLevel="0" collapsed="false">
      <c r="A509" s="51"/>
      <c r="B509" s="51"/>
      <c r="C509" s="6"/>
      <c r="D509" s="49"/>
      <c r="E509" s="51"/>
      <c r="F509" s="6"/>
      <c r="G509" s="6"/>
      <c r="H509" s="6"/>
      <c r="I509" s="6"/>
      <c r="J509" s="6"/>
      <c r="K509" s="51"/>
      <c r="L509" s="51"/>
      <c r="M509" s="51"/>
      <c r="N509" s="51"/>
      <c r="O509" s="51"/>
      <c r="P509" s="51"/>
      <c r="Q509" s="51"/>
      <c r="R509" s="51"/>
      <c r="S509" s="51"/>
      <c r="T509" s="51"/>
      <c r="U509" s="51"/>
      <c r="V509" s="51"/>
      <c r="W509" s="51"/>
      <c r="X509" s="51"/>
      <c r="Y509" s="51"/>
      <c r="Z509" s="51"/>
      <c r="AA509" s="51"/>
      <c r="AB509" s="51"/>
    </row>
    <row r="510" customFormat="false" ht="15.75" hidden="false" customHeight="false" outlineLevel="0" collapsed="false">
      <c r="A510" s="51"/>
      <c r="B510" s="51"/>
      <c r="C510" s="6"/>
      <c r="D510" s="49"/>
      <c r="E510" s="51"/>
      <c r="F510" s="6"/>
      <c r="G510" s="6"/>
      <c r="H510" s="6"/>
      <c r="I510" s="6"/>
      <c r="J510" s="6"/>
      <c r="K510" s="51"/>
      <c r="L510" s="51"/>
      <c r="M510" s="51"/>
      <c r="N510" s="51"/>
      <c r="O510" s="51"/>
      <c r="P510" s="51"/>
      <c r="Q510" s="51"/>
      <c r="R510" s="51"/>
      <c r="S510" s="51"/>
      <c r="T510" s="51"/>
      <c r="U510" s="51"/>
      <c r="V510" s="51"/>
      <c r="W510" s="51"/>
      <c r="X510" s="51"/>
      <c r="Y510" s="51"/>
      <c r="Z510" s="51"/>
      <c r="AA510" s="51"/>
      <c r="AB510" s="51"/>
    </row>
    <row r="511" customFormat="false" ht="15.75" hidden="false" customHeight="false" outlineLevel="0" collapsed="false">
      <c r="A511" s="51"/>
      <c r="B511" s="51"/>
      <c r="C511" s="6"/>
      <c r="D511" s="49"/>
      <c r="E511" s="51"/>
      <c r="F511" s="6"/>
      <c r="G511" s="6"/>
      <c r="H511" s="6"/>
      <c r="I511" s="6"/>
      <c r="J511" s="6"/>
      <c r="K511" s="51"/>
      <c r="L511" s="51"/>
      <c r="M511" s="51"/>
      <c r="N511" s="51"/>
      <c r="O511" s="51"/>
      <c r="P511" s="51"/>
      <c r="Q511" s="51"/>
      <c r="R511" s="51"/>
      <c r="S511" s="51"/>
      <c r="T511" s="51"/>
      <c r="U511" s="51"/>
      <c r="V511" s="51"/>
      <c r="W511" s="51"/>
      <c r="X511" s="51"/>
      <c r="Y511" s="51"/>
      <c r="Z511" s="51"/>
      <c r="AA511" s="51"/>
      <c r="AB511" s="51"/>
    </row>
    <row r="512" customFormat="false" ht="15.75" hidden="false" customHeight="false" outlineLevel="0" collapsed="false">
      <c r="A512" s="51"/>
      <c r="B512" s="51"/>
      <c r="C512" s="6"/>
      <c r="D512" s="49"/>
      <c r="E512" s="51"/>
      <c r="F512" s="6"/>
      <c r="G512" s="6"/>
      <c r="H512" s="6"/>
      <c r="I512" s="6"/>
      <c r="J512" s="6"/>
      <c r="K512" s="51"/>
      <c r="L512" s="51"/>
      <c r="M512" s="51"/>
      <c r="N512" s="51"/>
      <c r="O512" s="51"/>
      <c r="P512" s="51"/>
      <c r="Q512" s="51"/>
      <c r="R512" s="51"/>
      <c r="S512" s="51"/>
      <c r="T512" s="51"/>
      <c r="U512" s="51"/>
      <c r="V512" s="51"/>
      <c r="W512" s="51"/>
      <c r="X512" s="51"/>
      <c r="Y512" s="51"/>
      <c r="Z512" s="51"/>
      <c r="AA512" s="51"/>
      <c r="AB512" s="51"/>
    </row>
    <row r="513" customFormat="false" ht="15.75" hidden="false" customHeight="false" outlineLevel="0" collapsed="false">
      <c r="A513" s="51"/>
      <c r="B513" s="51"/>
      <c r="C513" s="6"/>
      <c r="D513" s="49"/>
      <c r="E513" s="51"/>
      <c r="F513" s="6"/>
      <c r="G513" s="6"/>
      <c r="H513" s="6"/>
      <c r="I513" s="6"/>
      <c r="J513" s="6"/>
      <c r="K513" s="51"/>
      <c r="L513" s="51"/>
      <c r="M513" s="51"/>
      <c r="N513" s="51"/>
      <c r="O513" s="51"/>
      <c r="P513" s="51"/>
      <c r="Q513" s="51"/>
      <c r="R513" s="51"/>
      <c r="S513" s="51"/>
      <c r="T513" s="51"/>
      <c r="U513" s="51"/>
      <c r="V513" s="51"/>
      <c r="W513" s="51"/>
      <c r="X513" s="51"/>
      <c r="Y513" s="51"/>
      <c r="Z513" s="51"/>
      <c r="AA513" s="51"/>
      <c r="AB513" s="51"/>
    </row>
    <row r="514" customFormat="false" ht="15.75" hidden="false" customHeight="false" outlineLevel="0" collapsed="false">
      <c r="A514" s="51"/>
      <c r="B514" s="51"/>
      <c r="C514" s="6"/>
      <c r="D514" s="49"/>
      <c r="E514" s="51"/>
      <c r="F514" s="6"/>
      <c r="G514" s="6"/>
      <c r="H514" s="6"/>
      <c r="I514" s="6"/>
      <c r="J514" s="6"/>
      <c r="K514" s="51"/>
      <c r="L514" s="51"/>
      <c r="M514" s="51"/>
      <c r="N514" s="51"/>
      <c r="O514" s="51"/>
      <c r="P514" s="51"/>
      <c r="Q514" s="51"/>
      <c r="R514" s="51"/>
      <c r="S514" s="51"/>
      <c r="T514" s="51"/>
      <c r="U514" s="51"/>
      <c r="V514" s="51"/>
      <c r="W514" s="51"/>
      <c r="X514" s="51"/>
      <c r="Y514" s="51"/>
      <c r="Z514" s="51"/>
      <c r="AA514" s="51"/>
      <c r="AB514" s="51"/>
    </row>
    <row r="515" customFormat="false" ht="15.75" hidden="false" customHeight="false" outlineLevel="0" collapsed="false">
      <c r="A515" s="51"/>
      <c r="B515" s="51"/>
      <c r="C515" s="6"/>
      <c r="D515" s="49"/>
      <c r="E515" s="51"/>
      <c r="F515" s="6"/>
      <c r="G515" s="6"/>
      <c r="H515" s="6"/>
      <c r="I515" s="6"/>
      <c r="J515" s="6"/>
      <c r="K515" s="51"/>
      <c r="L515" s="51"/>
      <c r="M515" s="51"/>
      <c r="N515" s="51"/>
      <c r="O515" s="51"/>
      <c r="P515" s="51"/>
      <c r="Q515" s="51"/>
      <c r="R515" s="51"/>
      <c r="S515" s="51"/>
      <c r="T515" s="51"/>
      <c r="U515" s="51"/>
      <c r="V515" s="51"/>
      <c r="W515" s="51"/>
      <c r="X515" s="51"/>
      <c r="Y515" s="51"/>
      <c r="Z515" s="51"/>
      <c r="AA515" s="51"/>
      <c r="AB515" s="51"/>
    </row>
    <row r="516" customFormat="false" ht="15.75" hidden="false" customHeight="false" outlineLevel="0" collapsed="false">
      <c r="A516" s="51"/>
      <c r="B516" s="51"/>
      <c r="C516" s="6"/>
      <c r="D516" s="49"/>
      <c r="E516" s="51"/>
      <c r="F516" s="6"/>
      <c r="G516" s="6"/>
      <c r="H516" s="6"/>
      <c r="I516" s="6"/>
      <c r="J516" s="6"/>
      <c r="K516" s="51"/>
      <c r="L516" s="51"/>
      <c r="M516" s="51"/>
      <c r="N516" s="51"/>
      <c r="O516" s="51"/>
      <c r="P516" s="51"/>
      <c r="Q516" s="51"/>
      <c r="R516" s="51"/>
      <c r="S516" s="51"/>
      <c r="T516" s="51"/>
      <c r="U516" s="51"/>
      <c r="V516" s="51"/>
      <c r="W516" s="51"/>
      <c r="X516" s="51"/>
      <c r="Y516" s="51"/>
      <c r="Z516" s="51"/>
      <c r="AA516" s="51"/>
      <c r="AB516" s="51"/>
    </row>
    <row r="517" customFormat="false" ht="15.75" hidden="false" customHeight="false" outlineLevel="0" collapsed="false">
      <c r="A517" s="51"/>
      <c r="B517" s="51"/>
      <c r="C517" s="6"/>
      <c r="D517" s="49"/>
      <c r="E517" s="51"/>
      <c r="F517" s="6"/>
      <c r="G517" s="6"/>
      <c r="H517" s="6"/>
      <c r="I517" s="6"/>
      <c r="J517" s="6"/>
      <c r="K517" s="51"/>
      <c r="L517" s="51"/>
      <c r="M517" s="51"/>
      <c r="N517" s="51"/>
      <c r="O517" s="51"/>
      <c r="P517" s="51"/>
      <c r="Q517" s="51"/>
      <c r="R517" s="51"/>
      <c r="S517" s="51"/>
      <c r="T517" s="51"/>
      <c r="U517" s="51"/>
      <c r="V517" s="51"/>
      <c r="W517" s="51"/>
      <c r="X517" s="51"/>
      <c r="Y517" s="51"/>
      <c r="Z517" s="51"/>
      <c r="AA517" s="51"/>
      <c r="AB517" s="51"/>
    </row>
    <row r="518" customFormat="false" ht="15.75" hidden="false" customHeight="false" outlineLevel="0" collapsed="false">
      <c r="A518" s="51"/>
      <c r="B518" s="51"/>
      <c r="C518" s="6"/>
      <c r="D518" s="49"/>
      <c r="E518" s="51"/>
      <c r="F518" s="6"/>
      <c r="G518" s="6"/>
      <c r="H518" s="6"/>
      <c r="I518" s="6"/>
      <c r="J518" s="6"/>
      <c r="K518" s="51"/>
      <c r="L518" s="51"/>
      <c r="M518" s="51"/>
      <c r="N518" s="51"/>
      <c r="O518" s="51"/>
      <c r="P518" s="51"/>
      <c r="Q518" s="51"/>
      <c r="R518" s="51"/>
      <c r="S518" s="51"/>
      <c r="T518" s="51"/>
      <c r="U518" s="51"/>
      <c r="V518" s="51"/>
      <c r="W518" s="51"/>
      <c r="X518" s="51"/>
      <c r="Y518" s="51"/>
      <c r="Z518" s="51"/>
      <c r="AA518" s="51"/>
      <c r="AB518" s="51"/>
    </row>
    <row r="519" customFormat="false" ht="15.75" hidden="false" customHeight="false" outlineLevel="0" collapsed="false">
      <c r="A519" s="51"/>
      <c r="B519" s="51"/>
      <c r="C519" s="6"/>
      <c r="D519" s="49"/>
      <c r="E519" s="51"/>
      <c r="F519" s="6"/>
      <c r="G519" s="6"/>
      <c r="H519" s="6"/>
      <c r="I519" s="6"/>
      <c r="J519" s="6"/>
      <c r="K519" s="51"/>
      <c r="L519" s="51"/>
      <c r="M519" s="51"/>
      <c r="N519" s="51"/>
      <c r="O519" s="51"/>
      <c r="P519" s="51"/>
      <c r="Q519" s="51"/>
      <c r="R519" s="51"/>
      <c r="S519" s="51"/>
      <c r="T519" s="51"/>
      <c r="U519" s="51"/>
      <c r="V519" s="51"/>
      <c r="W519" s="51"/>
      <c r="X519" s="51"/>
      <c r="Y519" s="51"/>
      <c r="Z519" s="51"/>
      <c r="AA519" s="51"/>
      <c r="AB519" s="51"/>
    </row>
    <row r="520" customFormat="false" ht="15.75" hidden="false" customHeight="false" outlineLevel="0" collapsed="false">
      <c r="A520" s="51"/>
      <c r="B520" s="51"/>
      <c r="C520" s="6"/>
      <c r="D520" s="49"/>
      <c r="E520" s="51"/>
      <c r="F520" s="6"/>
      <c r="G520" s="6"/>
      <c r="H520" s="6"/>
      <c r="I520" s="6"/>
      <c r="J520" s="6"/>
      <c r="K520" s="51"/>
      <c r="L520" s="51"/>
      <c r="M520" s="51"/>
      <c r="N520" s="51"/>
      <c r="O520" s="51"/>
      <c r="P520" s="51"/>
      <c r="Q520" s="51"/>
      <c r="R520" s="51"/>
      <c r="S520" s="51"/>
      <c r="T520" s="51"/>
      <c r="U520" s="51"/>
      <c r="V520" s="51"/>
      <c r="W520" s="51"/>
      <c r="X520" s="51"/>
      <c r="Y520" s="51"/>
      <c r="Z520" s="51"/>
      <c r="AA520" s="51"/>
      <c r="AB520" s="51"/>
    </row>
    <row r="521" customFormat="false" ht="15.75" hidden="false" customHeight="false" outlineLevel="0" collapsed="false">
      <c r="A521" s="51"/>
      <c r="B521" s="51"/>
      <c r="C521" s="6"/>
      <c r="D521" s="49"/>
      <c r="E521" s="51"/>
      <c r="F521" s="6"/>
      <c r="G521" s="6"/>
      <c r="H521" s="6"/>
      <c r="I521" s="6"/>
      <c r="J521" s="6"/>
      <c r="K521" s="51"/>
      <c r="L521" s="51"/>
      <c r="M521" s="51"/>
      <c r="N521" s="51"/>
      <c r="O521" s="51"/>
      <c r="P521" s="51"/>
      <c r="Q521" s="51"/>
      <c r="R521" s="51"/>
      <c r="S521" s="51"/>
      <c r="T521" s="51"/>
      <c r="U521" s="51"/>
      <c r="V521" s="51"/>
      <c r="W521" s="51"/>
      <c r="X521" s="51"/>
      <c r="Y521" s="51"/>
      <c r="Z521" s="51"/>
      <c r="AA521" s="51"/>
      <c r="AB521" s="51"/>
    </row>
    <row r="522" customFormat="false" ht="15.75" hidden="false" customHeight="false" outlineLevel="0" collapsed="false">
      <c r="A522" s="51"/>
      <c r="B522" s="51"/>
      <c r="C522" s="6"/>
      <c r="D522" s="49"/>
      <c r="E522" s="51"/>
      <c r="F522" s="6"/>
      <c r="G522" s="6"/>
      <c r="H522" s="6"/>
      <c r="I522" s="6"/>
      <c r="J522" s="6"/>
      <c r="K522" s="51"/>
      <c r="L522" s="51"/>
      <c r="M522" s="51"/>
      <c r="N522" s="51"/>
      <c r="O522" s="51"/>
      <c r="P522" s="51"/>
      <c r="Q522" s="51"/>
      <c r="R522" s="51"/>
      <c r="S522" s="51"/>
      <c r="T522" s="51"/>
      <c r="U522" s="51"/>
      <c r="V522" s="51"/>
      <c r="W522" s="51"/>
      <c r="X522" s="51"/>
      <c r="Y522" s="51"/>
      <c r="Z522" s="51"/>
      <c r="AA522" s="51"/>
      <c r="AB522" s="51"/>
    </row>
    <row r="523" customFormat="false" ht="15.75" hidden="false" customHeight="false" outlineLevel="0" collapsed="false">
      <c r="A523" s="51"/>
      <c r="B523" s="51"/>
      <c r="C523" s="6"/>
      <c r="D523" s="49"/>
      <c r="E523" s="51"/>
      <c r="F523" s="6"/>
      <c r="G523" s="6"/>
      <c r="H523" s="6"/>
      <c r="I523" s="6"/>
      <c r="J523" s="6"/>
      <c r="K523" s="51"/>
      <c r="L523" s="51"/>
      <c r="M523" s="51"/>
      <c r="N523" s="51"/>
      <c r="O523" s="51"/>
      <c r="P523" s="51"/>
      <c r="Q523" s="51"/>
      <c r="R523" s="51"/>
      <c r="S523" s="51"/>
      <c r="T523" s="51"/>
      <c r="U523" s="51"/>
      <c r="V523" s="51"/>
      <c r="W523" s="51"/>
      <c r="X523" s="51"/>
      <c r="Y523" s="51"/>
      <c r="Z523" s="51"/>
      <c r="AA523" s="51"/>
      <c r="AB523" s="51"/>
    </row>
    <row r="524" customFormat="false" ht="15.75" hidden="false" customHeight="false" outlineLevel="0" collapsed="false">
      <c r="A524" s="51"/>
      <c r="B524" s="51"/>
      <c r="C524" s="6"/>
      <c r="D524" s="49"/>
      <c r="E524" s="51"/>
      <c r="F524" s="6"/>
      <c r="G524" s="6"/>
      <c r="H524" s="6"/>
      <c r="I524" s="6"/>
      <c r="J524" s="6"/>
      <c r="K524" s="51"/>
      <c r="L524" s="51"/>
      <c r="M524" s="51"/>
      <c r="N524" s="51"/>
      <c r="O524" s="51"/>
      <c r="P524" s="51"/>
      <c r="Q524" s="51"/>
      <c r="R524" s="51"/>
      <c r="S524" s="51"/>
      <c r="T524" s="51"/>
      <c r="U524" s="51"/>
      <c r="V524" s="51"/>
      <c r="W524" s="51"/>
      <c r="X524" s="51"/>
      <c r="Y524" s="51"/>
      <c r="Z524" s="51"/>
      <c r="AA524" s="51"/>
      <c r="AB524" s="51"/>
    </row>
    <row r="525" customFormat="false" ht="15.75" hidden="false" customHeight="false" outlineLevel="0" collapsed="false">
      <c r="A525" s="51"/>
      <c r="B525" s="51"/>
      <c r="C525" s="6"/>
      <c r="D525" s="49"/>
      <c r="E525" s="51"/>
      <c r="F525" s="6"/>
      <c r="G525" s="6"/>
      <c r="H525" s="6"/>
      <c r="I525" s="6"/>
      <c r="J525" s="6"/>
      <c r="K525" s="51"/>
      <c r="L525" s="51"/>
      <c r="M525" s="51"/>
      <c r="N525" s="51"/>
      <c r="O525" s="51"/>
      <c r="P525" s="51"/>
      <c r="Q525" s="51"/>
      <c r="R525" s="51"/>
      <c r="S525" s="51"/>
      <c r="T525" s="51"/>
      <c r="U525" s="51"/>
      <c r="V525" s="51"/>
      <c r="W525" s="51"/>
      <c r="X525" s="51"/>
      <c r="Y525" s="51"/>
      <c r="Z525" s="51"/>
      <c r="AA525" s="51"/>
      <c r="AB525" s="51"/>
    </row>
    <row r="526" customFormat="false" ht="15.75" hidden="false" customHeight="false" outlineLevel="0" collapsed="false">
      <c r="A526" s="51"/>
      <c r="B526" s="51"/>
      <c r="C526" s="6"/>
      <c r="D526" s="49"/>
      <c r="E526" s="51"/>
      <c r="F526" s="6"/>
      <c r="G526" s="6"/>
      <c r="H526" s="6"/>
      <c r="I526" s="6"/>
      <c r="J526" s="6"/>
      <c r="K526" s="51"/>
      <c r="L526" s="51"/>
      <c r="M526" s="51"/>
      <c r="N526" s="51"/>
      <c r="O526" s="51"/>
      <c r="P526" s="51"/>
      <c r="Q526" s="51"/>
      <c r="R526" s="51"/>
      <c r="S526" s="51"/>
      <c r="T526" s="51"/>
      <c r="U526" s="51"/>
      <c r="V526" s="51"/>
      <c r="W526" s="51"/>
      <c r="X526" s="51"/>
      <c r="Y526" s="51"/>
      <c r="Z526" s="51"/>
      <c r="AA526" s="51"/>
      <c r="AB526" s="51"/>
    </row>
    <row r="527" customFormat="false" ht="15.75" hidden="false" customHeight="false" outlineLevel="0" collapsed="false">
      <c r="A527" s="51"/>
      <c r="B527" s="51"/>
      <c r="C527" s="6"/>
      <c r="D527" s="49"/>
      <c r="E527" s="51"/>
      <c r="F527" s="6"/>
      <c r="G527" s="6"/>
      <c r="H527" s="6"/>
      <c r="I527" s="6"/>
      <c r="J527" s="6"/>
      <c r="K527" s="51"/>
      <c r="L527" s="51"/>
      <c r="M527" s="51"/>
      <c r="N527" s="51"/>
      <c r="O527" s="51"/>
      <c r="P527" s="51"/>
      <c r="Q527" s="51"/>
      <c r="R527" s="51"/>
      <c r="S527" s="51"/>
      <c r="T527" s="51"/>
      <c r="U527" s="51"/>
      <c r="V527" s="51"/>
      <c r="W527" s="51"/>
      <c r="X527" s="51"/>
      <c r="Y527" s="51"/>
      <c r="Z527" s="51"/>
      <c r="AA527" s="51"/>
      <c r="AB527" s="51"/>
    </row>
    <row r="528" customFormat="false" ht="15.75" hidden="false" customHeight="false" outlineLevel="0" collapsed="false">
      <c r="A528" s="51"/>
      <c r="B528" s="51"/>
      <c r="C528" s="6"/>
      <c r="D528" s="49"/>
      <c r="E528" s="51"/>
      <c r="F528" s="6"/>
      <c r="G528" s="6"/>
      <c r="H528" s="6"/>
      <c r="I528" s="6"/>
      <c r="J528" s="6"/>
      <c r="K528" s="51"/>
      <c r="L528" s="51"/>
      <c r="M528" s="51"/>
      <c r="N528" s="51"/>
      <c r="O528" s="51"/>
      <c r="P528" s="51"/>
      <c r="Q528" s="51"/>
      <c r="R528" s="51"/>
      <c r="S528" s="51"/>
      <c r="T528" s="51"/>
      <c r="U528" s="51"/>
      <c r="V528" s="51"/>
      <c r="W528" s="51"/>
      <c r="X528" s="51"/>
      <c r="Y528" s="51"/>
      <c r="Z528" s="51"/>
      <c r="AA528" s="51"/>
      <c r="AB528" s="51"/>
    </row>
    <row r="529" customFormat="false" ht="15.75" hidden="false" customHeight="false" outlineLevel="0" collapsed="false">
      <c r="A529" s="51"/>
      <c r="B529" s="51"/>
      <c r="C529" s="6"/>
      <c r="D529" s="49"/>
      <c r="E529" s="51"/>
      <c r="F529" s="6"/>
      <c r="G529" s="6"/>
      <c r="H529" s="6"/>
      <c r="I529" s="6"/>
      <c r="J529" s="6"/>
      <c r="K529" s="51"/>
      <c r="L529" s="51"/>
      <c r="M529" s="51"/>
      <c r="N529" s="51"/>
      <c r="O529" s="51"/>
      <c r="P529" s="51"/>
      <c r="Q529" s="51"/>
      <c r="R529" s="51"/>
      <c r="S529" s="51"/>
      <c r="T529" s="51"/>
      <c r="U529" s="51"/>
      <c r="V529" s="51"/>
      <c r="W529" s="51"/>
      <c r="X529" s="51"/>
      <c r="Y529" s="51"/>
      <c r="Z529" s="51"/>
      <c r="AA529" s="51"/>
      <c r="AB529" s="51"/>
    </row>
    <row r="530" customFormat="false" ht="15.75" hidden="false" customHeight="false" outlineLevel="0" collapsed="false">
      <c r="A530" s="51"/>
      <c r="B530" s="51"/>
      <c r="C530" s="6"/>
      <c r="D530" s="49"/>
      <c r="E530" s="51"/>
      <c r="F530" s="6"/>
      <c r="G530" s="6"/>
      <c r="H530" s="6"/>
      <c r="I530" s="6"/>
      <c r="J530" s="6"/>
      <c r="K530" s="51"/>
      <c r="L530" s="51"/>
      <c r="M530" s="51"/>
      <c r="N530" s="51"/>
      <c r="O530" s="51"/>
      <c r="P530" s="51"/>
      <c r="Q530" s="51"/>
      <c r="R530" s="51"/>
      <c r="S530" s="51"/>
      <c r="T530" s="51"/>
      <c r="U530" s="51"/>
      <c r="V530" s="51"/>
      <c r="W530" s="51"/>
      <c r="X530" s="51"/>
      <c r="Y530" s="51"/>
      <c r="Z530" s="51"/>
      <c r="AA530" s="51"/>
      <c r="AB530" s="51"/>
    </row>
    <row r="531" customFormat="false" ht="15.75" hidden="false" customHeight="false" outlineLevel="0" collapsed="false">
      <c r="A531" s="51"/>
      <c r="B531" s="51"/>
      <c r="C531" s="6"/>
      <c r="D531" s="49"/>
      <c r="E531" s="51"/>
      <c r="F531" s="6"/>
      <c r="G531" s="6"/>
      <c r="H531" s="6"/>
      <c r="I531" s="6"/>
      <c r="J531" s="6"/>
      <c r="K531" s="51"/>
      <c r="L531" s="51"/>
      <c r="M531" s="51"/>
      <c r="N531" s="51"/>
      <c r="O531" s="51"/>
      <c r="P531" s="51"/>
      <c r="Q531" s="51"/>
      <c r="R531" s="51"/>
      <c r="S531" s="51"/>
      <c r="T531" s="51"/>
      <c r="U531" s="51"/>
      <c r="V531" s="51"/>
      <c r="W531" s="51"/>
      <c r="X531" s="51"/>
      <c r="Y531" s="51"/>
      <c r="Z531" s="51"/>
      <c r="AA531" s="51"/>
      <c r="AB531" s="51"/>
    </row>
    <row r="532" customFormat="false" ht="15.75" hidden="false" customHeight="false" outlineLevel="0" collapsed="false">
      <c r="A532" s="51"/>
      <c r="B532" s="51"/>
      <c r="C532" s="6"/>
      <c r="D532" s="49"/>
      <c r="E532" s="51"/>
      <c r="F532" s="6"/>
      <c r="G532" s="6"/>
      <c r="H532" s="6"/>
      <c r="I532" s="6"/>
      <c r="J532" s="6"/>
      <c r="K532" s="51"/>
      <c r="L532" s="51"/>
      <c r="M532" s="51"/>
      <c r="N532" s="51"/>
      <c r="O532" s="51"/>
      <c r="P532" s="51"/>
      <c r="Q532" s="51"/>
      <c r="R532" s="51"/>
      <c r="S532" s="51"/>
      <c r="T532" s="51"/>
      <c r="U532" s="51"/>
      <c r="V532" s="51"/>
      <c r="W532" s="51"/>
      <c r="X532" s="51"/>
      <c r="Y532" s="51"/>
      <c r="Z532" s="51"/>
      <c r="AA532" s="51"/>
      <c r="AB532" s="51"/>
    </row>
    <row r="533" customFormat="false" ht="15.75" hidden="false" customHeight="false" outlineLevel="0" collapsed="false">
      <c r="A533" s="51"/>
      <c r="B533" s="51"/>
      <c r="C533" s="6"/>
      <c r="D533" s="49"/>
      <c r="E533" s="51"/>
      <c r="F533" s="6"/>
      <c r="G533" s="6"/>
      <c r="H533" s="6"/>
      <c r="I533" s="6"/>
      <c r="J533" s="6"/>
      <c r="K533" s="51"/>
      <c r="L533" s="51"/>
      <c r="M533" s="51"/>
      <c r="N533" s="51"/>
      <c r="O533" s="51"/>
      <c r="P533" s="51"/>
      <c r="Q533" s="51"/>
      <c r="R533" s="51"/>
      <c r="S533" s="51"/>
      <c r="T533" s="51"/>
      <c r="U533" s="51"/>
      <c r="V533" s="51"/>
      <c r="W533" s="51"/>
      <c r="X533" s="51"/>
      <c r="Y533" s="51"/>
      <c r="Z533" s="51"/>
      <c r="AA533" s="51"/>
      <c r="AB533" s="51"/>
    </row>
    <row r="534" customFormat="false" ht="15.75" hidden="false" customHeight="false" outlineLevel="0" collapsed="false">
      <c r="A534" s="51"/>
      <c r="B534" s="51"/>
      <c r="C534" s="6"/>
      <c r="D534" s="49"/>
      <c r="E534" s="51"/>
      <c r="F534" s="6"/>
      <c r="G534" s="6"/>
      <c r="H534" s="6"/>
      <c r="I534" s="6"/>
      <c r="J534" s="6"/>
      <c r="K534" s="51"/>
      <c r="L534" s="51"/>
      <c r="M534" s="51"/>
      <c r="N534" s="51"/>
      <c r="O534" s="51"/>
      <c r="P534" s="51"/>
      <c r="Q534" s="51"/>
      <c r="R534" s="51"/>
      <c r="S534" s="51"/>
      <c r="T534" s="51"/>
      <c r="U534" s="51"/>
      <c r="V534" s="51"/>
      <c r="W534" s="51"/>
      <c r="X534" s="51"/>
      <c r="Y534" s="51"/>
      <c r="Z534" s="51"/>
      <c r="AA534" s="51"/>
      <c r="AB534" s="51"/>
    </row>
    <row r="535" customFormat="false" ht="15.75" hidden="false" customHeight="false" outlineLevel="0" collapsed="false">
      <c r="A535" s="51"/>
      <c r="B535" s="51"/>
      <c r="C535" s="6"/>
      <c r="D535" s="49"/>
      <c r="E535" s="51"/>
      <c r="F535" s="6"/>
      <c r="G535" s="6"/>
      <c r="H535" s="6"/>
      <c r="I535" s="6"/>
      <c r="J535" s="6"/>
      <c r="K535" s="51"/>
      <c r="L535" s="51"/>
      <c r="M535" s="51"/>
      <c r="N535" s="51"/>
      <c r="O535" s="51"/>
      <c r="P535" s="51"/>
      <c r="Q535" s="51"/>
      <c r="R535" s="51"/>
      <c r="S535" s="51"/>
      <c r="T535" s="51"/>
      <c r="U535" s="51"/>
      <c r="V535" s="51"/>
      <c r="W535" s="51"/>
      <c r="X535" s="51"/>
      <c r="Y535" s="51"/>
      <c r="Z535" s="51"/>
      <c r="AA535" s="51"/>
      <c r="AB535" s="51"/>
    </row>
    <row r="536" customFormat="false" ht="15.75" hidden="false" customHeight="false" outlineLevel="0" collapsed="false">
      <c r="A536" s="51"/>
      <c r="B536" s="51"/>
      <c r="C536" s="6"/>
      <c r="D536" s="49"/>
      <c r="E536" s="51"/>
      <c r="F536" s="6"/>
      <c r="G536" s="6"/>
      <c r="H536" s="6"/>
      <c r="I536" s="6"/>
      <c r="J536" s="6"/>
      <c r="K536" s="51"/>
      <c r="L536" s="51"/>
      <c r="M536" s="51"/>
      <c r="N536" s="51"/>
      <c r="O536" s="51"/>
      <c r="P536" s="51"/>
      <c r="Q536" s="51"/>
      <c r="R536" s="51"/>
      <c r="S536" s="51"/>
      <c r="T536" s="51"/>
      <c r="U536" s="51"/>
      <c r="V536" s="51"/>
      <c r="W536" s="51"/>
      <c r="X536" s="51"/>
      <c r="Y536" s="51"/>
      <c r="Z536" s="51"/>
      <c r="AA536" s="51"/>
      <c r="AB536" s="51"/>
    </row>
    <row r="537" customFormat="false" ht="15.75" hidden="false" customHeight="false" outlineLevel="0" collapsed="false">
      <c r="A537" s="51"/>
      <c r="B537" s="51"/>
      <c r="C537" s="6"/>
      <c r="D537" s="49"/>
      <c r="E537" s="51"/>
      <c r="F537" s="6"/>
      <c r="G537" s="6"/>
      <c r="H537" s="6"/>
      <c r="I537" s="6"/>
      <c r="J537" s="6"/>
      <c r="K537" s="51"/>
      <c r="L537" s="51"/>
      <c r="M537" s="51"/>
      <c r="N537" s="51"/>
      <c r="O537" s="51"/>
      <c r="P537" s="51"/>
      <c r="Q537" s="51"/>
      <c r="R537" s="51"/>
      <c r="S537" s="51"/>
      <c r="T537" s="51"/>
      <c r="U537" s="51"/>
      <c r="V537" s="51"/>
      <c r="W537" s="51"/>
      <c r="X537" s="51"/>
      <c r="Y537" s="51"/>
      <c r="Z537" s="51"/>
      <c r="AA537" s="51"/>
      <c r="AB537" s="51"/>
    </row>
    <row r="538" customFormat="false" ht="15.75" hidden="false" customHeight="false" outlineLevel="0" collapsed="false">
      <c r="A538" s="51"/>
      <c r="B538" s="51"/>
      <c r="C538" s="6"/>
      <c r="D538" s="49"/>
      <c r="E538" s="51"/>
      <c r="F538" s="6"/>
      <c r="G538" s="6"/>
      <c r="H538" s="6"/>
      <c r="I538" s="6"/>
      <c r="J538" s="6"/>
      <c r="K538" s="51"/>
      <c r="L538" s="51"/>
      <c r="M538" s="51"/>
      <c r="N538" s="51"/>
      <c r="O538" s="51"/>
      <c r="P538" s="51"/>
      <c r="Q538" s="51"/>
      <c r="R538" s="51"/>
      <c r="S538" s="51"/>
      <c r="T538" s="51"/>
      <c r="U538" s="51"/>
      <c r="V538" s="51"/>
      <c r="W538" s="51"/>
      <c r="X538" s="51"/>
      <c r="Y538" s="51"/>
      <c r="Z538" s="51"/>
      <c r="AA538" s="51"/>
      <c r="AB538" s="51"/>
    </row>
    <row r="539" customFormat="false" ht="15.75" hidden="false" customHeight="false" outlineLevel="0" collapsed="false">
      <c r="A539" s="51"/>
      <c r="B539" s="51"/>
      <c r="C539" s="6"/>
      <c r="D539" s="49"/>
      <c r="E539" s="51"/>
      <c r="F539" s="6"/>
      <c r="G539" s="6"/>
      <c r="H539" s="6"/>
      <c r="I539" s="6"/>
      <c r="J539" s="6"/>
      <c r="K539" s="51"/>
      <c r="L539" s="51"/>
      <c r="M539" s="51"/>
      <c r="N539" s="51"/>
      <c r="O539" s="51"/>
      <c r="P539" s="51"/>
      <c r="Q539" s="51"/>
      <c r="R539" s="51"/>
      <c r="S539" s="51"/>
      <c r="T539" s="51"/>
      <c r="U539" s="51"/>
      <c r="V539" s="51"/>
      <c r="W539" s="51"/>
      <c r="X539" s="51"/>
      <c r="Y539" s="51"/>
      <c r="Z539" s="51"/>
      <c r="AA539" s="51"/>
      <c r="AB539" s="51"/>
    </row>
    <row r="540" customFormat="false" ht="15.75" hidden="false" customHeight="false" outlineLevel="0" collapsed="false">
      <c r="A540" s="51"/>
      <c r="B540" s="51"/>
      <c r="C540" s="6"/>
      <c r="D540" s="49"/>
      <c r="E540" s="51"/>
      <c r="F540" s="6"/>
      <c r="G540" s="6"/>
      <c r="H540" s="6"/>
      <c r="I540" s="6"/>
      <c r="J540" s="6"/>
      <c r="K540" s="51"/>
      <c r="L540" s="51"/>
      <c r="M540" s="51"/>
      <c r="N540" s="51"/>
      <c r="O540" s="51"/>
      <c r="P540" s="51"/>
      <c r="Q540" s="51"/>
      <c r="R540" s="51"/>
      <c r="S540" s="51"/>
      <c r="T540" s="51"/>
      <c r="U540" s="51"/>
      <c r="V540" s="51"/>
      <c r="W540" s="51"/>
      <c r="X540" s="51"/>
      <c r="Y540" s="51"/>
      <c r="Z540" s="51"/>
      <c r="AA540" s="51"/>
      <c r="AB540" s="51"/>
    </row>
    <row r="541" customFormat="false" ht="15.75" hidden="false" customHeight="false" outlineLevel="0" collapsed="false">
      <c r="A541" s="51"/>
      <c r="B541" s="51"/>
      <c r="C541" s="6"/>
      <c r="D541" s="49"/>
      <c r="E541" s="51"/>
      <c r="F541" s="6"/>
      <c r="G541" s="6"/>
      <c r="H541" s="6"/>
      <c r="I541" s="6"/>
      <c r="J541" s="6"/>
      <c r="K541" s="51"/>
      <c r="L541" s="51"/>
      <c r="M541" s="51"/>
      <c r="N541" s="51"/>
      <c r="O541" s="51"/>
      <c r="P541" s="51"/>
      <c r="Q541" s="51"/>
      <c r="R541" s="51"/>
      <c r="S541" s="51"/>
      <c r="T541" s="51"/>
      <c r="U541" s="51"/>
      <c r="V541" s="51"/>
      <c r="W541" s="51"/>
      <c r="X541" s="51"/>
      <c r="Y541" s="51"/>
      <c r="Z541" s="51"/>
      <c r="AA541" s="51"/>
      <c r="AB541" s="51"/>
    </row>
    <row r="542" customFormat="false" ht="15.75" hidden="false" customHeight="false" outlineLevel="0" collapsed="false">
      <c r="A542" s="51"/>
      <c r="B542" s="51"/>
      <c r="C542" s="6"/>
      <c r="D542" s="49"/>
      <c r="E542" s="51"/>
      <c r="F542" s="6"/>
      <c r="G542" s="6"/>
      <c r="H542" s="6"/>
      <c r="I542" s="6"/>
      <c r="J542" s="6"/>
      <c r="K542" s="51"/>
      <c r="L542" s="51"/>
      <c r="M542" s="51"/>
      <c r="N542" s="51"/>
      <c r="O542" s="51"/>
      <c r="P542" s="51"/>
      <c r="Q542" s="51"/>
      <c r="R542" s="51"/>
      <c r="S542" s="51"/>
      <c r="T542" s="51"/>
      <c r="U542" s="51"/>
      <c r="V542" s="51"/>
      <c r="W542" s="51"/>
      <c r="X542" s="51"/>
      <c r="Y542" s="51"/>
      <c r="Z542" s="51"/>
      <c r="AA542" s="51"/>
      <c r="AB542" s="51"/>
    </row>
    <row r="543" customFormat="false" ht="15.75" hidden="false" customHeight="false" outlineLevel="0" collapsed="false">
      <c r="A543" s="51"/>
      <c r="B543" s="51"/>
      <c r="C543" s="6"/>
      <c r="D543" s="49"/>
      <c r="E543" s="51"/>
      <c r="F543" s="6"/>
      <c r="G543" s="6"/>
      <c r="H543" s="6"/>
      <c r="I543" s="6"/>
      <c r="J543" s="6"/>
      <c r="K543" s="51"/>
      <c r="L543" s="51"/>
      <c r="M543" s="51"/>
      <c r="N543" s="51"/>
      <c r="O543" s="51"/>
      <c r="P543" s="51"/>
      <c r="Q543" s="51"/>
      <c r="R543" s="51"/>
      <c r="S543" s="51"/>
      <c r="T543" s="51"/>
      <c r="U543" s="51"/>
      <c r="V543" s="51"/>
      <c r="W543" s="51"/>
      <c r="X543" s="51"/>
      <c r="Y543" s="51"/>
      <c r="Z543" s="51"/>
      <c r="AA543" s="51"/>
      <c r="AB543" s="51"/>
    </row>
    <row r="544" customFormat="false" ht="15.75" hidden="false" customHeight="false" outlineLevel="0" collapsed="false">
      <c r="A544" s="51"/>
      <c r="B544" s="51"/>
      <c r="C544" s="6"/>
      <c r="D544" s="49"/>
      <c r="E544" s="51"/>
      <c r="F544" s="6"/>
      <c r="G544" s="6"/>
      <c r="H544" s="6"/>
      <c r="I544" s="6"/>
      <c r="J544" s="6"/>
      <c r="K544" s="51"/>
      <c r="L544" s="51"/>
      <c r="M544" s="51"/>
      <c r="N544" s="51"/>
      <c r="O544" s="51"/>
      <c r="P544" s="51"/>
      <c r="Q544" s="51"/>
      <c r="R544" s="51"/>
      <c r="S544" s="51"/>
      <c r="T544" s="51"/>
      <c r="U544" s="51"/>
      <c r="V544" s="51"/>
      <c r="W544" s="51"/>
      <c r="X544" s="51"/>
      <c r="Y544" s="51"/>
      <c r="Z544" s="51"/>
      <c r="AA544" s="51"/>
      <c r="AB544" s="51"/>
    </row>
    <row r="545" customFormat="false" ht="15.75" hidden="false" customHeight="false" outlineLevel="0" collapsed="false">
      <c r="A545" s="51"/>
      <c r="B545" s="51"/>
      <c r="C545" s="6"/>
      <c r="D545" s="49"/>
      <c r="E545" s="51"/>
      <c r="F545" s="6"/>
      <c r="G545" s="6"/>
      <c r="H545" s="6"/>
      <c r="I545" s="6"/>
      <c r="J545" s="6"/>
      <c r="K545" s="51"/>
      <c r="L545" s="51"/>
      <c r="M545" s="51"/>
      <c r="N545" s="51"/>
      <c r="O545" s="51"/>
      <c r="P545" s="51"/>
      <c r="Q545" s="51"/>
      <c r="R545" s="51"/>
      <c r="S545" s="51"/>
      <c r="T545" s="51"/>
      <c r="U545" s="51"/>
      <c r="V545" s="51"/>
      <c r="W545" s="51"/>
      <c r="X545" s="51"/>
      <c r="Y545" s="51"/>
      <c r="Z545" s="51"/>
      <c r="AA545" s="51"/>
      <c r="AB545" s="51"/>
    </row>
    <row r="546" customFormat="false" ht="15.75" hidden="false" customHeight="false" outlineLevel="0" collapsed="false">
      <c r="A546" s="51"/>
      <c r="B546" s="51"/>
      <c r="C546" s="6"/>
      <c r="D546" s="49"/>
      <c r="E546" s="51"/>
      <c r="F546" s="6"/>
      <c r="G546" s="6"/>
      <c r="H546" s="6"/>
      <c r="I546" s="6"/>
      <c r="J546" s="6"/>
      <c r="K546" s="51"/>
      <c r="L546" s="51"/>
      <c r="M546" s="51"/>
      <c r="N546" s="51"/>
      <c r="O546" s="51"/>
      <c r="P546" s="51"/>
      <c r="Q546" s="51"/>
      <c r="R546" s="51"/>
      <c r="S546" s="51"/>
      <c r="T546" s="51"/>
      <c r="U546" s="51"/>
      <c r="V546" s="51"/>
      <c r="W546" s="51"/>
      <c r="X546" s="51"/>
      <c r="Y546" s="51"/>
      <c r="Z546" s="51"/>
      <c r="AA546" s="51"/>
      <c r="AB546" s="51"/>
    </row>
    <row r="547" customFormat="false" ht="15.75" hidden="false" customHeight="false" outlineLevel="0" collapsed="false">
      <c r="A547" s="51"/>
      <c r="B547" s="51"/>
      <c r="C547" s="6"/>
      <c r="D547" s="49"/>
      <c r="E547" s="51"/>
      <c r="F547" s="6"/>
      <c r="G547" s="6"/>
      <c r="H547" s="6"/>
      <c r="I547" s="6"/>
      <c r="J547" s="6"/>
      <c r="K547" s="51"/>
      <c r="L547" s="51"/>
      <c r="M547" s="51"/>
      <c r="N547" s="51"/>
      <c r="O547" s="51"/>
      <c r="P547" s="51"/>
      <c r="Q547" s="51"/>
      <c r="R547" s="51"/>
      <c r="S547" s="51"/>
      <c r="T547" s="51"/>
      <c r="U547" s="51"/>
      <c r="V547" s="51"/>
      <c r="W547" s="51"/>
      <c r="X547" s="51"/>
      <c r="Y547" s="51"/>
      <c r="Z547" s="51"/>
      <c r="AA547" s="51"/>
      <c r="AB547" s="51"/>
    </row>
    <row r="548" customFormat="false" ht="15.75" hidden="false" customHeight="false" outlineLevel="0" collapsed="false">
      <c r="A548" s="51"/>
      <c r="B548" s="51"/>
      <c r="C548" s="6"/>
      <c r="D548" s="49"/>
      <c r="E548" s="51"/>
      <c r="F548" s="6"/>
      <c r="G548" s="6"/>
      <c r="H548" s="6"/>
      <c r="I548" s="6"/>
      <c r="J548" s="6"/>
      <c r="K548" s="51"/>
      <c r="L548" s="51"/>
      <c r="M548" s="51"/>
      <c r="N548" s="51"/>
      <c r="O548" s="51"/>
      <c r="P548" s="51"/>
      <c r="Q548" s="51"/>
      <c r="R548" s="51"/>
      <c r="S548" s="51"/>
      <c r="T548" s="51"/>
      <c r="U548" s="51"/>
      <c r="V548" s="51"/>
      <c r="W548" s="51"/>
      <c r="X548" s="51"/>
      <c r="Y548" s="51"/>
      <c r="Z548" s="51"/>
      <c r="AA548" s="51"/>
      <c r="AB548" s="51"/>
    </row>
    <row r="549" customFormat="false" ht="15.75" hidden="false" customHeight="false" outlineLevel="0" collapsed="false">
      <c r="A549" s="51"/>
      <c r="B549" s="51"/>
      <c r="C549" s="6"/>
      <c r="D549" s="49"/>
      <c r="E549" s="51"/>
      <c r="F549" s="6"/>
      <c r="G549" s="6"/>
      <c r="H549" s="6"/>
      <c r="I549" s="6"/>
      <c r="J549" s="6"/>
      <c r="K549" s="51"/>
      <c r="L549" s="51"/>
      <c r="M549" s="51"/>
      <c r="N549" s="51"/>
      <c r="O549" s="51"/>
      <c r="P549" s="51"/>
      <c r="Q549" s="51"/>
      <c r="R549" s="51"/>
      <c r="S549" s="51"/>
      <c r="T549" s="51"/>
      <c r="U549" s="51"/>
      <c r="V549" s="51"/>
      <c r="W549" s="51"/>
      <c r="X549" s="51"/>
      <c r="Y549" s="51"/>
      <c r="Z549" s="51"/>
      <c r="AA549" s="51"/>
      <c r="AB549" s="51"/>
    </row>
    <row r="550" customFormat="false" ht="15.75" hidden="false" customHeight="false" outlineLevel="0" collapsed="false">
      <c r="A550" s="51"/>
      <c r="B550" s="51"/>
      <c r="C550" s="6"/>
      <c r="D550" s="49"/>
      <c r="E550" s="51"/>
      <c r="F550" s="6"/>
      <c r="G550" s="6"/>
      <c r="H550" s="6"/>
      <c r="I550" s="6"/>
      <c r="J550" s="6"/>
      <c r="K550" s="51"/>
      <c r="L550" s="51"/>
      <c r="M550" s="51"/>
      <c r="N550" s="51"/>
      <c r="O550" s="51"/>
      <c r="P550" s="51"/>
      <c r="Q550" s="51"/>
      <c r="R550" s="51"/>
      <c r="S550" s="51"/>
      <c r="T550" s="51"/>
      <c r="U550" s="51"/>
      <c r="V550" s="51"/>
      <c r="W550" s="51"/>
      <c r="X550" s="51"/>
      <c r="Y550" s="51"/>
      <c r="Z550" s="51"/>
      <c r="AA550" s="51"/>
      <c r="AB550" s="51"/>
    </row>
    <row r="551" customFormat="false" ht="15.75" hidden="false" customHeight="false" outlineLevel="0" collapsed="false">
      <c r="A551" s="51"/>
      <c r="B551" s="51"/>
      <c r="C551" s="6"/>
      <c r="D551" s="49"/>
      <c r="E551" s="51"/>
      <c r="F551" s="6"/>
      <c r="G551" s="6"/>
      <c r="H551" s="6"/>
      <c r="I551" s="6"/>
      <c r="J551" s="6"/>
      <c r="K551" s="51"/>
      <c r="L551" s="51"/>
      <c r="M551" s="51"/>
      <c r="N551" s="51"/>
      <c r="O551" s="51"/>
      <c r="P551" s="51"/>
      <c r="Q551" s="51"/>
      <c r="R551" s="51"/>
      <c r="S551" s="51"/>
      <c r="T551" s="51"/>
      <c r="U551" s="51"/>
      <c r="V551" s="51"/>
      <c r="W551" s="51"/>
      <c r="X551" s="51"/>
      <c r="Y551" s="51"/>
      <c r="Z551" s="51"/>
      <c r="AA551" s="51"/>
      <c r="AB551" s="51"/>
    </row>
    <row r="552" customFormat="false" ht="15.75" hidden="false" customHeight="false" outlineLevel="0" collapsed="false">
      <c r="A552" s="51"/>
      <c r="B552" s="51"/>
      <c r="C552" s="6"/>
      <c r="D552" s="49"/>
      <c r="E552" s="51"/>
      <c r="F552" s="6"/>
      <c r="G552" s="6"/>
      <c r="H552" s="6"/>
      <c r="I552" s="6"/>
      <c r="J552" s="6"/>
      <c r="K552" s="51"/>
      <c r="L552" s="51"/>
      <c r="M552" s="51"/>
      <c r="N552" s="51"/>
      <c r="O552" s="51"/>
      <c r="P552" s="51"/>
      <c r="Q552" s="51"/>
      <c r="R552" s="51"/>
      <c r="S552" s="51"/>
      <c r="T552" s="51"/>
      <c r="U552" s="51"/>
      <c r="V552" s="51"/>
      <c r="W552" s="51"/>
      <c r="X552" s="51"/>
      <c r="Y552" s="51"/>
      <c r="Z552" s="51"/>
      <c r="AA552" s="51"/>
      <c r="AB552" s="51"/>
    </row>
    <row r="553" customFormat="false" ht="15.75" hidden="false" customHeight="false" outlineLevel="0" collapsed="false">
      <c r="A553" s="51"/>
      <c r="B553" s="51"/>
      <c r="C553" s="6"/>
      <c r="D553" s="49"/>
      <c r="E553" s="51"/>
      <c r="F553" s="6"/>
      <c r="G553" s="6"/>
      <c r="H553" s="6"/>
      <c r="I553" s="6"/>
      <c r="J553" s="6"/>
      <c r="K553" s="51"/>
      <c r="L553" s="51"/>
      <c r="M553" s="51"/>
      <c r="N553" s="51"/>
      <c r="O553" s="51"/>
      <c r="P553" s="51"/>
      <c r="Q553" s="51"/>
      <c r="R553" s="51"/>
      <c r="S553" s="51"/>
      <c r="T553" s="51"/>
      <c r="U553" s="51"/>
      <c r="V553" s="51"/>
      <c r="W553" s="51"/>
      <c r="X553" s="51"/>
      <c r="Y553" s="51"/>
      <c r="Z553" s="51"/>
      <c r="AA553" s="51"/>
      <c r="AB553" s="51"/>
    </row>
    <row r="554" customFormat="false" ht="15.75" hidden="false" customHeight="false" outlineLevel="0" collapsed="false">
      <c r="A554" s="51"/>
      <c r="B554" s="51"/>
      <c r="C554" s="6"/>
      <c r="D554" s="49"/>
      <c r="E554" s="51"/>
      <c r="F554" s="6"/>
      <c r="G554" s="6"/>
      <c r="H554" s="6"/>
      <c r="I554" s="6"/>
      <c r="J554" s="6"/>
      <c r="K554" s="51"/>
      <c r="L554" s="51"/>
      <c r="M554" s="51"/>
      <c r="N554" s="51"/>
      <c r="O554" s="51"/>
      <c r="P554" s="51"/>
      <c r="Q554" s="51"/>
      <c r="R554" s="51"/>
      <c r="S554" s="51"/>
      <c r="T554" s="51"/>
      <c r="U554" s="51"/>
      <c r="V554" s="51"/>
      <c r="W554" s="51"/>
      <c r="X554" s="51"/>
      <c r="Y554" s="51"/>
      <c r="Z554" s="51"/>
      <c r="AA554" s="51"/>
      <c r="AB554" s="51"/>
    </row>
    <row r="555" customFormat="false" ht="15.75" hidden="false" customHeight="false" outlineLevel="0" collapsed="false">
      <c r="A555" s="51"/>
      <c r="B555" s="51"/>
      <c r="C555" s="6"/>
      <c r="D555" s="49"/>
      <c r="E555" s="51"/>
      <c r="F555" s="6"/>
      <c r="G555" s="6"/>
      <c r="H555" s="6"/>
      <c r="I555" s="6"/>
      <c r="J555" s="6"/>
      <c r="K555" s="51"/>
      <c r="L555" s="51"/>
      <c r="M555" s="51"/>
      <c r="N555" s="51"/>
      <c r="O555" s="51"/>
      <c r="P555" s="51"/>
      <c r="Q555" s="51"/>
      <c r="R555" s="51"/>
      <c r="S555" s="51"/>
      <c r="T555" s="51"/>
      <c r="U555" s="51"/>
      <c r="V555" s="51"/>
      <c r="W555" s="51"/>
      <c r="X555" s="51"/>
      <c r="Y555" s="51"/>
      <c r="Z555" s="51"/>
      <c r="AA555" s="51"/>
      <c r="AB555" s="51"/>
    </row>
    <row r="556" customFormat="false" ht="15.75" hidden="false" customHeight="false" outlineLevel="0" collapsed="false">
      <c r="A556" s="51"/>
      <c r="B556" s="51"/>
      <c r="C556" s="6"/>
      <c r="D556" s="49"/>
      <c r="E556" s="51"/>
      <c r="F556" s="6"/>
      <c r="G556" s="6"/>
      <c r="H556" s="6"/>
      <c r="I556" s="6"/>
      <c r="J556" s="6"/>
      <c r="K556" s="51"/>
      <c r="L556" s="51"/>
      <c r="M556" s="51"/>
      <c r="N556" s="51"/>
      <c r="O556" s="51"/>
      <c r="P556" s="51"/>
      <c r="Q556" s="51"/>
      <c r="R556" s="51"/>
      <c r="S556" s="51"/>
      <c r="T556" s="51"/>
      <c r="U556" s="51"/>
      <c r="V556" s="51"/>
      <c r="W556" s="51"/>
      <c r="X556" s="51"/>
      <c r="Y556" s="51"/>
      <c r="Z556" s="51"/>
      <c r="AA556" s="51"/>
      <c r="AB556" s="51"/>
    </row>
    <row r="557" customFormat="false" ht="15.75" hidden="false" customHeight="false" outlineLevel="0" collapsed="false">
      <c r="A557" s="51"/>
      <c r="B557" s="51"/>
      <c r="C557" s="6"/>
      <c r="D557" s="49"/>
      <c r="E557" s="51"/>
      <c r="F557" s="6"/>
      <c r="G557" s="6"/>
      <c r="H557" s="6"/>
      <c r="I557" s="6"/>
      <c r="J557" s="6"/>
      <c r="K557" s="51"/>
      <c r="L557" s="51"/>
      <c r="M557" s="51"/>
      <c r="N557" s="51"/>
      <c r="O557" s="51"/>
      <c r="P557" s="51"/>
      <c r="Q557" s="51"/>
      <c r="R557" s="51"/>
      <c r="S557" s="51"/>
      <c r="T557" s="51"/>
      <c r="U557" s="51"/>
      <c r="V557" s="51"/>
      <c r="W557" s="51"/>
      <c r="X557" s="51"/>
      <c r="Y557" s="51"/>
      <c r="Z557" s="51"/>
      <c r="AA557" s="51"/>
      <c r="AB557" s="51"/>
    </row>
    <row r="558" customFormat="false" ht="15.75" hidden="false" customHeight="false" outlineLevel="0" collapsed="false">
      <c r="A558" s="51"/>
      <c r="B558" s="51"/>
      <c r="C558" s="6"/>
      <c r="D558" s="49"/>
      <c r="E558" s="51"/>
      <c r="F558" s="6"/>
      <c r="G558" s="6"/>
      <c r="H558" s="6"/>
      <c r="I558" s="6"/>
      <c r="J558" s="6"/>
      <c r="K558" s="51"/>
      <c r="L558" s="51"/>
      <c r="M558" s="51"/>
      <c r="N558" s="51"/>
      <c r="O558" s="51"/>
      <c r="P558" s="51"/>
      <c r="Q558" s="51"/>
      <c r="R558" s="51"/>
      <c r="S558" s="51"/>
      <c r="T558" s="51"/>
      <c r="U558" s="51"/>
      <c r="V558" s="51"/>
      <c r="W558" s="51"/>
      <c r="X558" s="51"/>
      <c r="Y558" s="51"/>
      <c r="Z558" s="51"/>
      <c r="AA558" s="51"/>
      <c r="AB558" s="51"/>
    </row>
    <row r="559" customFormat="false" ht="15.75" hidden="false" customHeight="false" outlineLevel="0" collapsed="false">
      <c r="A559" s="51"/>
      <c r="B559" s="51"/>
      <c r="C559" s="6"/>
      <c r="D559" s="49"/>
      <c r="E559" s="51"/>
      <c r="F559" s="6"/>
      <c r="G559" s="6"/>
      <c r="H559" s="6"/>
      <c r="I559" s="6"/>
      <c r="J559" s="6"/>
      <c r="K559" s="51"/>
      <c r="L559" s="51"/>
      <c r="M559" s="51"/>
      <c r="N559" s="51"/>
      <c r="O559" s="51"/>
      <c r="P559" s="51"/>
      <c r="Q559" s="51"/>
      <c r="R559" s="51"/>
      <c r="S559" s="51"/>
      <c r="T559" s="51"/>
      <c r="U559" s="51"/>
      <c r="V559" s="51"/>
      <c r="W559" s="51"/>
      <c r="X559" s="51"/>
      <c r="Y559" s="51"/>
      <c r="Z559" s="51"/>
      <c r="AA559" s="51"/>
      <c r="AB559" s="51"/>
    </row>
    <row r="560" customFormat="false" ht="15.75" hidden="false" customHeight="false" outlineLevel="0" collapsed="false">
      <c r="A560" s="51"/>
      <c r="B560" s="51"/>
      <c r="C560" s="6"/>
      <c r="D560" s="49"/>
      <c r="E560" s="51"/>
      <c r="F560" s="6"/>
      <c r="G560" s="6"/>
      <c r="H560" s="6"/>
      <c r="I560" s="6"/>
      <c r="J560" s="6"/>
      <c r="K560" s="51"/>
      <c r="L560" s="51"/>
      <c r="M560" s="51"/>
      <c r="N560" s="51"/>
      <c r="O560" s="51"/>
      <c r="P560" s="51"/>
      <c r="Q560" s="51"/>
      <c r="R560" s="51"/>
      <c r="S560" s="51"/>
      <c r="T560" s="51"/>
      <c r="U560" s="51"/>
      <c r="V560" s="51"/>
      <c r="W560" s="51"/>
      <c r="X560" s="51"/>
      <c r="Y560" s="51"/>
      <c r="Z560" s="51"/>
      <c r="AA560" s="51"/>
      <c r="AB560" s="51"/>
    </row>
    <row r="561" customFormat="false" ht="15.75" hidden="false" customHeight="false" outlineLevel="0" collapsed="false">
      <c r="A561" s="51"/>
      <c r="B561" s="51"/>
      <c r="C561" s="6"/>
      <c r="D561" s="49"/>
      <c r="E561" s="51"/>
      <c r="F561" s="6"/>
      <c r="G561" s="6"/>
      <c r="H561" s="6"/>
      <c r="I561" s="6"/>
      <c r="J561" s="6"/>
      <c r="K561" s="51"/>
      <c r="L561" s="51"/>
      <c r="M561" s="51"/>
      <c r="N561" s="51"/>
      <c r="O561" s="51"/>
      <c r="P561" s="51"/>
      <c r="Q561" s="51"/>
      <c r="R561" s="51"/>
      <c r="S561" s="51"/>
      <c r="T561" s="51"/>
      <c r="U561" s="51"/>
      <c r="V561" s="51"/>
      <c r="W561" s="51"/>
      <c r="X561" s="51"/>
      <c r="Y561" s="51"/>
      <c r="Z561" s="51"/>
      <c r="AA561" s="51"/>
      <c r="AB561" s="51"/>
    </row>
    <row r="562" customFormat="false" ht="15.75" hidden="false" customHeight="false" outlineLevel="0" collapsed="false">
      <c r="A562" s="51"/>
      <c r="B562" s="51"/>
      <c r="C562" s="6"/>
      <c r="D562" s="49"/>
      <c r="E562" s="51"/>
      <c r="F562" s="6"/>
      <c r="G562" s="6"/>
      <c r="H562" s="6"/>
      <c r="I562" s="6"/>
      <c r="J562" s="6"/>
      <c r="K562" s="51"/>
      <c r="L562" s="51"/>
      <c r="M562" s="51"/>
      <c r="N562" s="51"/>
      <c r="O562" s="51"/>
      <c r="P562" s="51"/>
      <c r="Q562" s="51"/>
      <c r="R562" s="51"/>
      <c r="S562" s="51"/>
      <c r="T562" s="51"/>
      <c r="U562" s="51"/>
      <c r="V562" s="51"/>
      <c r="W562" s="51"/>
      <c r="X562" s="51"/>
      <c r="Y562" s="51"/>
      <c r="Z562" s="51"/>
      <c r="AA562" s="51"/>
      <c r="AB562" s="51"/>
    </row>
    <row r="563" customFormat="false" ht="15.75" hidden="false" customHeight="false" outlineLevel="0" collapsed="false">
      <c r="A563" s="51"/>
      <c r="B563" s="51"/>
      <c r="C563" s="6"/>
      <c r="D563" s="49"/>
      <c r="E563" s="51"/>
      <c r="F563" s="6"/>
      <c r="G563" s="6"/>
      <c r="H563" s="6"/>
      <c r="I563" s="6"/>
      <c r="J563" s="6"/>
      <c r="K563" s="51"/>
      <c r="L563" s="51"/>
      <c r="M563" s="51"/>
      <c r="N563" s="51"/>
      <c r="O563" s="51"/>
      <c r="P563" s="51"/>
      <c r="Q563" s="51"/>
      <c r="R563" s="51"/>
      <c r="S563" s="51"/>
      <c r="T563" s="51"/>
      <c r="U563" s="51"/>
      <c r="V563" s="51"/>
      <c r="W563" s="51"/>
      <c r="X563" s="51"/>
      <c r="Y563" s="51"/>
      <c r="Z563" s="51"/>
      <c r="AA563" s="51"/>
      <c r="AB563" s="51"/>
    </row>
    <row r="564" customFormat="false" ht="15.75" hidden="false" customHeight="false" outlineLevel="0" collapsed="false">
      <c r="A564" s="51"/>
      <c r="B564" s="51"/>
      <c r="C564" s="6"/>
      <c r="D564" s="49"/>
      <c r="E564" s="51"/>
      <c r="F564" s="6"/>
      <c r="G564" s="6"/>
      <c r="H564" s="6"/>
      <c r="I564" s="6"/>
      <c r="J564" s="6"/>
      <c r="K564" s="51"/>
      <c r="L564" s="51"/>
      <c r="M564" s="51"/>
      <c r="N564" s="51"/>
      <c r="O564" s="51"/>
      <c r="P564" s="51"/>
      <c r="Q564" s="51"/>
      <c r="R564" s="51"/>
      <c r="S564" s="51"/>
      <c r="T564" s="51"/>
      <c r="U564" s="51"/>
      <c r="V564" s="51"/>
      <c r="W564" s="51"/>
      <c r="X564" s="51"/>
      <c r="Y564" s="51"/>
      <c r="Z564" s="51"/>
      <c r="AA564" s="51"/>
      <c r="AB564" s="51"/>
    </row>
    <row r="565" customFormat="false" ht="15.75" hidden="false" customHeight="false" outlineLevel="0" collapsed="false">
      <c r="A565" s="51"/>
      <c r="B565" s="51"/>
      <c r="C565" s="6"/>
      <c r="D565" s="49"/>
      <c r="E565" s="51"/>
      <c r="F565" s="6"/>
      <c r="G565" s="6"/>
      <c r="H565" s="6"/>
      <c r="I565" s="6"/>
      <c r="J565" s="6"/>
      <c r="K565" s="51"/>
      <c r="L565" s="51"/>
      <c r="M565" s="51"/>
      <c r="N565" s="51"/>
      <c r="O565" s="51"/>
      <c r="P565" s="51"/>
      <c r="Q565" s="51"/>
      <c r="R565" s="51"/>
      <c r="S565" s="51"/>
      <c r="T565" s="51"/>
      <c r="U565" s="51"/>
      <c r="V565" s="51"/>
      <c r="W565" s="51"/>
      <c r="X565" s="51"/>
      <c r="Y565" s="51"/>
      <c r="Z565" s="51"/>
      <c r="AA565" s="51"/>
      <c r="AB565" s="51"/>
    </row>
    <row r="566" customFormat="false" ht="15.75" hidden="false" customHeight="false" outlineLevel="0" collapsed="false">
      <c r="A566" s="51"/>
      <c r="B566" s="51"/>
      <c r="C566" s="6"/>
      <c r="D566" s="49"/>
      <c r="E566" s="51"/>
      <c r="F566" s="6"/>
      <c r="G566" s="6"/>
      <c r="H566" s="6"/>
      <c r="I566" s="6"/>
      <c r="J566" s="6"/>
      <c r="K566" s="51"/>
      <c r="L566" s="51"/>
      <c r="M566" s="51"/>
      <c r="N566" s="51"/>
      <c r="O566" s="51"/>
      <c r="P566" s="51"/>
      <c r="Q566" s="51"/>
      <c r="R566" s="51"/>
      <c r="S566" s="51"/>
      <c r="T566" s="51"/>
      <c r="U566" s="51"/>
      <c r="V566" s="51"/>
      <c r="W566" s="51"/>
      <c r="X566" s="51"/>
      <c r="Y566" s="51"/>
      <c r="Z566" s="51"/>
      <c r="AA566" s="51"/>
      <c r="AB566" s="51"/>
    </row>
    <row r="567" customFormat="false" ht="15.75" hidden="false" customHeight="false" outlineLevel="0" collapsed="false">
      <c r="A567" s="51"/>
      <c r="B567" s="51"/>
      <c r="C567" s="6"/>
      <c r="D567" s="49"/>
      <c r="E567" s="51"/>
      <c r="F567" s="6"/>
      <c r="G567" s="6"/>
      <c r="H567" s="6"/>
      <c r="I567" s="6"/>
      <c r="J567" s="6"/>
      <c r="K567" s="51"/>
      <c r="L567" s="51"/>
      <c r="M567" s="51"/>
      <c r="N567" s="51"/>
      <c r="O567" s="51"/>
      <c r="P567" s="51"/>
      <c r="Q567" s="51"/>
      <c r="R567" s="51"/>
      <c r="S567" s="51"/>
      <c r="T567" s="51"/>
      <c r="U567" s="51"/>
      <c r="V567" s="51"/>
      <c r="W567" s="51"/>
      <c r="X567" s="51"/>
      <c r="Y567" s="51"/>
      <c r="Z567" s="51"/>
      <c r="AA567" s="51"/>
      <c r="AB567" s="51"/>
    </row>
    <row r="568" customFormat="false" ht="15.75" hidden="false" customHeight="false" outlineLevel="0" collapsed="false">
      <c r="A568" s="51"/>
      <c r="B568" s="51"/>
      <c r="C568" s="6"/>
      <c r="D568" s="49"/>
      <c r="E568" s="51"/>
      <c r="F568" s="6"/>
      <c r="G568" s="6"/>
      <c r="H568" s="6"/>
      <c r="I568" s="6"/>
      <c r="J568" s="6"/>
      <c r="K568" s="51"/>
      <c r="L568" s="51"/>
      <c r="M568" s="51"/>
      <c r="N568" s="51"/>
      <c r="O568" s="51"/>
      <c r="P568" s="51"/>
      <c r="Q568" s="51"/>
      <c r="R568" s="51"/>
      <c r="S568" s="51"/>
      <c r="T568" s="51"/>
      <c r="U568" s="51"/>
      <c r="V568" s="51"/>
      <c r="W568" s="51"/>
      <c r="X568" s="51"/>
      <c r="Y568" s="51"/>
      <c r="Z568" s="51"/>
      <c r="AA568" s="51"/>
      <c r="AB568" s="51"/>
    </row>
    <row r="569" customFormat="false" ht="15.75" hidden="false" customHeight="false" outlineLevel="0" collapsed="false">
      <c r="A569" s="51"/>
      <c r="B569" s="51"/>
      <c r="C569" s="6"/>
      <c r="D569" s="49"/>
      <c r="E569" s="51"/>
      <c r="F569" s="6"/>
      <c r="G569" s="6"/>
      <c r="H569" s="6"/>
      <c r="I569" s="6"/>
      <c r="J569" s="6"/>
      <c r="K569" s="51"/>
      <c r="L569" s="51"/>
      <c r="M569" s="51"/>
      <c r="N569" s="51"/>
      <c r="O569" s="51"/>
      <c r="P569" s="51"/>
      <c r="Q569" s="51"/>
      <c r="R569" s="51"/>
      <c r="S569" s="51"/>
      <c r="T569" s="51"/>
      <c r="U569" s="51"/>
      <c r="V569" s="51"/>
      <c r="W569" s="51"/>
      <c r="X569" s="51"/>
      <c r="Y569" s="51"/>
      <c r="Z569" s="51"/>
      <c r="AA569" s="51"/>
      <c r="AB569" s="51"/>
    </row>
    <row r="570" customFormat="false" ht="15.75" hidden="false" customHeight="false" outlineLevel="0" collapsed="false">
      <c r="A570" s="51"/>
      <c r="B570" s="51"/>
      <c r="C570" s="6"/>
      <c r="D570" s="49"/>
      <c r="E570" s="51"/>
      <c r="F570" s="6"/>
      <c r="G570" s="6"/>
      <c r="H570" s="6"/>
      <c r="I570" s="6"/>
      <c r="J570" s="6"/>
      <c r="K570" s="51"/>
      <c r="L570" s="51"/>
      <c r="M570" s="51"/>
      <c r="N570" s="51"/>
      <c r="O570" s="51"/>
      <c r="P570" s="51"/>
      <c r="Q570" s="51"/>
      <c r="R570" s="51"/>
      <c r="S570" s="51"/>
      <c r="T570" s="51"/>
      <c r="U570" s="51"/>
      <c r="V570" s="51"/>
      <c r="W570" s="51"/>
      <c r="X570" s="51"/>
      <c r="Y570" s="51"/>
      <c r="Z570" s="51"/>
      <c r="AA570" s="51"/>
      <c r="AB570" s="51"/>
    </row>
    <row r="571" customFormat="false" ht="15.75" hidden="false" customHeight="false" outlineLevel="0" collapsed="false">
      <c r="A571" s="51"/>
      <c r="B571" s="51"/>
      <c r="C571" s="6"/>
      <c r="D571" s="49"/>
      <c r="E571" s="51"/>
      <c r="F571" s="6"/>
      <c r="G571" s="6"/>
      <c r="H571" s="6"/>
      <c r="I571" s="6"/>
      <c r="J571" s="6"/>
      <c r="K571" s="51"/>
      <c r="L571" s="51"/>
      <c r="M571" s="51"/>
      <c r="N571" s="51"/>
      <c r="O571" s="51"/>
      <c r="P571" s="51"/>
      <c r="Q571" s="51"/>
      <c r="R571" s="51"/>
      <c r="S571" s="51"/>
      <c r="T571" s="51"/>
      <c r="U571" s="51"/>
      <c r="V571" s="51"/>
      <c r="W571" s="51"/>
      <c r="X571" s="51"/>
      <c r="Y571" s="51"/>
      <c r="Z571" s="51"/>
      <c r="AA571" s="51"/>
      <c r="AB571" s="51"/>
    </row>
    <row r="572" customFormat="false" ht="15.75" hidden="false" customHeight="false" outlineLevel="0" collapsed="false">
      <c r="A572" s="51"/>
      <c r="B572" s="51"/>
      <c r="C572" s="6"/>
      <c r="D572" s="49"/>
      <c r="E572" s="51"/>
      <c r="F572" s="6"/>
      <c r="G572" s="6"/>
      <c r="H572" s="6"/>
      <c r="I572" s="6"/>
      <c r="J572" s="6"/>
      <c r="K572" s="51"/>
      <c r="L572" s="51"/>
      <c r="M572" s="51"/>
      <c r="N572" s="51"/>
      <c r="O572" s="51"/>
      <c r="P572" s="51"/>
      <c r="Q572" s="51"/>
      <c r="R572" s="51"/>
      <c r="S572" s="51"/>
      <c r="T572" s="51"/>
      <c r="U572" s="51"/>
      <c r="V572" s="51"/>
      <c r="W572" s="51"/>
      <c r="X572" s="51"/>
      <c r="Y572" s="51"/>
      <c r="Z572" s="51"/>
      <c r="AA572" s="51"/>
      <c r="AB572" s="51"/>
    </row>
    <row r="573" customFormat="false" ht="15.75" hidden="false" customHeight="false" outlineLevel="0" collapsed="false">
      <c r="A573" s="51"/>
      <c r="B573" s="51"/>
      <c r="C573" s="6"/>
      <c r="D573" s="49"/>
      <c r="E573" s="51"/>
      <c r="F573" s="6"/>
      <c r="G573" s="6"/>
      <c r="H573" s="6"/>
      <c r="I573" s="6"/>
      <c r="J573" s="6"/>
      <c r="K573" s="51"/>
      <c r="L573" s="51"/>
      <c r="M573" s="51"/>
      <c r="N573" s="51"/>
      <c r="O573" s="51"/>
      <c r="P573" s="51"/>
      <c r="Q573" s="51"/>
      <c r="R573" s="51"/>
      <c r="S573" s="51"/>
      <c r="T573" s="51"/>
      <c r="U573" s="51"/>
      <c r="V573" s="51"/>
      <c r="W573" s="51"/>
      <c r="X573" s="51"/>
      <c r="Y573" s="51"/>
      <c r="Z573" s="51"/>
      <c r="AA573" s="51"/>
      <c r="AB573" s="51"/>
    </row>
    <row r="574" customFormat="false" ht="15.75" hidden="false" customHeight="false" outlineLevel="0" collapsed="false">
      <c r="A574" s="51"/>
      <c r="B574" s="51"/>
      <c r="C574" s="6"/>
      <c r="D574" s="49"/>
      <c r="E574" s="51"/>
      <c r="F574" s="6"/>
      <c r="G574" s="6"/>
      <c r="H574" s="6"/>
      <c r="I574" s="6"/>
      <c r="J574" s="6"/>
      <c r="K574" s="51"/>
      <c r="L574" s="51"/>
      <c r="M574" s="51"/>
      <c r="N574" s="51"/>
      <c r="O574" s="51"/>
      <c r="P574" s="51"/>
      <c r="Q574" s="51"/>
      <c r="R574" s="51"/>
      <c r="S574" s="51"/>
      <c r="T574" s="51"/>
      <c r="U574" s="51"/>
      <c r="V574" s="51"/>
      <c r="W574" s="51"/>
      <c r="X574" s="51"/>
      <c r="Y574" s="51"/>
      <c r="Z574" s="51"/>
      <c r="AA574" s="51"/>
      <c r="AB574" s="51"/>
    </row>
    <row r="575" customFormat="false" ht="15.75" hidden="false" customHeight="false" outlineLevel="0" collapsed="false">
      <c r="A575" s="51"/>
      <c r="B575" s="51"/>
      <c r="C575" s="6"/>
      <c r="D575" s="49"/>
      <c r="E575" s="51"/>
      <c r="F575" s="6"/>
      <c r="G575" s="6"/>
      <c r="H575" s="6"/>
      <c r="I575" s="6"/>
      <c r="J575" s="6"/>
      <c r="K575" s="51"/>
      <c r="L575" s="51"/>
      <c r="M575" s="51"/>
      <c r="N575" s="51"/>
      <c r="O575" s="51"/>
      <c r="P575" s="51"/>
      <c r="Q575" s="51"/>
      <c r="R575" s="51"/>
      <c r="S575" s="51"/>
      <c r="T575" s="51"/>
      <c r="U575" s="51"/>
      <c r="V575" s="51"/>
      <c r="W575" s="51"/>
      <c r="X575" s="51"/>
      <c r="Y575" s="51"/>
      <c r="Z575" s="51"/>
      <c r="AA575" s="51"/>
      <c r="AB575" s="51"/>
    </row>
    <row r="576" customFormat="false" ht="15.75" hidden="false" customHeight="false" outlineLevel="0" collapsed="false">
      <c r="A576" s="51"/>
      <c r="B576" s="51"/>
      <c r="C576" s="6"/>
      <c r="D576" s="49"/>
      <c r="E576" s="51"/>
      <c r="F576" s="6"/>
      <c r="G576" s="6"/>
      <c r="H576" s="6"/>
      <c r="I576" s="6"/>
      <c r="J576" s="6"/>
      <c r="K576" s="51"/>
      <c r="L576" s="51"/>
      <c r="M576" s="51"/>
      <c r="N576" s="51"/>
      <c r="O576" s="51"/>
      <c r="P576" s="51"/>
      <c r="Q576" s="51"/>
      <c r="R576" s="51"/>
      <c r="S576" s="51"/>
      <c r="T576" s="51"/>
      <c r="U576" s="51"/>
      <c r="V576" s="51"/>
      <c r="W576" s="51"/>
      <c r="X576" s="51"/>
      <c r="Y576" s="51"/>
      <c r="Z576" s="51"/>
      <c r="AA576" s="51"/>
      <c r="AB576" s="51"/>
    </row>
    <row r="577" customFormat="false" ht="15.75" hidden="false" customHeight="false" outlineLevel="0" collapsed="false">
      <c r="A577" s="51"/>
      <c r="B577" s="51"/>
      <c r="C577" s="6"/>
      <c r="D577" s="49"/>
      <c r="E577" s="51"/>
      <c r="F577" s="6"/>
      <c r="G577" s="6"/>
      <c r="H577" s="6"/>
      <c r="I577" s="6"/>
      <c r="J577" s="6"/>
      <c r="K577" s="51"/>
      <c r="L577" s="51"/>
      <c r="M577" s="51"/>
      <c r="N577" s="51"/>
      <c r="O577" s="51"/>
      <c r="P577" s="51"/>
      <c r="Q577" s="51"/>
      <c r="R577" s="51"/>
      <c r="S577" s="51"/>
      <c r="T577" s="51"/>
      <c r="U577" s="51"/>
      <c r="V577" s="51"/>
      <c r="W577" s="51"/>
      <c r="X577" s="51"/>
      <c r="Y577" s="51"/>
      <c r="Z577" s="51"/>
      <c r="AA577" s="51"/>
      <c r="AB577" s="51"/>
    </row>
    <row r="578" customFormat="false" ht="15.75" hidden="false" customHeight="false" outlineLevel="0" collapsed="false">
      <c r="A578" s="51"/>
      <c r="B578" s="51"/>
      <c r="C578" s="6"/>
      <c r="D578" s="49"/>
      <c r="E578" s="51"/>
      <c r="F578" s="6"/>
      <c r="G578" s="6"/>
      <c r="H578" s="6"/>
      <c r="I578" s="6"/>
      <c r="J578" s="6"/>
      <c r="K578" s="51"/>
      <c r="L578" s="51"/>
      <c r="M578" s="51"/>
      <c r="N578" s="51"/>
      <c r="O578" s="51"/>
      <c r="P578" s="51"/>
      <c r="Q578" s="51"/>
      <c r="R578" s="51"/>
      <c r="S578" s="51"/>
      <c r="T578" s="51"/>
      <c r="U578" s="51"/>
      <c r="V578" s="51"/>
      <c r="W578" s="51"/>
      <c r="X578" s="51"/>
      <c r="Y578" s="51"/>
      <c r="Z578" s="51"/>
      <c r="AA578" s="51"/>
      <c r="AB578" s="51"/>
    </row>
    <row r="579" customFormat="false" ht="15.75" hidden="false" customHeight="false" outlineLevel="0" collapsed="false">
      <c r="A579" s="51"/>
      <c r="B579" s="51"/>
      <c r="C579" s="6"/>
      <c r="D579" s="49"/>
      <c r="E579" s="51"/>
      <c r="F579" s="6"/>
      <c r="G579" s="6"/>
      <c r="H579" s="6"/>
      <c r="I579" s="6"/>
      <c r="J579" s="6"/>
      <c r="K579" s="51"/>
      <c r="L579" s="51"/>
      <c r="M579" s="51"/>
      <c r="N579" s="51"/>
      <c r="O579" s="51"/>
      <c r="P579" s="51"/>
      <c r="Q579" s="51"/>
      <c r="R579" s="51"/>
      <c r="S579" s="51"/>
      <c r="T579" s="51"/>
      <c r="U579" s="51"/>
      <c r="V579" s="51"/>
      <c r="W579" s="51"/>
      <c r="X579" s="51"/>
      <c r="Y579" s="51"/>
      <c r="Z579" s="51"/>
      <c r="AA579" s="51"/>
      <c r="AB579" s="51"/>
    </row>
    <row r="580" customFormat="false" ht="15.75" hidden="false" customHeight="false" outlineLevel="0" collapsed="false">
      <c r="A580" s="51"/>
      <c r="B580" s="51"/>
      <c r="C580" s="6"/>
      <c r="D580" s="49"/>
      <c r="E580" s="51"/>
      <c r="F580" s="6"/>
      <c r="G580" s="6"/>
      <c r="H580" s="6"/>
      <c r="I580" s="6"/>
      <c r="J580" s="6"/>
      <c r="K580" s="51"/>
      <c r="L580" s="51"/>
      <c r="M580" s="51"/>
      <c r="N580" s="51"/>
      <c r="O580" s="51"/>
      <c r="P580" s="51"/>
      <c r="Q580" s="51"/>
      <c r="R580" s="51"/>
      <c r="S580" s="51"/>
      <c r="T580" s="51"/>
      <c r="U580" s="51"/>
      <c r="V580" s="51"/>
      <c r="W580" s="51"/>
      <c r="X580" s="51"/>
      <c r="Y580" s="51"/>
      <c r="Z580" s="51"/>
      <c r="AA580" s="51"/>
      <c r="AB580" s="51"/>
    </row>
    <row r="581" customFormat="false" ht="15.75" hidden="false" customHeight="false" outlineLevel="0" collapsed="false">
      <c r="A581" s="51"/>
      <c r="B581" s="51"/>
      <c r="C581" s="6"/>
      <c r="D581" s="49"/>
      <c r="E581" s="51"/>
      <c r="F581" s="6"/>
      <c r="G581" s="6"/>
      <c r="H581" s="6"/>
      <c r="I581" s="6"/>
      <c r="J581" s="6"/>
      <c r="K581" s="51"/>
      <c r="L581" s="51"/>
      <c r="M581" s="51"/>
      <c r="N581" s="51"/>
      <c r="O581" s="51"/>
      <c r="P581" s="51"/>
      <c r="Q581" s="51"/>
      <c r="R581" s="51"/>
      <c r="S581" s="51"/>
      <c r="T581" s="51"/>
      <c r="U581" s="51"/>
      <c r="V581" s="51"/>
      <c r="W581" s="51"/>
      <c r="X581" s="51"/>
      <c r="Y581" s="51"/>
      <c r="Z581" s="51"/>
      <c r="AA581" s="51"/>
      <c r="AB581" s="51"/>
    </row>
    <row r="582" customFormat="false" ht="15.75" hidden="false" customHeight="false" outlineLevel="0" collapsed="false">
      <c r="A582" s="51"/>
      <c r="B582" s="51"/>
      <c r="C582" s="6"/>
      <c r="D582" s="49"/>
      <c r="E582" s="51"/>
      <c r="F582" s="6"/>
      <c r="G582" s="6"/>
      <c r="H582" s="6"/>
      <c r="I582" s="6"/>
      <c r="J582" s="6"/>
      <c r="K582" s="51"/>
      <c r="L582" s="51"/>
      <c r="M582" s="51"/>
      <c r="N582" s="51"/>
      <c r="O582" s="51"/>
      <c r="P582" s="51"/>
      <c r="Q582" s="51"/>
      <c r="R582" s="51"/>
      <c r="S582" s="51"/>
      <c r="T582" s="51"/>
      <c r="U582" s="51"/>
      <c r="V582" s="51"/>
      <c r="W582" s="51"/>
      <c r="X582" s="51"/>
      <c r="Y582" s="51"/>
      <c r="Z582" s="51"/>
      <c r="AA582" s="51"/>
      <c r="AB582" s="51"/>
    </row>
    <row r="583" customFormat="false" ht="15.75" hidden="false" customHeight="false" outlineLevel="0" collapsed="false">
      <c r="A583" s="51"/>
      <c r="B583" s="51"/>
      <c r="C583" s="6"/>
      <c r="D583" s="49"/>
      <c r="E583" s="51"/>
      <c r="F583" s="6"/>
      <c r="G583" s="6"/>
      <c r="H583" s="6"/>
      <c r="I583" s="6"/>
      <c r="J583" s="6"/>
      <c r="K583" s="51"/>
      <c r="L583" s="51"/>
      <c r="M583" s="51"/>
      <c r="N583" s="51"/>
      <c r="O583" s="51"/>
      <c r="P583" s="51"/>
      <c r="Q583" s="51"/>
      <c r="R583" s="51"/>
      <c r="S583" s="51"/>
      <c r="T583" s="51"/>
      <c r="U583" s="51"/>
      <c r="V583" s="51"/>
      <c r="W583" s="51"/>
      <c r="X583" s="51"/>
      <c r="Y583" s="51"/>
      <c r="Z583" s="51"/>
      <c r="AA583" s="51"/>
      <c r="AB583" s="51"/>
    </row>
    <row r="584" customFormat="false" ht="15.75" hidden="false" customHeight="false" outlineLevel="0" collapsed="false">
      <c r="A584" s="51"/>
      <c r="B584" s="51"/>
      <c r="C584" s="6"/>
      <c r="D584" s="49"/>
      <c r="E584" s="51"/>
      <c r="F584" s="6"/>
      <c r="G584" s="6"/>
      <c r="H584" s="6"/>
      <c r="I584" s="6"/>
      <c r="J584" s="6"/>
      <c r="K584" s="51"/>
      <c r="L584" s="51"/>
      <c r="M584" s="51"/>
      <c r="N584" s="51"/>
      <c r="O584" s="51"/>
      <c r="P584" s="51"/>
      <c r="Q584" s="51"/>
      <c r="R584" s="51"/>
      <c r="S584" s="51"/>
      <c r="T584" s="51"/>
      <c r="U584" s="51"/>
      <c r="V584" s="51"/>
      <c r="W584" s="51"/>
      <c r="X584" s="51"/>
      <c r="Y584" s="51"/>
      <c r="Z584" s="51"/>
      <c r="AA584" s="51"/>
      <c r="AB584" s="51"/>
    </row>
    <row r="585" customFormat="false" ht="15.75" hidden="false" customHeight="false" outlineLevel="0" collapsed="false">
      <c r="A585" s="51"/>
      <c r="B585" s="51"/>
      <c r="C585" s="6"/>
      <c r="D585" s="49"/>
      <c r="E585" s="51"/>
      <c r="F585" s="6"/>
      <c r="G585" s="6"/>
      <c r="H585" s="6"/>
      <c r="I585" s="6"/>
      <c r="J585" s="6"/>
      <c r="K585" s="51"/>
      <c r="L585" s="51"/>
      <c r="M585" s="51"/>
      <c r="N585" s="51"/>
      <c r="O585" s="51"/>
      <c r="P585" s="51"/>
      <c r="Q585" s="51"/>
      <c r="R585" s="51"/>
      <c r="S585" s="51"/>
      <c r="T585" s="51"/>
      <c r="U585" s="51"/>
      <c r="V585" s="51"/>
      <c r="W585" s="51"/>
      <c r="X585" s="51"/>
      <c r="Y585" s="51"/>
      <c r="Z585" s="51"/>
      <c r="AA585" s="51"/>
      <c r="AB585" s="51"/>
    </row>
    <row r="586" customFormat="false" ht="15.75" hidden="false" customHeight="false" outlineLevel="0" collapsed="false">
      <c r="A586" s="51"/>
      <c r="B586" s="51"/>
      <c r="C586" s="6"/>
      <c r="D586" s="49"/>
      <c r="E586" s="51"/>
      <c r="F586" s="6"/>
      <c r="G586" s="6"/>
      <c r="H586" s="6"/>
      <c r="I586" s="6"/>
      <c r="J586" s="6"/>
      <c r="K586" s="51"/>
      <c r="L586" s="51"/>
      <c r="M586" s="51"/>
      <c r="N586" s="51"/>
      <c r="O586" s="51"/>
      <c r="P586" s="51"/>
      <c r="Q586" s="51"/>
      <c r="R586" s="51"/>
      <c r="S586" s="51"/>
      <c r="T586" s="51"/>
      <c r="U586" s="51"/>
      <c r="V586" s="51"/>
      <c r="W586" s="51"/>
      <c r="X586" s="51"/>
      <c r="Y586" s="51"/>
      <c r="Z586" s="51"/>
      <c r="AA586" s="51"/>
      <c r="AB586" s="51"/>
    </row>
    <row r="587" customFormat="false" ht="15.75" hidden="false" customHeight="false" outlineLevel="0" collapsed="false">
      <c r="A587" s="51"/>
      <c r="B587" s="51"/>
      <c r="C587" s="6"/>
      <c r="D587" s="49"/>
      <c r="E587" s="51"/>
      <c r="F587" s="6"/>
      <c r="G587" s="6"/>
      <c r="H587" s="6"/>
      <c r="I587" s="6"/>
      <c r="J587" s="6"/>
      <c r="K587" s="51"/>
      <c r="L587" s="51"/>
      <c r="M587" s="51"/>
      <c r="N587" s="51"/>
      <c r="O587" s="51"/>
      <c r="P587" s="51"/>
      <c r="Q587" s="51"/>
      <c r="R587" s="51"/>
      <c r="S587" s="51"/>
      <c r="T587" s="51"/>
      <c r="U587" s="51"/>
      <c r="V587" s="51"/>
      <c r="W587" s="51"/>
      <c r="X587" s="51"/>
      <c r="Y587" s="51"/>
      <c r="Z587" s="51"/>
      <c r="AA587" s="51"/>
      <c r="AB587" s="51"/>
    </row>
    <row r="588" customFormat="false" ht="15.75" hidden="false" customHeight="false" outlineLevel="0" collapsed="false">
      <c r="A588" s="51"/>
      <c r="B588" s="51"/>
      <c r="C588" s="6"/>
      <c r="D588" s="49"/>
      <c r="E588" s="51"/>
      <c r="F588" s="6"/>
      <c r="G588" s="6"/>
      <c r="H588" s="6"/>
      <c r="I588" s="6"/>
      <c r="J588" s="6"/>
      <c r="K588" s="51"/>
      <c r="L588" s="51"/>
      <c r="M588" s="51"/>
      <c r="N588" s="51"/>
      <c r="O588" s="51"/>
      <c r="P588" s="51"/>
      <c r="Q588" s="51"/>
      <c r="R588" s="51"/>
      <c r="S588" s="51"/>
      <c r="T588" s="51"/>
      <c r="U588" s="51"/>
      <c r="V588" s="51"/>
      <c r="W588" s="51"/>
      <c r="X588" s="51"/>
      <c r="Y588" s="51"/>
      <c r="Z588" s="51"/>
      <c r="AA588" s="51"/>
      <c r="AB588" s="51"/>
    </row>
    <row r="589" customFormat="false" ht="15.75" hidden="false" customHeight="false" outlineLevel="0" collapsed="false">
      <c r="A589" s="51"/>
      <c r="B589" s="51"/>
      <c r="C589" s="6"/>
      <c r="D589" s="49"/>
      <c r="E589" s="51"/>
      <c r="F589" s="6"/>
      <c r="G589" s="6"/>
      <c r="H589" s="6"/>
      <c r="I589" s="6"/>
      <c r="J589" s="6"/>
      <c r="K589" s="51"/>
      <c r="L589" s="51"/>
      <c r="M589" s="51"/>
      <c r="N589" s="51"/>
      <c r="O589" s="51"/>
      <c r="P589" s="51"/>
      <c r="Q589" s="51"/>
      <c r="R589" s="51"/>
      <c r="S589" s="51"/>
      <c r="T589" s="51"/>
      <c r="U589" s="51"/>
      <c r="V589" s="51"/>
      <c r="W589" s="51"/>
      <c r="X589" s="51"/>
      <c r="Y589" s="51"/>
      <c r="Z589" s="51"/>
      <c r="AA589" s="51"/>
      <c r="AB589" s="51"/>
    </row>
    <row r="590" customFormat="false" ht="15.75" hidden="false" customHeight="false" outlineLevel="0" collapsed="false">
      <c r="A590" s="51"/>
      <c r="B590" s="51"/>
      <c r="C590" s="6"/>
      <c r="D590" s="49"/>
      <c r="E590" s="51"/>
      <c r="F590" s="6"/>
      <c r="G590" s="6"/>
      <c r="H590" s="6"/>
      <c r="I590" s="6"/>
      <c r="J590" s="6"/>
      <c r="K590" s="51"/>
      <c r="L590" s="51"/>
      <c r="M590" s="51"/>
      <c r="N590" s="51"/>
      <c r="O590" s="51"/>
      <c r="P590" s="51"/>
      <c r="Q590" s="51"/>
      <c r="R590" s="51"/>
      <c r="S590" s="51"/>
      <c r="T590" s="51"/>
      <c r="U590" s="51"/>
      <c r="V590" s="51"/>
      <c r="W590" s="51"/>
      <c r="X590" s="51"/>
      <c r="Y590" s="51"/>
      <c r="Z590" s="51"/>
      <c r="AA590" s="51"/>
      <c r="AB590" s="51"/>
    </row>
    <row r="591" customFormat="false" ht="15.75" hidden="false" customHeight="false" outlineLevel="0" collapsed="false">
      <c r="A591" s="51"/>
      <c r="B591" s="51"/>
      <c r="C591" s="6"/>
      <c r="D591" s="49"/>
      <c r="E591" s="51"/>
      <c r="F591" s="6"/>
      <c r="G591" s="6"/>
      <c r="H591" s="6"/>
      <c r="I591" s="6"/>
      <c r="J591" s="6"/>
      <c r="K591" s="51"/>
      <c r="L591" s="51"/>
      <c r="M591" s="51"/>
      <c r="N591" s="51"/>
      <c r="O591" s="51"/>
      <c r="P591" s="51"/>
      <c r="Q591" s="51"/>
      <c r="R591" s="51"/>
      <c r="S591" s="51"/>
      <c r="T591" s="51"/>
      <c r="U591" s="51"/>
      <c r="V591" s="51"/>
      <c r="W591" s="51"/>
      <c r="X591" s="51"/>
      <c r="Y591" s="51"/>
      <c r="Z591" s="51"/>
      <c r="AA591" s="51"/>
      <c r="AB591" s="51"/>
    </row>
    <row r="592" customFormat="false" ht="15.75" hidden="false" customHeight="false" outlineLevel="0" collapsed="false">
      <c r="A592" s="51"/>
      <c r="B592" s="51"/>
      <c r="C592" s="6"/>
      <c r="D592" s="49"/>
      <c r="E592" s="51"/>
      <c r="F592" s="6"/>
      <c r="G592" s="6"/>
      <c r="H592" s="6"/>
      <c r="I592" s="6"/>
      <c r="J592" s="6"/>
      <c r="K592" s="51"/>
      <c r="L592" s="51"/>
      <c r="M592" s="51"/>
      <c r="N592" s="51"/>
      <c r="O592" s="51"/>
      <c r="P592" s="51"/>
      <c r="Q592" s="51"/>
      <c r="R592" s="51"/>
      <c r="S592" s="51"/>
      <c r="T592" s="51"/>
      <c r="U592" s="51"/>
      <c r="V592" s="51"/>
      <c r="W592" s="51"/>
      <c r="X592" s="51"/>
      <c r="Y592" s="51"/>
      <c r="Z592" s="51"/>
      <c r="AA592" s="51"/>
      <c r="AB592" s="51"/>
    </row>
    <row r="593" customFormat="false" ht="15.75" hidden="false" customHeight="false" outlineLevel="0" collapsed="false">
      <c r="A593" s="51"/>
      <c r="B593" s="51"/>
      <c r="C593" s="6"/>
      <c r="D593" s="49"/>
      <c r="E593" s="51"/>
      <c r="F593" s="6"/>
      <c r="G593" s="6"/>
      <c r="H593" s="6"/>
      <c r="I593" s="6"/>
      <c r="J593" s="6"/>
      <c r="K593" s="51"/>
      <c r="L593" s="51"/>
      <c r="M593" s="51"/>
      <c r="N593" s="51"/>
      <c r="O593" s="51"/>
      <c r="P593" s="51"/>
      <c r="Q593" s="51"/>
      <c r="R593" s="51"/>
      <c r="S593" s="51"/>
      <c r="T593" s="51"/>
      <c r="U593" s="51"/>
      <c r="V593" s="51"/>
      <c r="W593" s="51"/>
      <c r="X593" s="51"/>
      <c r="Y593" s="51"/>
      <c r="Z593" s="51"/>
      <c r="AA593" s="51"/>
      <c r="AB593" s="51"/>
    </row>
    <row r="594" customFormat="false" ht="15.75" hidden="false" customHeight="false" outlineLevel="0" collapsed="false">
      <c r="A594" s="51"/>
      <c r="B594" s="51"/>
      <c r="C594" s="6"/>
      <c r="D594" s="49"/>
      <c r="E594" s="51"/>
      <c r="F594" s="6"/>
      <c r="G594" s="6"/>
      <c r="H594" s="6"/>
      <c r="I594" s="6"/>
      <c r="J594" s="6"/>
      <c r="K594" s="51"/>
      <c r="L594" s="51"/>
      <c r="M594" s="51"/>
      <c r="N594" s="51"/>
      <c r="O594" s="51"/>
      <c r="P594" s="51"/>
      <c r="Q594" s="51"/>
      <c r="R594" s="51"/>
      <c r="S594" s="51"/>
      <c r="T594" s="51"/>
      <c r="U594" s="51"/>
      <c r="V594" s="51"/>
      <c r="W594" s="51"/>
      <c r="X594" s="51"/>
      <c r="Y594" s="51"/>
      <c r="Z594" s="51"/>
      <c r="AA594" s="51"/>
      <c r="AB594" s="51"/>
    </row>
    <row r="595" customFormat="false" ht="15.75" hidden="false" customHeight="false" outlineLevel="0" collapsed="false">
      <c r="A595" s="51"/>
      <c r="B595" s="51"/>
      <c r="C595" s="6"/>
      <c r="D595" s="49"/>
      <c r="E595" s="51"/>
      <c r="F595" s="6"/>
      <c r="G595" s="6"/>
      <c r="H595" s="6"/>
      <c r="I595" s="6"/>
      <c r="J595" s="6"/>
      <c r="K595" s="51"/>
      <c r="L595" s="51"/>
      <c r="M595" s="51"/>
      <c r="N595" s="51"/>
      <c r="O595" s="51"/>
      <c r="P595" s="51"/>
      <c r="Q595" s="51"/>
      <c r="R595" s="51"/>
      <c r="S595" s="51"/>
      <c r="T595" s="51"/>
      <c r="U595" s="51"/>
      <c r="V595" s="51"/>
      <c r="W595" s="51"/>
      <c r="X595" s="51"/>
      <c r="Y595" s="51"/>
      <c r="Z595" s="51"/>
      <c r="AA595" s="51"/>
      <c r="AB595" s="51"/>
    </row>
    <row r="596" customFormat="false" ht="15.75" hidden="false" customHeight="false" outlineLevel="0" collapsed="false">
      <c r="A596" s="51"/>
      <c r="B596" s="51"/>
      <c r="C596" s="6"/>
      <c r="D596" s="49"/>
      <c r="E596" s="51"/>
      <c r="F596" s="6"/>
      <c r="G596" s="6"/>
      <c r="H596" s="6"/>
      <c r="I596" s="6"/>
      <c r="J596" s="6"/>
      <c r="K596" s="51"/>
      <c r="L596" s="51"/>
      <c r="M596" s="51"/>
      <c r="N596" s="51"/>
      <c r="O596" s="51"/>
      <c r="P596" s="51"/>
      <c r="Q596" s="51"/>
      <c r="R596" s="51"/>
      <c r="S596" s="51"/>
      <c r="T596" s="51"/>
      <c r="U596" s="51"/>
      <c r="V596" s="51"/>
      <c r="W596" s="51"/>
      <c r="X596" s="51"/>
      <c r="Y596" s="51"/>
      <c r="Z596" s="51"/>
      <c r="AA596" s="51"/>
      <c r="AB596" s="51"/>
    </row>
    <row r="597" customFormat="false" ht="15.75" hidden="false" customHeight="false" outlineLevel="0" collapsed="false">
      <c r="A597" s="51"/>
      <c r="B597" s="51"/>
      <c r="C597" s="6"/>
      <c r="D597" s="49"/>
      <c r="E597" s="51"/>
      <c r="F597" s="6"/>
      <c r="G597" s="6"/>
      <c r="H597" s="6"/>
      <c r="I597" s="6"/>
      <c r="J597" s="6"/>
      <c r="K597" s="51"/>
      <c r="L597" s="51"/>
      <c r="M597" s="51"/>
      <c r="N597" s="51"/>
      <c r="O597" s="51"/>
      <c r="P597" s="51"/>
      <c r="Q597" s="51"/>
      <c r="R597" s="51"/>
      <c r="S597" s="51"/>
      <c r="T597" s="51"/>
      <c r="U597" s="51"/>
      <c r="V597" s="51"/>
      <c r="W597" s="51"/>
      <c r="X597" s="51"/>
      <c r="Y597" s="51"/>
      <c r="Z597" s="51"/>
      <c r="AA597" s="51"/>
      <c r="AB597" s="51"/>
    </row>
    <row r="598" customFormat="false" ht="15.75" hidden="false" customHeight="false" outlineLevel="0" collapsed="false">
      <c r="A598" s="51"/>
      <c r="B598" s="51"/>
      <c r="C598" s="6"/>
      <c r="D598" s="49"/>
      <c r="E598" s="51"/>
      <c r="F598" s="6"/>
      <c r="G598" s="6"/>
      <c r="H598" s="6"/>
      <c r="I598" s="6"/>
      <c r="J598" s="6"/>
      <c r="K598" s="51"/>
      <c r="L598" s="51"/>
      <c r="M598" s="51"/>
      <c r="N598" s="51"/>
      <c r="O598" s="51"/>
      <c r="P598" s="51"/>
      <c r="Q598" s="51"/>
      <c r="R598" s="51"/>
      <c r="S598" s="51"/>
      <c r="T598" s="51"/>
      <c r="U598" s="51"/>
      <c r="V598" s="51"/>
      <c r="W598" s="51"/>
      <c r="X598" s="51"/>
      <c r="Y598" s="51"/>
      <c r="Z598" s="51"/>
      <c r="AA598" s="51"/>
      <c r="AB598" s="51"/>
    </row>
    <row r="599" customFormat="false" ht="15.75" hidden="false" customHeight="false" outlineLevel="0" collapsed="false">
      <c r="A599" s="51"/>
      <c r="B599" s="51"/>
      <c r="C599" s="6"/>
      <c r="D599" s="49"/>
      <c r="E599" s="51"/>
      <c r="F599" s="6"/>
      <c r="G599" s="6"/>
      <c r="H599" s="6"/>
      <c r="I599" s="6"/>
      <c r="J599" s="6"/>
      <c r="K599" s="51"/>
      <c r="L599" s="51"/>
      <c r="M599" s="51"/>
      <c r="N599" s="51"/>
      <c r="O599" s="51"/>
      <c r="P599" s="51"/>
      <c r="Q599" s="51"/>
      <c r="R599" s="51"/>
      <c r="S599" s="51"/>
      <c r="T599" s="51"/>
      <c r="U599" s="51"/>
      <c r="V599" s="51"/>
      <c r="W599" s="51"/>
      <c r="X599" s="51"/>
      <c r="Y599" s="51"/>
      <c r="Z599" s="51"/>
      <c r="AA599" s="51"/>
      <c r="AB599" s="51"/>
    </row>
    <row r="600" customFormat="false" ht="15.75" hidden="false" customHeight="false" outlineLevel="0" collapsed="false">
      <c r="A600" s="51"/>
      <c r="B600" s="51"/>
      <c r="C600" s="6"/>
      <c r="D600" s="49"/>
      <c r="E600" s="51"/>
      <c r="F600" s="6"/>
      <c r="G600" s="6"/>
      <c r="H600" s="6"/>
      <c r="I600" s="6"/>
      <c r="J600" s="6"/>
      <c r="K600" s="51"/>
      <c r="L600" s="51"/>
      <c r="M600" s="51"/>
      <c r="N600" s="51"/>
      <c r="O600" s="51"/>
      <c r="P600" s="51"/>
      <c r="Q600" s="51"/>
      <c r="R600" s="51"/>
      <c r="S600" s="51"/>
      <c r="T600" s="51"/>
      <c r="U600" s="51"/>
      <c r="V600" s="51"/>
      <c r="W600" s="51"/>
      <c r="X600" s="51"/>
      <c r="Y600" s="51"/>
      <c r="Z600" s="51"/>
      <c r="AA600" s="51"/>
      <c r="AB600" s="51"/>
    </row>
    <row r="601" customFormat="false" ht="15.75" hidden="false" customHeight="false" outlineLevel="0" collapsed="false">
      <c r="A601" s="51"/>
      <c r="B601" s="51"/>
      <c r="C601" s="6"/>
      <c r="D601" s="49"/>
      <c r="E601" s="51"/>
      <c r="F601" s="6"/>
      <c r="G601" s="6"/>
      <c r="H601" s="6"/>
      <c r="I601" s="6"/>
      <c r="J601" s="6"/>
      <c r="K601" s="51"/>
      <c r="L601" s="51"/>
      <c r="M601" s="51"/>
      <c r="N601" s="51"/>
      <c r="O601" s="51"/>
      <c r="P601" s="51"/>
      <c r="Q601" s="51"/>
      <c r="R601" s="51"/>
      <c r="S601" s="51"/>
      <c r="T601" s="51"/>
      <c r="U601" s="51"/>
      <c r="V601" s="51"/>
      <c r="W601" s="51"/>
      <c r="X601" s="51"/>
      <c r="Y601" s="51"/>
      <c r="Z601" s="51"/>
      <c r="AA601" s="51"/>
      <c r="AB601" s="51"/>
    </row>
    <row r="602" customFormat="false" ht="15.75" hidden="false" customHeight="false" outlineLevel="0" collapsed="false">
      <c r="A602" s="51"/>
      <c r="B602" s="51"/>
      <c r="C602" s="6"/>
      <c r="D602" s="49"/>
      <c r="E602" s="51"/>
      <c r="F602" s="6"/>
      <c r="G602" s="6"/>
      <c r="H602" s="6"/>
      <c r="I602" s="6"/>
      <c r="J602" s="6"/>
      <c r="K602" s="51"/>
      <c r="L602" s="51"/>
      <c r="M602" s="51"/>
      <c r="N602" s="51"/>
      <c r="O602" s="51"/>
      <c r="P602" s="51"/>
      <c r="Q602" s="51"/>
      <c r="R602" s="51"/>
      <c r="S602" s="51"/>
      <c r="T602" s="51"/>
      <c r="U602" s="51"/>
      <c r="V602" s="51"/>
      <c r="W602" s="51"/>
      <c r="X602" s="51"/>
      <c r="Y602" s="51"/>
      <c r="Z602" s="51"/>
      <c r="AA602" s="51"/>
      <c r="AB602" s="51"/>
    </row>
    <row r="603" customFormat="false" ht="15.75" hidden="false" customHeight="false" outlineLevel="0" collapsed="false">
      <c r="A603" s="51"/>
      <c r="B603" s="51"/>
      <c r="C603" s="6"/>
      <c r="D603" s="49"/>
      <c r="E603" s="51"/>
      <c r="F603" s="6"/>
      <c r="G603" s="6"/>
      <c r="H603" s="6"/>
      <c r="I603" s="6"/>
      <c r="J603" s="6"/>
      <c r="K603" s="51"/>
      <c r="L603" s="51"/>
      <c r="M603" s="51"/>
      <c r="N603" s="51"/>
      <c r="O603" s="51"/>
      <c r="P603" s="51"/>
      <c r="Q603" s="51"/>
      <c r="R603" s="51"/>
      <c r="S603" s="51"/>
      <c r="T603" s="51"/>
      <c r="U603" s="51"/>
      <c r="V603" s="51"/>
      <c r="W603" s="51"/>
      <c r="X603" s="51"/>
      <c r="Y603" s="51"/>
      <c r="Z603" s="51"/>
      <c r="AA603" s="51"/>
      <c r="AB603" s="51"/>
    </row>
    <row r="604" customFormat="false" ht="15.75" hidden="false" customHeight="false" outlineLevel="0" collapsed="false">
      <c r="A604" s="51"/>
      <c r="B604" s="51"/>
      <c r="C604" s="6"/>
      <c r="D604" s="49"/>
      <c r="E604" s="51"/>
      <c r="F604" s="6"/>
      <c r="G604" s="6"/>
      <c r="H604" s="6"/>
      <c r="I604" s="6"/>
      <c r="J604" s="6"/>
      <c r="K604" s="51"/>
      <c r="L604" s="51"/>
      <c r="M604" s="51"/>
      <c r="N604" s="51"/>
      <c r="O604" s="51"/>
      <c r="P604" s="51"/>
      <c r="Q604" s="51"/>
      <c r="R604" s="51"/>
      <c r="S604" s="51"/>
      <c r="T604" s="51"/>
      <c r="U604" s="51"/>
      <c r="V604" s="51"/>
      <c r="W604" s="51"/>
      <c r="X604" s="51"/>
      <c r="Y604" s="51"/>
      <c r="Z604" s="51"/>
      <c r="AA604" s="51"/>
      <c r="AB604" s="51"/>
    </row>
    <row r="605" customFormat="false" ht="15.75" hidden="false" customHeight="false" outlineLevel="0" collapsed="false">
      <c r="A605" s="51"/>
      <c r="B605" s="51"/>
      <c r="C605" s="6"/>
      <c r="D605" s="49"/>
      <c r="E605" s="51"/>
      <c r="F605" s="6"/>
      <c r="G605" s="6"/>
      <c r="H605" s="6"/>
      <c r="I605" s="6"/>
      <c r="J605" s="6"/>
      <c r="K605" s="51"/>
      <c r="L605" s="51"/>
      <c r="M605" s="51"/>
      <c r="N605" s="51"/>
      <c r="O605" s="51"/>
      <c r="P605" s="51"/>
      <c r="Q605" s="51"/>
      <c r="R605" s="51"/>
      <c r="S605" s="51"/>
      <c r="T605" s="51"/>
      <c r="U605" s="51"/>
      <c r="V605" s="51"/>
      <c r="W605" s="51"/>
      <c r="X605" s="51"/>
      <c r="Y605" s="51"/>
      <c r="Z605" s="51"/>
      <c r="AA605" s="51"/>
      <c r="AB605" s="51"/>
    </row>
    <row r="606" customFormat="false" ht="15.75" hidden="false" customHeight="false" outlineLevel="0" collapsed="false">
      <c r="A606" s="51"/>
      <c r="B606" s="51"/>
      <c r="C606" s="6"/>
      <c r="D606" s="49"/>
      <c r="E606" s="51"/>
      <c r="F606" s="6"/>
      <c r="G606" s="6"/>
      <c r="H606" s="6"/>
      <c r="I606" s="6"/>
      <c r="J606" s="6"/>
      <c r="K606" s="51"/>
      <c r="L606" s="51"/>
      <c r="M606" s="51"/>
      <c r="N606" s="51"/>
      <c r="O606" s="51"/>
      <c r="P606" s="51"/>
      <c r="Q606" s="51"/>
      <c r="R606" s="51"/>
      <c r="S606" s="51"/>
      <c r="T606" s="51"/>
      <c r="U606" s="51"/>
      <c r="V606" s="51"/>
      <c r="W606" s="51"/>
      <c r="X606" s="51"/>
      <c r="Y606" s="51"/>
      <c r="Z606" s="51"/>
      <c r="AA606" s="51"/>
      <c r="AB606" s="51"/>
    </row>
    <row r="607" customFormat="false" ht="15.75" hidden="false" customHeight="false" outlineLevel="0" collapsed="false">
      <c r="A607" s="51"/>
      <c r="B607" s="51"/>
      <c r="C607" s="6"/>
      <c r="D607" s="49"/>
      <c r="E607" s="51"/>
      <c r="F607" s="6"/>
      <c r="G607" s="6"/>
      <c r="H607" s="6"/>
      <c r="I607" s="6"/>
      <c r="J607" s="6"/>
      <c r="K607" s="51"/>
      <c r="L607" s="51"/>
      <c r="M607" s="51"/>
      <c r="N607" s="51"/>
      <c r="O607" s="51"/>
      <c r="P607" s="51"/>
      <c r="Q607" s="51"/>
      <c r="R607" s="51"/>
      <c r="S607" s="51"/>
      <c r="T607" s="51"/>
      <c r="U607" s="51"/>
      <c r="V607" s="51"/>
      <c r="W607" s="51"/>
      <c r="X607" s="51"/>
      <c r="Y607" s="51"/>
      <c r="Z607" s="51"/>
      <c r="AA607" s="51"/>
      <c r="AB607" s="51"/>
    </row>
    <row r="608" customFormat="false" ht="15.75" hidden="false" customHeight="false" outlineLevel="0" collapsed="false">
      <c r="A608" s="51"/>
      <c r="B608" s="51"/>
      <c r="C608" s="6"/>
      <c r="D608" s="49"/>
      <c r="E608" s="51"/>
      <c r="F608" s="6"/>
      <c r="G608" s="6"/>
      <c r="H608" s="6"/>
      <c r="I608" s="6"/>
      <c r="J608" s="6"/>
      <c r="K608" s="51"/>
      <c r="L608" s="51"/>
      <c r="M608" s="51"/>
      <c r="N608" s="51"/>
      <c r="O608" s="51"/>
      <c r="P608" s="51"/>
      <c r="Q608" s="51"/>
      <c r="R608" s="51"/>
      <c r="S608" s="51"/>
      <c r="T608" s="51"/>
      <c r="U608" s="51"/>
      <c r="V608" s="51"/>
      <c r="W608" s="51"/>
      <c r="X608" s="51"/>
      <c r="Y608" s="51"/>
      <c r="Z608" s="51"/>
      <c r="AA608" s="51"/>
      <c r="AB608" s="51"/>
    </row>
    <row r="609" customFormat="false" ht="15.75" hidden="false" customHeight="false" outlineLevel="0" collapsed="false">
      <c r="A609" s="51"/>
      <c r="B609" s="51"/>
      <c r="C609" s="6"/>
      <c r="D609" s="49"/>
      <c r="E609" s="51"/>
      <c r="F609" s="6"/>
      <c r="G609" s="6"/>
      <c r="H609" s="6"/>
      <c r="I609" s="6"/>
      <c r="J609" s="6"/>
      <c r="K609" s="51"/>
      <c r="L609" s="51"/>
      <c r="M609" s="51"/>
      <c r="N609" s="51"/>
      <c r="O609" s="51"/>
      <c r="P609" s="51"/>
      <c r="Q609" s="51"/>
      <c r="R609" s="51"/>
      <c r="S609" s="51"/>
      <c r="T609" s="51"/>
      <c r="U609" s="51"/>
      <c r="V609" s="51"/>
      <c r="W609" s="51"/>
      <c r="X609" s="51"/>
      <c r="Y609" s="51"/>
      <c r="Z609" s="51"/>
      <c r="AA609" s="51"/>
      <c r="AB609" s="51"/>
    </row>
    <row r="610" customFormat="false" ht="15.75" hidden="false" customHeight="false" outlineLevel="0" collapsed="false">
      <c r="A610" s="51"/>
      <c r="B610" s="51"/>
      <c r="C610" s="6"/>
      <c r="D610" s="49"/>
      <c r="E610" s="51"/>
      <c r="F610" s="6"/>
      <c r="G610" s="6"/>
      <c r="H610" s="6"/>
      <c r="I610" s="6"/>
      <c r="J610" s="6"/>
      <c r="K610" s="51"/>
      <c r="L610" s="51"/>
      <c r="M610" s="51"/>
      <c r="N610" s="51"/>
      <c r="O610" s="51"/>
      <c r="P610" s="51"/>
      <c r="Q610" s="51"/>
      <c r="R610" s="51"/>
      <c r="S610" s="51"/>
      <c r="T610" s="51"/>
      <c r="U610" s="51"/>
      <c r="V610" s="51"/>
      <c r="W610" s="51"/>
      <c r="X610" s="51"/>
      <c r="Y610" s="51"/>
      <c r="Z610" s="51"/>
      <c r="AA610" s="51"/>
      <c r="AB610" s="51"/>
    </row>
    <row r="611" customFormat="false" ht="15.75" hidden="false" customHeight="false" outlineLevel="0" collapsed="false">
      <c r="A611" s="51"/>
      <c r="B611" s="51"/>
      <c r="C611" s="6"/>
      <c r="D611" s="49"/>
      <c r="E611" s="51"/>
      <c r="F611" s="6"/>
      <c r="G611" s="6"/>
      <c r="H611" s="6"/>
      <c r="I611" s="6"/>
      <c r="J611" s="6"/>
      <c r="K611" s="51"/>
      <c r="L611" s="51"/>
      <c r="M611" s="51"/>
      <c r="N611" s="51"/>
      <c r="O611" s="51"/>
      <c r="P611" s="51"/>
      <c r="Q611" s="51"/>
      <c r="R611" s="51"/>
      <c r="S611" s="51"/>
      <c r="T611" s="51"/>
      <c r="U611" s="51"/>
      <c r="V611" s="51"/>
      <c r="W611" s="51"/>
      <c r="X611" s="51"/>
      <c r="Y611" s="51"/>
      <c r="Z611" s="51"/>
      <c r="AA611" s="51"/>
      <c r="AB611" s="51"/>
    </row>
    <row r="612" customFormat="false" ht="15.75" hidden="false" customHeight="false" outlineLevel="0" collapsed="false">
      <c r="A612" s="51"/>
      <c r="B612" s="51"/>
      <c r="C612" s="6"/>
      <c r="D612" s="49"/>
      <c r="E612" s="51"/>
      <c r="F612" s="6"/>
      <c r="G612" s="6"/>
      <c r="H612" s="6"/>
      <c r="I612" s="6"/>
      <c r="J612" s="6"/>
      <c r="K612" s="51"/>
      <c r="L612" s="51"/>
      <c r="M612" s="51"/>
      <c r="N612" s="51"/>
      <c r="O612" s="51"/>
      <c r="P612" s="51"/>
      <c r="Q612" s="51"/>
      <c r="R612" s="51"/>
      <c r="S612" s="51"/>
      <c r="T612" s="51"/>
      <c r="U612" s="51"/>
      <c r="V612" s="51"/>
      <c r="W612" s="51"/>
      <c r="X612" s="51"/>
      <c r="Y612" s="51"/>
      <c r="Z612" s="51"/>
      <c r="AA612" s="51"/>
      <c r="AB612" s="51"/>
    </row>
    <row r="613" customFormat="false" ht="15.75" hidden="false" customHeight="false" outlineLevel="0" collapsed="false">
      <c r="A613" s="51"/>
      <c r="B613" s="51"/>
      <c r="C613" s="6"/>
      <c r="D613" s="49"/>
      <c r="E613" s="51"/>
      <c r="F613" s="6"/>
      <c r="G613" s="6"/>
      <c r="H613" s="6"/>
      <c r="I613" s="6"/>
      <c r="J613" s="6"/>
      <c r="K613" s="51"/>
      <c r="L613" s="51"/>
      <c r="M613" s="51"/>
      <c r="N613" s="51"/>
      <c r="O613" s="51"/>
      <c r="P613" s="51"/>
      <c r="Q613" s="51"/>
      <c r="R613" s="51"/>
      <c r="S613" s="51"/>
      <c r="T613" s="51"/>
      <c r="U613" s="51"/>
      <c r="V613" s="51"/>
      <c r="W613" s="51"/>
      <c r="X613" s="51"/>
      <c r="Y613" s="51"/>
      <c r="Z613" s="51"/>
      <c r="AA613" s="51"/>
      <c r="AB613" s="51"/>
    </row>
    <row r="614" customFormat="false" ht="15.75" hidden="false" customHeight="false" outlineLevel="0" collapsed="false">
      <c r="A614" s="51"/>
      <c r="B614" s="51"/>
      <c r="C614" s="6"/>
      <c r="D614" s="49"/>
      <c r="E614" s="51"/>
      <c r="F614" s="6"/>
      <c r="G614" s="6"/>
      <c r="H614" s="6"/>
      <c r="I614" s="6"/>
      <c r="J614" s="6"/>
      <c r="K614" s="51"/>
      <c r="L614" s="51"/>
      <c r="M614" s="51"/>
      <c r="N614" s="51"/>
      <c r="O614" s="51"/>
      <c r="P614" s="51"/>
      <c r="Q614" s="51"/>
      <c r="R614" s="51"/>
      <c r="S614" s="51"/>
      <c r="T614" s="51"/>
      <c r="U614" s="51"/>
      <c r="V614" s="51"/>
      <c r="W614" s="51"/>
      <c r="X614" s="51"/>
      <c r="Y614" s="51"/>
      <c r="Z614" s="51"/>
      <c r="AA614" s="51"/>
      <c r="AB614" s="51"/>
    </row>
    <row r="615" customFormat="false" ht="15.75" hidden="false" customHeight="false" outlineLevel="0" collapsed="false">
      <c r="A615" s="51"/>
      <c r="B615" s="51"/>
      <c r="C615" s="6"/>
      <c r="D615" s="49"/>
      <c r="E615" s="51"/>
      <c r="F615" s="6"/>
      <c r="G615" s="6"/>
      <c r="H615" s="6"/>
      <c r="I615" s="6"/>
      <c r="J615" s="6"/>
      <c r="K615" s="51"/>
      <c r="L615" s="51"/>
      <c r="M615" s="51"/>
      <c r="N615" s="51"/>
      <c r="O615" s="51"/>
      <c r="P615" s="51"/>
      <c r="Q615" s="51"/>
      <c r="R615" s="51"/>
      <c r="S615" s="51"/>
      <c r="T615" s="51"/>
      <c r="U615" s="51"/>
      <c r="V615" s="51"/>
      <c r="W615" s="51"/>
      <c r="X615" s="51"/>
      <c r="Y615" s="51"/>
      <c r="Z615" s="51"/>
      <c r="AA615" s="51"/>
      <c r="AB615" s="51"/>
    </row>
    <row r="616" customFormat="false" ht="15.75" hidden="false" customHeight="false" outlineLevel="0" collapsed="false">
      <c r="A616" s="51"/>
      <c r="B616" s="51"/>
      <c r="C616" s="6"/>
      <c r="D616" s="49"/>
      <c r="E616" s="51"/>
      <c r="F616" s="6"/>
      <c r="G616" s="6"/>
      <c r="H616" s="6"/>
      <c r="I616" s="6"/>
      <c r="J616" s="6"/>
      <c r="K616" s="51"/>
      <c r="L616" s="51"/>
      <c r="M616" s="51"/>
      <c r="N616" s="51"/>
      <c r="O616" s="51"/>
      <c r="P616" s="51"/>
      <c r="Q616" s="51"/>
      <c r="R616" s="51"/>
      <c r="S616" s="51"/>
      <c r="T616" s="51"/>
      <c r="U616" s="51"/>
      <c r="V616" s="51"/>
      <c r="W616" s="51"/>
      <c r="X616" s="51"/>
      <c r="Y616" s="51"/>
      <c r="Z616" s="51"/>
      <c r="AA616" s="51"/>
      <c r="AB616" s="51"/>
    </row>
    <row r="617" customFormat="false" ht="15.75" hidden="false" customHeight="false" outlineLevel="0" collapsed="false">
      <c r="A617" s="51"/>
      <c r="B617" s="51"/>
      <c r="C617" s="6"/>
      <c r="D617" s="49"/>
      <c r="E617" s="51"/>
      <c r="F617" s="6"/>
      <c r="G617" s="6"/>
      <c r="H617" s="6"/>
      <c r="I617" s="6"/>
      <c r="J617" s="6"/>
      <c r="K617" s="51"/>
      <c r="L617" s="51"/>
      <c r="M617" s="51"/>
      <c r="N617" s="51"/>
      <c r="O617" s="51"/>
      <c r="P617" s="51"/>
      <c r="Q617" s="51"/>
      <c r="R617" s="51"/>
      <c r="S617" s="51"/>
      <c r="T617" s="51"/>
      <c r="U617" s="51"/>
      <c r="V617" s="51"/>
      <c r="W617" s="51"/>
      <c r="X617" s="51"/>
      <c r="Y617" s="51"/>
      <c r="Z617" s="51"/>
      <c r="AA617" s="51"/>
      <c r="AB617" s="51"/>
    </row>
    <row r="618" customFormat="false" ht="15.75" hidden="false" customHeight="false" outlineLevel="0" collapsed="false">
      <c r="A618" s="51"/>
      <c r="B618" s="51"/>
      <c r="C618" s="6"/>
      <c r="D618" s="49"/>
      <c r="E618" s="51"/>
      <c r="F618" s="6"/>
      <c r="G618" s="6"/>
      <c r="H618" s="6"/>
      <c r="I618" s="6"/>
      <c r="J618" s="6"/>
      <c r="K618" s="51"/>
      <c r="L618" s="51"/>
      <c r="M618" s="51"/>
      <c r="N618" s="51"/>
      <c r="O618" s="51"/>
      <c r="P618" s="51"/>
      <c r="Q618" s="51"/>
      <c r="R618" s="51"/>
      <c r="S618" s="51"/>
      <c r="T618" s="51"/>
      <c r="U618" s="51"/>
      <c r="V618" s="51"/>
      <c r="W618" s="51"/>
      <c r="X618" s="51"/>
      <c r="Y618" s="51"/>
      <c r="Z618" s="51"/>
      <c r="AA618" s="51"/>
      <c r="AB618" s="51"/>
    </row>
    <row r="619" customFormat="false" ht="15.75" hidden="false" customHeight="false" outlineLevel="0" collapsed="false">
      <c r="A619" s="51"/>
      <c r="B619" s="51"/>
      <c r="C619" s="6"/>
      <c r="D619" s="49"/>
      <c r="E619" s="51"/>
      <c r="F619" s="6"/>
      <c r="G619" s="6"/>
      <c r="H619" s="6"/>
      <c r="I619" s="6"/>
      <c r="J619" s="6"/>
      <c r="K619" s="51"/>
      <c r="L619" s="51"/>
      <c r="M619" s="51"/>
      <c r="N619" s="51"/>
      <c r="O619" s="51"/>
      <c r="P619" s="51"/>
      <c r="Q619" s="51"/>
      <c r="R619" s="51"/>
      <c r="S619" s="51"/>
      <c r="T619" s="51"/>
      <c r="U619" s="51"/>
      <c r="V619" s="51"/>
      <c r="W619" s="51"/>
      <c r="X619" s="51"/>
      <c r="Y619" s="51"/>
      <c r="Z619" s="51"/>
      <c r="AA619" s="51"/>
      <c r="AB619" s="51"/>
    </row>
    <row r="620" customFormat="false" ht="15.75" hidden="false" customHeight="false" outlineLevel="0" collapsed="false">
      <c r="A620" s="51"/>
      <c r="B620" s="51"/>
      <c r="C620" s="6"/>
      <c r="D620" s="49"/>
      <c r="E620" s="51"/>
      <c r="F620" s="6"/>
      <c r="G620" s="6"/>
      <c r="H620" s="6"/>
      <c r="I620" s="6"/>
      <c r="J620" s="6"/>
      <c r="K620" s="51"/>
      <c r="L620" s="51"/>
      <c r="M620" s="51"/>
      <c r="N620" s="51"/>
      <c r="O620" s="51"/>
      <c r="P620" s="51"/>
      <c r="Q620" s="51"/>
      <c r="R620" s="51"/>
      <c r="S620" s="51"/>
      <c r="T620" s="51"/>
      <c r="U620" s="51"/>
      <c r="V620" s="51"/>
      <c r="W620" s="51"/>
      <c r="X620" s="51"/>
      <c r="Y620" s="51"/>
      <c r="Z620" s="51"/>
      <c r="AA620" s="51"/>
      <c r="AB620" s="51"/>
    </row>
    <row r="621" customFormat="false" ht="15.75" hidden="false" customHeight="false" outlineLevel="0" collapsed="false">
      <c r="A621" s="51"/>
      <c r="B621" s="51"/>
      <c r="C621" s="6"/>
      <c r="D621" s="49"/>
      <c r="E621" s="51"/>
      <c r="F621" s="6"/>
      <c r="G621" s="6"/>
      <c r="H621" s="6"/>
      <c r="I621" s="6"/>
      <c r="J621" s="6"/>
      <c r="K621" s="51"/>
      <c r="L621" s="51"/>
      <c r="M621" s="51"/>
      <c r="N621" s="51"/>
      <c r="O621" s="51"/>
      <c r="P621" s="51"/>
      <c r="Q621" s="51"/>
      <c r="R621" s="51"/>
      <c r="S621" s="51"/>
      <c r="T621" s="51"/>
      <c r="U621" s="51"/>
      <c r="V621" s="51"/>
      <c r="W621" s="51"/>
      <c r="X621" s="51"/>
      <c r="Y621" s="51"/>
      <c r="Z621" s="51"/>
      <c r="AA621" s="51"/>
      <c r="AB621" s="51"/>
    </row>
    <row r="622" customFormat="false" ht="15.75" hidden="false" customHeight="false" outlineLevel="0" collapsed="false">
      <c r="A622" s="51"/>
      <c r="B622" s="51"/>
      <c r="C622" s="6"/>
      <c r="D622" s="49"/>
      <c r="E622" s="51"/>
      <c r="F622" s="6"/>
      <c r="G622" s="6"/>
      <c r="H622" s="6"/>
      <c r="I622" s="6"/>
      <c r="J622" s="6"/>
      <c r="K622" s="51"/>
      <c r="L622" s="51"/>
      <c r="M622" s="51"/>
      <c r="N622" s="51"/>
      <c r="O622" s="51"/>
      <c r="P622" s="51"/>
      <c r="Q622" s="51"/>
      <c r="R622" s="51"/>
      <c r="S622" s="51"/>
      <c r="T622" s="51"/>
      <c r="U622" s="51"/>
      <c r="V622" s="51"/>
      <c r="W622" s="51"/>
      <c r="X622" s="51"/>
      <c r="Y622" s="51"/>
      <c r="Z622" s="51"/>
      <c r="AA622" s="51"/>
      <c r="AB622" s="51"/>
    </row>
    <row r="623" customFormat="false" ht="15.75" hidden="false" customHeight="false" outlineLevel="0" collapsed="false">
      <c r="A623" s="51"/>
      <c r="B623" s="51"/>
      <c r="C623" s="6"/>
      <c r="D623" s="49"/>
      <c r="E623" s="51"/>
      <c r="F623" s="6"/>
      <c r="G623" s="6"/>
      <c r="H623" s="6"/>
      <c r="I623" s="6"/>
      <c r="J623" s="6"/>
      <c r="K623" s="51"/>
      <c r="L623" s="51"/>
      <c r="M623" s="51"/>
      <c r="N623" s="51"/>
      <c r="O623" s="51"/>
      <c r="P623" s="51"/>
      <c r="Q623" s="51"/>
      <c r="R623" s="51"/>
      <c r="S623" s="51"/>
      <c r="T623" s="51"/>
      <c r="U623" s="51"/>
      <c r="V623" s="51"/>
      <c r="W623" s="51"/>
      <c r="X623" s="51"/>
      <c r="Y623" s="51"/>
      <c r="Z623" s="51"/>
      <c r="AA623" s="51"/>
      <c r="AB623" s="51"/>
    </row>
    <row r="624" customFormat="false" ht="15.75" hidden="false" customHeight="false" outlineLevel="0" collapsed="false">
      <c r="A624" s="51"/>
      <c r="B624" s="51"/>
      <c r="C624" s="6"/>
      <c r="D624" s="49"/>
      <c r="E624" s="51"/>
      <c r="F624" s="6"/>
      <c r="G624" s="6"/>
      <c r="H624" s="6"/>
      <c r="I624" s="6"/>
      <c r="J624" s="6"/>
      <c r="K624" s="51"/>
      <c r="L624" s="51"/>
      <c r="M624" s="51"/>
      <c r="N624" s="51"/>
      <c r="O624" s="51"/>
      <c r="P624" s="51"/>
      <c r="Q624" s="51"/>
      <c r="R624" s="51"/>
      <c r="S624" s="51"/>
      <c r="T624" s="51"/>
      <c r="U624" s="51"/>
      <c r="V624" s="51"/>
      <c r="W624" s="51"/>
      <c r="X624" s="51"/>
      <c r="Y624" s="51"/>
      <c r="Z624" s="51"/>
      <c r="AA624" s="51"/>
      <c r="AB624" s="51"/>
    </row>
    <row r="625" customFormat="false" ht="15.75" hidden="false" customHeight="false" outlineLevel="0" collapsed="false">
      <c r="A625" s="51"/>
      <c r="B625" s="51"/>
      <c r="C625" s="6"/>
      <c r="D625" s="49"/>
      <c r="E625" s="51"/>
      <c r="F625" s="6"/>
      <c r="G625" s="6"/>
      <c r="H625" s="6"/>
      <c r="I625" s="6"/>
      <c r="J625" s="6"/>
      <c r="K625" s="51"/>
      <c r="L625" s="51"/>
      <c r="M625" s="51"/>
      <c r="N625" s="51"/>
      <c r="O625" s="51"/>
      <c r="P625" s="51"/>
      <c r="Q625" s="51"/>
      <c r="R625" s="51"/>
      <c r="S625" s="51"/>
      <c r="T625" s="51"/>
      <c r="U625" s="51"/>
      <c r="V625" s="51"/>
      <c r="W625" s="51"/>
      <c r="X625" s="51"/>
      <c r="Y625" s="51"/>
      <c r="Z625" s="51"/>
      <c r="AA625" s="51"/>
      <c r="AB625" s="51"/>
    </row>
    <row r="626" customFormat="false" ht="15.75" hidden="false" customHeight="false" outlineLevel="0" collapsed="false">
      <c r="A626" s="51"/>
      <c r="B626" s="51"/>
      <c r="C626" s="6"/>
      <c r="D626" s="49"/>
      <c r="E626" s="51"/>
      <c r="F626" s="6"/>
      <c r="G626" s="6"/>
      <c r="H626" s="6"/>
      <c r="I626" s="6"/>
      <c r="J626" s="6"/>
      <c r="K626" s="51"/>
      <c r="L626" s="51"/>
      <c r="M626" s="51"/>
      <c r="N626" s="51"/>
      <c r="O626" s="51"/>
      <c r="P626" s="51"/>
      <c r="Q626" s="51"/>
      <c r="R626" s="51"/>
      <c r="S626" s="51"/>
      <c r="T626" s="51"/>
      <c r="U626" s="51"/>
      <c r="V626" s="51"/>
      <c r="W626" s="51"/>
      <c r="X626" s="51"/>
      <c r="Y626" s="51"/>
      <c r="Z626" s="51"/>
      <c r="AA626" s="51"/>
      <c r="AB626" s="51"/>
    </row>
    <row r="627" customFormat="false" ht="15.75" hidden="false" customHeight="false" outlineLevel="0" collapsed="false">
      <c r="A627" s="51"/>
      <c r="B627" s="51"/>
      <c r="C627" s="6"/>
      <c r="D627" s="49"/>
      <c r="E627" s="51"/>
      <c r="F627" s="6"/>
      <c r="G627" s="6"/>
      <c r="H627" s="6"/>
      <c r="I627" s="6"/>
      <c r="J627" s="6"/>
      <c r="K627" s="51"/>
      <c r="L627" s="51"/>
      <c r="M627" s="51"/>
      <c r="N627" s="51"/>
      <c r="O627" s="51"/>
      <c r="P627" s="51"/>
      <c r="Q627" s="51"/>
      <c r="R627" s="51"/>
      <c r="S627" s="51"/>
      <c r="T627" s="51"/>
      <c r="U627" s="51"/>
      <c r="V627" s="51"/>
      <c r="W627" s="51"/>
      <c r="X627" s="51"/>
      <c r="Y627" s="51"/>
      <c r="Z627" s="51"/>
      <c r="AA627" s="51"/>
      <c r="AB627" s="51"/>
    </row>
    <row r="628" customFormat="false" ht="15.75" hidden="false" customHeight="false" outlineLevel="0" collapsed="false">
      <c r="A628" s="51"/>
      <c r="B628" s="51"/>
      <c r="C628" s="6"/>
      <c r="D628" s="49"/>
      <c r="E628" s="51"/>
      <c r="F628" s="6"/>
      <c r="G628" s="6"/>
      <c r="H628" s="6"/>
      <c r="I628" s="6"/>
      <c r="J628" s="6"/>
      <c r="K628" s="51"/>
      <c r="L628" s="51"/>
      <c r="M628" s="51"/>
      <c r="N628" s="51"/>
      <c r="O628" s="51"/>
      <c r="P628" s="51"/>
      <c r="Q628" s="51"/>
      <c r="R628" s="51"/>
      <c r="S628" s="51"/>
      <c r="T628" s="51"/>
      <c r="U628" s="51"/>
      <c r="V628" s="51"/>
      <c r="W628" s="51"/>
      <c r="X628" s="51"/>
      <c r="Y628" s="51"/>
      <c r="Z628" s="51"/>
      <c r="AA628" s="51"/>
      <c r="AB628" s="51"/>
    </row>
    <row r="629" customFormat="false" ht="15.75" hidden="false" customHeight="false" outlineLevel="0" collapsed="false">
      <c r="A629" s="51"/>
      <c r="B629" s="51"/>
      <c r="C629" s="6"/>
      <c r="D629" s="49"/>
      <c r="E629" s="51"/>
      <c r="F629" s="6"/>
      <c r="G629" s="6"/>
      <c r="H629" s="6"/>
      <c r="I629" s="6"/>
      <c r="J629" s="6"/>
      <c r="K629" s="51"/>
      <c r="L629" s="51"/>
      <c r="M629" s="51"/>
      <c r="N629" s="51"/>
      <c r="O629" s="51"/>
      <c r="P629" s="51"/>
      <c r="Q629" s="51"/>
      <c r="R629" s="51"/>
      <c r="S629" s="51"/>
      <c r="T629" s="51"/>
      <c r="U629" s="51"/>
      <c r="V629" s="51"/>
      <c r="W629" s="51"/>
      <c r="X629" s="51"/>
      <c r="Y629" s="51"/>
      <c r="Z629" s="51"/>
      <c r="AA629" s="51"/>
      <c r="AB629" s="51"/>
    </row>
    <row r="630" customFormat="false" ht="15.75" hidden="false" customHeight="false" outlineLevel="0" collapsed="false">
      <c r="A630" s="51"/>
      <c r="B630" s="51"/>
      <c r="C630" s="6"/>
      <c r="D630" s="49"/>
      <c r="E630" s="51"/>
      <c r="F630" s="6"/>
      <c r="G630" s="6"/>
      <c r="H630" s="6"/>
      <c r="I630" s="6"/>
      <c r="J630" s="6"/>
      <c r="K630" s="51"/>
      <c r="L630" s="51"/>
      <c r="M630" s="51"/>
      <c r="N630" s="51"/>
      <c r="O630" s="51"/>
      <c r="P630" s="51"/>
      <c r="Q630" s="51"/>
      <c r="R630" s="51"/>
      <c r="S630" s="51"/>
      <c r="T630" s="51"/>
      <c r="U630" s="51"/>
      <c r="V630" s="51"/>
      <c r="W630" s="51"/>
      <c r="X630" s="51"/>
      <c r="Y630" s="51"/>
      <c r="Z630" s="51"/>
      <c r="AA630" s="51"/>
      <c r="AB630" s="51"/>
    </row>
    <row r="631" customFormat="false" ht="15.75" hidden="false" customHeight="false" outlineLevel="0" collapsed="false">
      <c r="A631" s="51"/>
      <c r="B631" s="51"/>
      <c r="C631" s="6"/>
      <c r="D631" s="49"/>
      <c r="E631" s="51"/>
      <c r="F631" s="6"/>
      <c r="G631" s="6"/>
      <c r="H631" s="6"/>
      <c r="I631" s="6"/>
      <c r="J631" s="6"/>
      <c r="K631" s="51"/>
      <c r="L631" s="51"/>
      <c r="M631" s="51"/>
      <c r="N631" s="51"/>
      <c r="O631" s="51"/>
      <c r="P631" s="51"/>
      <c r="Q631" s="51"/>
      <c r="R631" s="51"/>
      <c r="S631" s="51"/>
      <c r="T631" s="51"/>
      <c r="U631" s="51"/>
      <c r="V631" s="51"/>
      <c r="W631" s="51"/>
      <c r="X631" s="51"/>
      <c r="Y631" s="51"/>
      <c r="Z631" s="51"/>
      <c r="AA631" s="51"/>
      <c r="AB631" s="51"/>
    </row>
    <row r="632" customFormat="false" ht="15.75" hidden="false" customHeight="false" outlineLevel="0" collapsed="false">
      <c r="A632" s="51"/>
      <c r="B632" s="51"/>
      <c r="C632" s="6"/>
      <c r="D632" s="49"/>
      <c r="E632" s="51"/>
      <c r="F632" s="6"/>
      <c r="G632" s="6"/>
      <c r="H632" s="6"/>
      <c r="I632" s="6"/>
      <c r="J632" s="6"/>
      <c r="K632" s="51"/>
      <c r="L632" s="51"/>
      <c r="M632" s="51"/>
      <c r="N632" s="51"/>
      <c r="O632" s="51"/>
      <c r="P632" s="51"/>
      <c r="Q632" s="51"/>
      <c r="R632" s="51"/>
      <c r="S632" s="51"/>
      <c r="T632" s="51"/>
      <c r="U632" s="51"/>
      <c r="V632" s="51"/>
      <c r="W632" s="51"/>
      <c r="X632" s="51"/>
      <c r="Y632" s="51"/>
      <c r="Z632" s="51"/>
      <c r="AA632" s="51"/>
      <c r="AB632" s="51"/>
    </row>
    <row r="633" customFormat="false" ht="15.75" hidden="false" customHeight="false" outlineLevel="0" collapsed="false">
      <c r="A633" s="51"/>
      <c r="B633" s="51"/>
      <c r="C633" s="6"/>
      <c r="D633" s="49"/>
      <c r="E633" s="51"/>
      <c r="F633" s="6"/>
      <c r="G633" s="6"/>
      <c r="H633" s="6"/>
      <c r="I633" s="6"/>
      <c r="J633" s="6"/>
      <c r="K633" s="51"/>
      <c r="L633" s="51"/>
      <c r="M633" s="51"/>
      <c r="N633" s="51"/>
      <c r="O633" s="51"/>
      <c r="P633" s="51"/>
      <c r="Q633" s="51"/>
      <c r="R633" s="51"/>
      <c r="S633" s="51"/>
      <c r="T633" s="51"/>
      <c r="U633" s="51"/>
      <c r="V633" s="51"/>
      <c r="W633" s="51"/>
      <c r="X633" s="51"/>
      <c r="Y633" s="51"/>
      <c r="Z633" s="51"/>
      <c r="AA633" s="51"/>
      <c r="AB633" s="51"/>
    </row>
    <row r="634" customFormat="false" ht="15.75" hidden="false" customHeight="false" outlineLevel="0" collapsed="false">
      <c r="A634" s="51"/>
      <c r="B634" s="51"/>
      <c r="C634" s="6"/>
      <c r="D634" s="49"/>
      <c r="E634" s="51"/>
      <c r="F634" s="6"/>
      <c r="G634" s="6"/>
      <c r="H634" s="6"/>
      <c r="I634" s="6"/>
      <c r="J634" s="6"/>
      <c r="K634" s="51"/>
      <c r="L634" s="51"/>
      <c r="M634" s="51"/>
      <c r="N634" s="51"/>
      <c r="O634" s="51"/>
      <c r="P634" s="51"/>
      <c r="Q634" s="51"/>
      <c r="R634" s="51"/>
      <c r="S634" s="51"/>
      <c r="T634" s="51"/>
      <c r="U634" s="51"/>
      <c r="V634" s="51"/>
      <c r="W634" s="51"/>
      <c r="X634" s="51"/>
      <c r="Y634" s="51"/>
      <c r="Z634" s="51"/>
      <c r="AA634" s="51"/>
      <c r="AB634" s="51"/>
    </row>
    <row r="635" customFormat="false" ht="15.75" hidden="false" customHeight="false" outlineLevel="0" collapsed="false">
      <c r="A635" s="51"/>
      <c r="B635" s="51"/>
      <c r="C635" s="6"/>
      <c r="D635" s="49"/>
      <c r="E635" s="51"/>
      <c r="F635" s="6"/>
      <c r="G635" s="6"/>
      <c r="H635" s="6"/>
      <c r="I635" s="6"/>
      <c r="J635" s="6"/>
      <c r="K635" s="51"/>
      <c r="L635" s="51"/>
      <c r="M635" s="51"/>
      <c r="N635" s="51"/>
      <c r="O635" s="51"/>
      <c r="P635" s="51"/>
      <c r="Q635" s="51"/>
      <c r="R635" s="51"/>
      <c r="S635" s="51"/>
      <c r="T635" s="51"/>
      <c r="U635" s="51"/>
      <c r="V635" s="51"/>
      <c r="W635" s="51"/>
      <c r="X635" s="51"/>
      <c r="Y635" s="51"/>
      <c r="Z635" s="51"/>
      <c r="AA635" s="51"/>
      <c r="AB635" s="51"/>
    </row>
    <row r="636" customFormat="false" ht="15.75" hidden="false" customHeight="false" outlineLevel="0" collapsed="false">
      <c r="A636" s="51"/>
      <c r="B636" s="51"/>
      <c r="C636" s="6"/>
      <c r="D636" s="49"/>
      <c r="E636" s="51"/>
      <c r="F636" s="6"/>
      <c r="G636" s="6"/>
      <c r="H636" s="6"/>
      <c r="I636" s="6"/>
      <c r="J636" s="6"/>
      <c r="K636" s="51"/>
      <c r="L636" s="51"/>
      <c r="M636" s="51"/>
      <c r="N636" s="51"/>
      <c r="O636" s="51"/>
      <c r="P636" s="51"/>
      <c r="Q636" s="51"/>
      <c r="R636" s="51"/>
      <c r="S636" s="51"/>
      <c r="T636" s="51"/>
      <c r="U636" s="51"/>
      <c r="V636" s="51"/>
      <c r="W636" s="51"/>
      <c r="X636" s="51"/>
      <c r="Y636" s="51"/>
      <c r="Z636" s="51"/>
      <c r="AA636" s="51"/>
      <c r="AB636" s="51"/>
    </row>
    <row r="637" customFormat="false" ht="15.75" hidden="false" customHeight="false" outlineLevel="0" collapsed="false">
      <c r="A637" s="51"/>
      <c r="B637" s="51"/>
      <c r="C637" s="6"/>
      <c r="D637" s="49"/>
      <c r="E637" s="51"/>
      <c r="F637" s="6"/>
      <c r="G637" s="6"/>
      <c r="H637" s="6"/>
      <c r="I637" s="6"/>
      <c r="J637" s="6"/>
      <c r="K637" s="51"/>
      <c r="L637" s="51"/>
      <c r="M637" s="51"/>
      <c r="N637" s="51"/>
      <c r="O637" s="51"/>
      <c r="P637" s="51"/>
      <c r="Q637" s="51"/>
      <c r="R637" s="51"/>
      <c r="S637" s="51"/>
      <c r="T637" s="51"/>
      <c r="U637" s="51"/>
      <c r="V637" s="51"/>
      <c r="W637" s="51"/>
      <c r="X637" s="51"/>
      <c r="Y637" s="51"/>
      <c r="Z637" s="51"/>
      <c r="AA637" s="51"/>
      <c r="AB637" s="51"/>
    </row>
    <row r="638" customFormat="false" ht="15.75" hidden="false" customHeight="false" outlineLevel="0" collapsed="false">
      <c r="A638" s="51"/>
      <c r="B638" s="51"/>
      <c r="C638" s="6"/>
      <c r="D638" s="49"/>
      <c r="E638" s="51"/>
      <c r="F638" s="6"/>
      <c r="G638" s="6"/>
      <c r="H638" s="6"/>
      <c r="I638" s="6"/>
      <c r="J638" s="6"/>
      <c r="K638" s="51"/>
      <c r="L638" s="51"/>
      <c r="M638" s="51"/>
      <c r="N638" s="51"/>
      <c r="O638" s="51"/>
      <c r="P638" s="51"/>
      <c r="Q638" s="51"/>
      <c r="R638" s="51"/>
      <c r="S638" s="51"/>
      <c r="T638" s="51"/>
      <c r="U638" s="51"/>
      <c r="V638" s="51"/>
      <c r="W638" s="51"/>
      <c r="X638" s="51"/>
      <c r="Y638" s="51"/>
      <c r="Z638" s="51"/>
      <c r="AA638" s="51"/>
      <c r="AB638" s="51"/>
    </row>
    <row r="639" customFormat="false" ht="15.75" hidden="false" customHeight="false" outlineLevel="0" collapsed="false">
      <c r="A639" s="51"/>
      <c r="B639" s="51"/>
      <c r="C639" s="6"/>
      <c r="D639" s="49"/>
      <c r="E639" s="51"/>
      <c r="F639" s="6"/>
      <c r="G639" s="6"/>
      <c r="H639" s="6"/>
      <c r="I639" s="6"/>
      <c r="J639" s="6"/>
      <c r="K639" s="51"/>
      <c r="L639" s="51"/>
      <c r="M639" s="51"/>
      <c r="N639" s="51"/>
      <c r="O639" s="51"/>
      <c r="P639" s="51"/>
      <c r="Q639" s="51"/>
      <c r="R639" s="51"/>
      <c r="S639" s="51"/>
      <c r="T639" s="51"/>
      <c r="U639" s="51"/>
      <c r="V639" s="51"/>
      <c r="W639" s="51"/>
      <c r="X639" s="51"/>
      <c r="Y639" s="51"/>
      <c r="Z639" s="51"/>
      <c r="AA639" s="51"/>
      <c r="AB639" s="51"/>
    </row>
    <row r="640" customFormat="false" ht="15.75" hidden="false" customHeight="false" outlineLevel="0" collapsed="false">
      <c r="A640" s="51"/>
      <c r="B640" s="51"/>
      <c r="C640" s="6"/>
      <c r="D640" s="49"/>
      <c r="E640" s="51"/>
      <c r="F640" s="6"/>
      <c r="G640" s="6"/>
      <c r="H640" s="6"/>
      <c r="I640" s="6"/>
      <c r="J640" s="6"/>
      <c r="K640" s="51"/>
      <c r="L640" s="51"/>
      <c r="M640" s="51"/>
      <c r="N640" s="51"/>
      <c r="O640" s="51"/>
      <c r="P640" s="51"/>
      <c r="Q640" s="51"/>
      <c r="R640" s="51"/>
      <c r="S640" s="51"/>
      <c r="T640" s="51"/>
      <c r="U640" s="51"/>
      <c r="V640" s="51"/>
      <c r="W640" s="51"/>
      <c r="X640" s="51"/>
      <c r="Y640" s="51"/>
      <c r="Z640" s="51"/>
      <c r="AA640" s="51"/>
      <c r="AB640" s="51"/>
    </row>
    <row r="641" customFormat="false" ht="15.75" hidden="false" customHeight="false" outlineLevel="0" collapsed="false">
      <c r="A641" s="51"/>
      <c r="B641" s="51"/>
      <c r="C641" s="6"/>
      <c r="D641" s="49"/>
      <c r="E641" s="51"/>
      <c r="F641" s="6"/>
      <c r="G641" s="6"/>
      <c r="H641" s="6"/>
      <c r="I641" s="6"/>
      <c r="J641" s="6"/>
      <c r="K641" s="51"/>
      <c r="L641" s="51"/>
      <c r="M641" s="51"/>
      <c r="N641" s="51"/>
      <c r="O641" s="51"/>
      <c r="P641" s="51"/>
      <c r="Q641" s="51"/>
      <c r="R641" s="51"/>
      <c r="S641" s="51"/>
      <c r="T641" s="51"/>
      <c r="U641" s="51"/>
      <c r="V641" s="51"/>
      <c r="W641" s="51"/>
      <c r="X641" s="51"/>
      <c r="Y641" s="51"/>
      <c r="Z641" s="51"/>
      <c r="AA641" s="51"/>
      <c r="AB641" s="51"/>
    </row>
    <row r="642" customFormat="false" ht="15.75" hidden="false" customHeight="false" outlineLevel="0" collapsed="false">
      <c r="A642" s="51"/>
      <c r="B642" s="51"/>
      <c r="C642" s="6"/>
      <c r="D642" s="49"/>
      <c r="E642" s="51"/>
      <c r="F642" s="6"/>
      <c r="G642" s="6"/>
      <c r="H642" s="6"/>
      <c r="I642" s="6"/>
      <c r="J642" s="6"/>
      <c r="K642" s="51"/>
      <c r="L642" s="51"/>
      <c r="M642" s="51"/>
      <c r="N642" s="51"/>
      <c r="O642" s="51"/>
      <c r="P642" s="51"/>
      <c r="Q642" s="51"/>
      <c r="R642" s="51"/>
      <c r="S642" s="51"/>
      <c r="T642" s="51"/>
      <c r="U642" s="51"/>
      <c r="V642" s="51"/>
      <c r="W642" s="51"/>
      <c r="X642" s="51"/>
      <c r="Y642" s="51"/>
      <c r="Z642" s="51"/>
      <c r="AA642" s="51"/>
      <c r="AB642" s="51"/>
    </row>
    <row r="643" customFormat="false" ht="15.75" hidden="false" customHeight="false" outlineLevel="0" collapsed="false">
      <c r="A643" s="51"/>
      <c r="B643" s="51"/>
      <c r="C643" s="6"/>
      <c r="D643" s="49"/>
      <c r="E643" s="51"/>
      <c r="F643" s="6"/>
      <c r="G643" s="6"/>
      <c r="H643" s="6"/>
      <c r="I643" s="6"/>
      <c r="J643" s="6"/>
      <c r="K643" s="51"/>
      <c r="L643" s="51"/>
      <c r="M643" s="51"/>
      <c r="N643" s="51"/>
      <c r="O643" s="51"/>
      <c r="P643" s="51"/>
      <c r="Q643" s="51"/>
      <c r="R643" s="51"/>
      <c r="S643" s="51"/>
      <c r="T643" s="51"/>
      <c r="U643" s="51"/>
      <c r="V643" s="51"/>
      <c r="W643" s="51"/>
      <c r="X643" s="51"/>
      <c r="Y643" s="51"/>
      <c r="Z643" s="51"/>
      <c r="AA643" s="51"/>
      <c r="AB643" s="51"/>
    </row>
    <row r="644" customFormat="false" ht="15.75" hidden="false" customHeight="false" outlineLevel="0" collapsed="false">
      <c r="A644" s="51"/>
      <c r="B644" s="51"/>
      <c r="C644" s="6"/>
      <c r="D644" s="49"/>
      <c r="E644" s="51"/>
      <c r="F644" s="6"/>
      <c r="G644" s="6"/>
      <c r="H644" s="6"/>
      <c r="I644" s="6"/>
      <c r="J644" s="6"/>
      <c r="K644" s="51"/>
      <c r="L644" s="51"/>
      <c r="M644" s="51"/>
      <c r="N644" s="51"/>
      <c r="O644" s="51"/>
      <c r="P644" s="51"/>
      <c r="Q644" s="51"/>
      <c r="R644" s="51"/>
      <c r="S644" s="51"/>
      <c r="T644" s="51"/>
      <c r="U644" s="51"/>
      <c r="V644" s="51"/>
      <c r="W644" s="51"/>
      <c r="X644" s="51"/>
      <c r="Y644" s="51"/>
      <c r="Z644" s="51"/>
      <c r="AA644" s="51"/>
      <c r="AB644" s="51"/>
    </row>
    <row r="645" customFormat="false" ht="15.75" hidden="false" customHeight="false" outlineLevel="0" collapsed="false">
      <c r="A645" s="51"/>
      <c r="B645" s="51"/>
      <c r="C645" s="6"/>
      <c r="D645" s="49"/>
      <c r="E645" s="51"/>
      <c r="F645" s="6"/>
      <c r="G645" s="6"/>
      <c r="H645" s="6"/>
      <c r="I645" s="6"/>
      <c r="J645" s="6"/>
      <c r="K645" s="51"/>
      <c r="L645" s="51"/>
      <c r="M645" s="51"/>
      <c r="N645" s="51"/>
      <c r="O645" s="51"/>
      <c r="P645" s="51"/>
      <c r="Q645" s="51"/>
      <c r="R645" s="51"/>
      <c r="S645" s="51"/>
      <c r="T645" s="51"/>
      <c r="U645" s="51"/>
      <c r="V645" s="51"/>
      <c r="W645" s="51"/>
      <c r="X645" s="51"/>
      <c r="Y645" s="51"/>
      <c r="Z645" s="51"/>
      <c r="AA645" s="51"/>
      <c r="AB645" s="51"/>
    </row>
    <row r="646" customFormat="false" ht="15.75" hidden="false" customHeight="false" outlineLevel="0" collapsed="false">
      <c r="A646" s="51"/>
      <c r="B646" s="51"/>
      <c r="C646" s="6"/>
      <c r="D646" s="49"/>
      <c r="E646" s="51"/>
      <c r="F646" s="6"/>
      <c r="G646" s="6"/>
      <c r="H646" s="6"/>
      <c r="I646" s="6"/>
      <c r="J646" s="6"/>
      <c r="K646" s="51"/>
      <c r="L646" s="51"/>
      <c r="M646" s="51"/>
      <c r="N646" s="51"/>
      <c r="O646" s="51"/>
      <c r="P646" s="51"/>
      <c r="Q646" s="51"/>
      <c r="R646" s="51"/>
      <c r="S646" s="51"/>
      <c r="T646" s="51"/>
      <c r="U646" s="51"/>
      <c r="V646" s="51"/>
      <c r="W646" s="51"/>
      <c r="X646" s="51"/>
      <c r="Y646" s="51"/>
      <c r="Z646" s="51"/>
      <c r="AA646" s="51"/>
      <c r="AB646" s="51"/>
    </row>
    <row r="647" customFormat="false" ht="15.75" hidden="false" customHeight="false" outlineLevel="0" collapsed="false">
      <c r="A647" s="51"/>
      <c r="B647" s="51"/>
      <c r="C647" s="6"/>
      <c r="D647" s="49"/>
      <c r="E647" s="51"/>
      <c r="F647" s="6"/>
      <c r="G647" s="6"/>
      <c r="H647" s="6"/>
      <c r="I647" s="6"/>
      <c r="J647" s="6"/>
      <c r="K647" s="51"/>
      <c r="L647" s="51"/>
      <c r="M647" s="51"/>
      <c r="N647" s="51"/>
      <c r="O647" s="51"/>
      <c r="P647" s="51"/>
      <c r="Q647" s="51"/>
      <c r="R647" s="51"/>
      <c r="S647" s="51"/>
      <c r="T647" s="51"/>
      <c r="U647" s="51"/>
      <c r="V647" s="51"/>
      <c r="W647" s="51"/>
      <c r="X647" s="51"/>
      <c r="Y647" s="51"/>
      <c r="Z647" s="51"/>
      <c r="AA647" s="51"/>
      <c r="AB647" s="51"/>
    </row>
    <row r="648" customFormat="false" ht="15.75" hidden="false" customHeight="false" outlineLevel="0" collapsed="false">
      <c r="A648" s="51"/>
      <c r="B648" s="51"/>
      <c r="C648" s="6"/>
      <c r="D648" s="49"/>
      <c r="E648" s="51"/>
      <c r="F648" s="6"/>
      <c r="G648" s="6"/>
      <c r="H648" s="6"/>
      <c r="I648" s="6"/>
      <c r="J648" s="6"/>
      <c r="K648" s="51"/>
      <c r="L648" s="51"/>
      <c r="M648" s="51"/>
      <c r="N648" s="51"/>
      <c r="O648" s="51"/>
      <c r="P648" s="51"/>
      <c r="Q648" s="51"/>
      <c r="R648" s="51"/>
      <c r="S648" s="51"/>
      <c r="T648" s="51"/>
      <c r="U648" s="51"/>
      <c r="V648" s="51"/>
      <c r="W648" s="51"/>
      <c r="X648" s="51"/>
      <c r="Y648" s="51"/>
      <c r="Z648" s="51"/>
      <c r="AA648" s="51"/>
      <c r="AB648" s="51"/>
    </row>
    <row r="649" customFormat="false" ht="15.75" hidden="false" customHeight="false" outlineLevel="0" collapsed="false">
      <c r="A649" s="51"/>
      <c r="B649" s="51"/>
      <c r="C649" s="6"/>
      <c r="D649" s="49"/>
      <c r="E649" s="51"/>
      <c r="F649" s="6"/>
      <c r="G649" s="6"/>
      <c r="H649" s="6"/>
      <c r="I649" s="6"/>
      <c r="J649" s="6"/>
      <c r="K649" s="51"/>
      <c r="L649" s="51"/>
      <c r="M649" s="51"/>
      <c r="N649" s="51"/>
      <c r="O649" s="51"/>
      <c r="P649" s="51"/>
      <c r="Q649" s="51"/>
      <c r="R649" s="51"/>
      <c r="S649" s="51"/>
      <c r="T649" s="51"/>
      <c r="U649" s="51"/>
      <c r="V649" s="51"/>
      <c r="W649" s="51"/>
      <c r="X649" s="51"/>
      <c r="Y649" s="51"/>
      <c r="Z649" s="51"/>
      <c r="AA649" s="51"/>
      <c r="AB649" s="51"/>
    </row>
    <row r="650" customFormat="false" ht="15.75" hidden="false" customHeight="false" outlineLevel="0" collapsed="false">
      <c r="A650" s="51"/>
      <c r="B650" s="51"/>
      <c r="C650" s="6"/>
      <c r="D650" s="49"/>
      <c r="E650" s="51"/>
      <c r="F650" s="6"/>
      <c r="G650" s="6"/>
      <c r="H650" s="6"/>
      <c r="I650" s="6"/>
      <c r="J650" s="6"/>
      <c r="K650" s="51"/>
      <c r="L650" s="51"/>
      <c r="M650" s="51"/>
      <c r="N650" s="51"/>
      <c r="O650" s="51"/>
      <c r="P650" s="51"/>
      <c r="Q650" s="51"/>
      <c r="R650" s="51"/>
      <c r="S650" s="51"/>
      <c r="T650" s="51"/>
      <c r="U650" s="51"/>
      <c r="V650" s="51"/>
      <c r="W650" s="51"/>
      <c r="X650" s="51"/>
      <c r="Y650" s="51"/>
      <c r="Z650" s="51"/>
      <c r="AA650" s="51"/>
      <c r="AB650" s="51"/>
    </row>
    <row r="651" customFormat="false" ht="15.75" hidden="false" customHeight="false" outlineLevel="0" collapsed="false">
      <c r="A651" s="51"/>
      <c r="B651" s="51"/>
      <c r="C651" s="6"/>
      <c r="D651" s="49"/>
      <c r="E651" s="51"/>
      <c r="F651" s="6"/>
      <c r="G651" s="6"/>
      <c r="H651" s="6"/>
      <c r="I651" s="6"/>
      <c r="J651" s="6"/>
      <c r="K651" s="51"/>
      <c r="L651" s="51"/>
      <c r="M651" s="51"/>
      <c r="N651" s="51"/>
      <c r="O651" s="51"/>
      <c r="P651" s="51"/>
      <c r="Q651" s="51"/>
      <c r="R651" s="51"/>
      <c r="S651" s="51"/>
      <c r="T651" s="51"/>
      <c r="U651" s="51"/>
      <c r="V651" s="51"/>
      <c r="W651" s="51"/>
      <c r="X651" s="51"/>
      <c r="Y651" s="51"/>
      <c r="Z651" s="51"/>
      <c r="AA651" s="51"/>
      <c r="AB651" s="51"/>
    </row>
    <row r="652" customFormat="false" ht="15.75" hidden="false" customHeight="false" outlineLevel="0" collapsed="false">
      <c r="A652" s="51"/>
      <c r="B652" s="51"/>
      <c r="C652" s="6"/>
      <c r="D652" s="49"/>
      <c r="E652" s="51"/>
      <c r="F652" s="6"/>
      <c r="G652" s="6"/>
      <c r="H652" s="6"/>
      <c r="I652" s="6"/>
      <c r="J652" s="6"/>
      <c r="K652" s="51"/>
      <c r="L652" s="51"/>
      <c r="M652" s="51"/>
      <c r="N652" s="51"/>
      <c r="O652" s="51"/>
      <c r="P652" s="51"/>
      <c r="Q652" s="51"/>
      <c r="R652" s="51"/>
      <c r="S652" s="51"/>
      <c r="T652" s="51"/>
      <c r="U652" s="51"/>
      <c r="V652" s="51"/>
      <c r="W652" s="51"/>
      <c r="X652" s="51"/>
      <c r="Y652" s="51"/>
      <c r="Z652" s="51"/>
      <c r="AA652" s="51"/>
      <c r="AB652" s="51"/>
    </row>
    <row r="653" customFormat="false" ht="15.75" hidden="false" customHeight="false" outlineLevel="0" collapsed="false">
      <c r="A653" s="51"/>
      <c r="B653" s="51"/>
      <c r="C653" s="6"/>
      <c r="D653" s="49"/>
      <c r="E653" s="51"/>
      <c r="F653" s="6"/>
      <c r="G653" s="6"/>
      <c r="H653" s="6"/>
      <c r="I653" s="6"/>
      <c r="J653" s="6"/>
      <c r="K653" s="51"/>
      <c r="L653" s="51"/>
      <c r="M653" s="51"/>
      <c r="N653" s="51"/>
      <c r="O653" s="51"/>
      <c r="P653" s="51"/>
      <c r="Q653" s="51"/>
      <c r="R653" s="51"/>
      <c r="S653" s="51"/>
      <c r="T653" s="51"/>
      <c r="U653" s="51"/>
      <c r="V653" s="51"/>
      <c r="W653" s="51"/>
      <c r="X653" s="51"/>
      <c r="Y653" s="51"/>
      <c r="Z653" s="51"/>
      <c r="AA653" s="51"/>
      <c r="AB653" s="51"/>
    </row>
    <row r="654" customFormat="false" ht="15.75" hidden="false" customHeight="false" outlineLevel="0" collapsed="false">
      <c r="A654" s="51"/>
      <c r="B654" s="51"/>
      <c r="C654" s="6"/>
      <c r="D654" s="49"/>
      <c r="E654" s="51"/>
      <c r="F654" s="6"/>
      <c r="G654" s="6"/>
      <c r="H654" s="6"/>
      <c r="I654" s="6"/>
      <c r="J654" s="6"/>
      <c r="K654" s="51"/>
      <c r="L654" s="51"/>
      <c r="M654" s="51"/>
      <c r="N654" s="51"/>
      <c r="O654" s="51"/>
      <c r="P654" s="51"/>
      <c r="Q654" s="51"/>
      <c r="R654" s="51"/>
      <c r="S654" s="51"/>
      <c r="T654" s="51"/>
      <c r="U654" s="51"/>
      <c r="V654" s="51"/>
      <c r="W654" s="51"/>
      <c r="X654" s="51"/>
      <c r="Y654" s="51"/>
      <c r="Z654" s="51"/>
      <c r="AA654" s="51"/>
      <c r="AB654" s="51"/>
    </row>
    <row r="655" customFormat="false" ht="15.75" hidden="false" customHeight="false" outlineLevel="0" collapsed="false">
      <c r="A655" s="51"/>
      <c r="B655" s="51"/>
      <c r="C655" s="6"/>
      <c r="D655" s="49"/>
      <c r="E655" s="51"/>
      <c r="F655" s="6"/>
      <c r="G655" s="6"/>
      <c r="H655" s="6"/>
      <c r="I655" s="6"/>
      <c r="J655" s="6"/>
      <c r="K655" s="51"/>
      <c r="L655" s="51"/>
      <c r="M655" s="51"/>
      <c r="N655" s="51"/>
      <c r="O655" s="51"/>
      <c r="P655" s="51"/>
      <c r="Q655" s="51"/>
      <c r="R655" s="51"/>
      <c r="S655" s="51"/>
      <c r="T655" s="51"/>
      <c r="U655" s="51"/>
      <c r="V655" s="51"/>
      <c r="W655" s="51"/>
      <c r="X655" s="51"/>
      <c r="Y655" s="51"/>
      <c r="Z655" s="51"/>
      <c r="AA655" s="51"/>
      <c r="AB655" s="51"/>
    </row>
    <row r="656" customFormat="false" ht="15.75" hidden="false" customHeight="false" outlineLevel="0" collapsed="false">
      <c r="A656" s="51"/>
      <c r="B656" s="51"/>
      <c r="C656" s="6"/>
      <c r="D656" s="49"/>
      <c r="E656" s="51"/>
      <c r="F656" s="6"/>
      <c r="G656" s="6"/>
      <c r="H656" s="6"/>
      <c r="I656" s="6"/>
      <c r="J656" s="6"/>
      <c r="K656" s="51"/>
      <c r="L656" s="51"/>
      <c r="M656" s="51"/>
      <c r="N656" s="51"/>
      <c r="O656" s="51"/>
      <c r="P656" s="51"/>
      <c r="Q656" s="51"/>
      <c r="R656" s="51"/>
      <c r="S656" s="51"/>
      <c r="T656" s="51"/>
      <c r="U656" s="51"/>
      <c r="V656" s="51"/>
      <c r="W656" s="51"/>
      <c r="X656" s="51"/>
      <c r="Y656" s="51"/>
      <c r="Z656" s="51"/>
      <c r="AA656" s="51"/>
      <c r="AB656" s="51"/>
    </row>
    <row r="657" customFormat="false" ht="15.75" hidden="false" customHeight="false" outlineLevel="0" collapsed="false">
      <c r="A657" s="51"/>
      <c r="B657" s="51"/>
      <c r="C657" s="6"/>
      <c r="D657" s="49"/>
      <c r="E657" s="51"/>
      <c r="F657" s="6"/>
      <c r="G657" s="6"/>
      <c r="H657" s="6"/>
      <c r="I657" s="6"/>
      <c r="J657" s="6"/>
      <c r="K657" s="51"/>
      <c r="L657" s="51"/>
      <c r="M657" s="51"/>
      <c r="N657" s="51"/>
      <c r="O657" s="51"/>
      <c r="P657" s="51"/>
      <c r="Q657" s="51"/>
      <c r="R657" s="51"/>
      <c r="S657" s="51"/>
      <c r="T657" s="51"/>
      <c r="U657" s="51"/>
      <c r="V657" s="51"/>
      <c r="W657" s="51"/>
      <c r="X657" s="51"/>
      <c r="Y657" s="51"/>
      <c r="Z657" s="51"/>
      <c r="AA657" s="51"/>
      <c r="AB657" s="51"/>
    </row>
    <row r="658" customFormat="false" ht="15.75" hidden="false" customHeight="false" outlineLevel="0" collapsed="false">
      <c r="A658" s="51"/>
      <c r="B658" s="51"/>
      <c r="C658" s="6"/>
      <c r="D658" s="49"/>
      <c r="E658" s="51"/>
      <c r="F658" s="6"/>
      <c r="G658" s="6"/>
      <c r="H658" s="6"/>
      <c r="I658" s="6"/>
      <c r="J658" s="6"/>
      <c r="K658" s="51"/>
      <c r="L658" s="51"/>
      <c r="M658" s="51"/>
      <c r="N658" s="51"/>
      <c r="O658" s="51"/>
      <c r="P658" s="51"/>
      <c r="Q658" s="51"/>
      <c r="R658" s="51"/>
      <c r="S658" s="51"/>
      <c r="T658" s="51"/>
      <c r="U658" s="51"/>
      <c r="V658" s="51"/>
      <c r="W658" s="51"/>
      <c r="X658" s="51"/>
      <c r="Y658" s="51"/>
      <c r="Z658" s="51"/>
      <c r="AA658" s="51"/>
      <c r="AB658" s="51"/>
    </row>
    <row r="659" customFormat="false" ht="15.75" hidden="false" customHeight="false" outlineLevel="0" collapsed="false">
      <c r="A659" s="51"/>
      <c r="B659" s="51"/>
      <c r="C659" s="6"/>
      <c r="D659" s="49"/>
      <c r="E659" s="51"/>
      <c r="F659" s="6"/>
      <c r="G659" s="6"/>
      <c r="H659" s="6"/>
      <c r="I659" s="6"/>
      <c r="J659" s="6"/>
      <c r="K659" s="51"/>
      <c r="L659" s="51"/>
      <c r="M659" s="51"/>
      <c r="N659" s="51"/>
      <c r="O659" s="51"/>
      <c r="P659" s="51"/>
      <c r="Q659" s="51"/>
      <c r="R659" s="51"/>
      <c r="S659" s="51"/>
      <c r="T659" s="51"/>
      <c r="U659" s="51"/>
      <c r="V659" s="51"/>
      <c r="W659" s="51"/>
      <c r="X659" s="51"/>
      <c r="Y659" s="51"/>
      <c r="Z659" s="51"/>
      <c r="AA659" s="51"/>
      <c r="AB659" s="51"/>
    </row>
    <row r="660" customFormat="false" ht="15.75" hidden="false" customHeight="false" outlineLevel="0" collapsed="false">
      <c r="A660" s="51"/>
      <c r="B660" s="51"/>
      <c r="C660" s="6"/>
      <c r="D660" s="49"/>
      <c r="E660" s="51"/>
      <c r="F660" s="6"/>
      <c r="G660" s="6"/>
      <c r="H660" s="6"/>
      <c r="I660" s="6"/>
      <c r="J660" s="6"/>
      <c r="K660" s="51"/>
      <c r="L660" s="51"/>
      <c r="M660" s="51"/>
      <c r="N660" s="51"/>
      <c r="O660" s="51"/>
      <c r="P660" s="51"/>
      <c r="Q660" s="51"/>
      <c r="R660" s="51"/>
      <c r="S660" s="51"/>
      <c r="T660" s="51"/>
      <c r="U660" s="51"/>
      <c r="V660" s="51"/>
      <c r="W660" s="51"/>
      <c r="X660" s="51"/>
      <c r="Y660" s="51"/>
      <c r="Z660" s="51"/>
      <c r="AA660" s="51"/>
      <c r="AB660" s="51"/>
    </row>
    <row r="661" customFormat="false" ht="15.75" hidden="false" customHeight="false" outlineLevel="0" collapsed="false">
      <c r="A661" s="51"/>
      <c r="B661" s="51"/>
      <c r="C661" s="6"/>
      <c r="D661" s="49"/>
      <c r="E661" s="51"/>
      <c r="F661" s="6"/>
      <c r="G661" s="6"/>
      <c r="H661" s="6"/>
      <c r="I661" s="6"/>
      <c r="J661" s="6"/>
      <c r="K661" s="51"/>
      <c r="L661" s="51"/>
      <c r="M661" s="51"/>
      <c r="N661" s="51"/>
      <c r="O661" s="51"/>
      <c r="P661" s="51"/>
      <c r="Q661" s="51"/>
      <c r="R661" s="51"/>
      <c r="S661" s="51"/>
      <c r="T661" s="51"/>
      <c r="U661" s="51"/>
      <c r="V661" s="51"/>
      <c r="W661" s="51"/>
      <c r="X661" s="51"/>
      <c r="Y661" s="51"/>
      <c r="Z661" s="51"/>
      <c r="AA661" s="51"/>
      <c r="AB661" s="51"/>
    </row>
    <row r="662" customFormat="false" ht="15.75" hidden="false" customHeight="false" outlineLevel="0" collapsed="false">
      <c r="A662" s="51"/>
      <c r="B662" s="51"/>
      <c r="C662" s="6"/>
      <c r="D662" s="49"/>
      <c r="E662" s="51"/>
      <c r="F662" s="6"/>
      <c r="G662" s="6"/>
      <c r="H662" s="6"/>
      <c r="I662" s="6"/>
      <c r="J662" s="6"/>
      <c r="K662" s="51"/>
      <c r="L662" s="51"/>
      <c r="M662" s="51"/>
      <c r="N662" s="51"/>
      <c r="O662" s="51"/>
      <c r="P662" s="51"/>
      <c r="Q662" s="51"/>
      <c r="R662" s="51"/>
      <c r="S662" s="51"/>
      <c r="T662" s="51"/>
      <c r="U662" s="51"/>
      <c r="V662" s="51"/>
      <c r="W662" s="51"/>
      <c r="X662" s="51"/>
      <c r="Y662" s="51"/>
      <c r="Z662" s="51"/>
      <c r="AA662" s="51"/>
      <c r="AB662" s="51"/>
    </row>
    <row r="663" customFormat="false" ht="15.75" hidden="false" customHeight="false" outlineLevel="0" collapsed="false">
      <c r="A663" s="51"/>
      <c r="B663" s="51"/>
      <c r="C663" s="6"/>
      <c r="D663" s="49"/>
      <c r="E663" s="51"/>
      <c r="F663" s="6"/>
      <c r="G663" s="6"/>
      <c r="H663" s="6"/>
      <c r="I663" s="6"/>
      <c r="J663" s="6"/>
      <c r="K663" s="51"/>
      <c r="L663" s="51"/>
      <c r="M663" s="51"/>
      <c r="N663" s="51"/>
      <c r="O663" s="51"/>
      <c r="P663" s="51"/>
      <c r="Q663" s="51"/>
      <c r="R663" s="51"/>
      <c r="S663" s="51"/>
      <c r="T663" s="51"/>
      <c r="U663" s="51"/>
      <c r="V663" s="51"/>
      <c r="W663" s="51"/>
      <c r="X663" s="51"/>
      <c r="Y663" s="51"/>
      <c r="Z663" s="51"/>
      <c r="AA663" s="51"/>
      <c r="AB663" s="51"/>
    </row>
    <row r="664" customFormat="false" ht="15.75" hidden="false" customHeight="false" outlineLevel="0" collapsed="false">
      <c r="A664" s="51"/>
      <c r="B664" s="51"/>
      <c r="C664" s="6"/>
      <c r="D664" s="49"/>
      <c r="E664" s="51"/>
      <c r="F664" s="6"/>
      <c r="G664" s="6"/>
      <c r="H664" s="6"/>
      <c r="I664" s="6"/>
      <c r="J664" s="6"/>
      <c r="K664" s="51"/>
      <c r="L664" s="51"/>
      <c r="M664" s="51"/>
      <c r="N664" s="51"/>
      <c r="O664" s="51"/>
      <c r="P664" s="51"/>
      <c r="Q664" s="51"/>
      <c r="R664" s="51"/>
      <c r="S664" s="51"/>
      <c r="T664" s="51"/>
      <c r="U664" s="51"/>
      <c r="V664" s="51"/>
      <c r="W664" s="51"/>
      <c r="X664" s="51"/>
      <c r="Y664" s="51"/>
      <c r="Z664" s="51"/>
      <c r="AA664" s="51"/>
      <c r="AB664" s="51"/>
    </row>
    <row r="665" customFormat="false" ht="15.75" hidden="false" customHeight="false" outlineLevel="0" collapsed="false">
      <c r="A665" s="51"/>
      <c r="B665" s="51"/>
      <c r="C665" s="6"/>
      <c r="D665" s="49"/>
      <c r="E665" s="51"/>
      <c r="F665" s="6"/>
      <c r="G665" s="6"/>
      <c r="H665" s="6"/>
      <c r="I665" s="6"/>
      <c r="J665" s="6"/>
      <c r="K665" s="51"/>
      <c r="L665" s="51"/>
      <c r="M665" s="51"/>
      <c r="N665" s="51"/>
      <c r="O665" s="51"/>
      <c r="P665" s="51"/>
      <c r="Q665" s="51"/>
      <c r="R665" s="51"/>
      <c r="S665" s="51"/>
      <c r="T665" s="51"/>
      <c r="U665" s="51"/>
      <c r="V665" s="51"/>
      <c r="W665" s="51"/>
      <c r="X665" s="51"/>
      <c r="Y665" s="51"/>
      <c r="Z665" s="51"/>
      <c r="AA665" s="51"/>
      <c r="AB665" s="51"/>
    </row>
    <row r="666" customFormat="false" ht="15.75" hidden="false" customHeight="false" outlineLevel="0" collapsed="false">
      <c r="A666" s="51"/>
      <c r="B666" s="51"/>
      <c r="C666" s="6"/>
      <c r="D666" s="49"/>
      <c r="E666" s="51"/>
      <c r="F666" s="6"/>
      <c r="G666" s="6"/>
      <c r="H666" s="6"/>
      <c r="I666" s="6"/>
      <c r="J666" s="6"/>
      <c r="K666" s="51"/>
      <c r="L666" s="51"/>
      <c r="M666" s="51"/>
      <c r="N666" s="51"/>
      <c r="O666" s="51"/>
      <c r="P666" s="51"/>
      <c r="Q666" s="51"/>
      <c r="R666" s="51"/>
      <c r="S666" s="51"/>
      <c r="T666" s="51"/>
      <c r="U666" s="51"/>
      <c r="V666" s="51"/>
      <c r="W666" s="51"/>
      <c r="X666" s="51"/>
      <c r="Y666" s="51"/>
      <c r="Z666" s="51"/>
      <c r="AA666" s="51"/>
      <c r="AB666" s="51"/>
    </row>
    <row r="667" customFormat="false" ht="15.75" hidden="false" customHeight="false" outlineLevel="0" collapsed="false">
      <c r="A667" s="51"/>
      <c r="B667" s="51"/>
      <c r="C667" s="6"/>
      <c r="D667" s="49"/>
      <c r="E667" s="51"/>
      <c r="F667" s="6"/>
      <c r="G667" s="6"/>
      <c r="H667" s="6"/>
      <c r="I667" s="6"/>
      <c r="J667" s="6"/>
      <c r="K667" s="51"/>
      <c r="L667" s="51"/>
      <c r="M667" s="51"/>
      <c r="N667" s="51"/>
      <c r="O667" s="51"/>
      <c r="P667" s="51"/>
      <c r="Q667" s="51"/>
      <c r="R667" s="51"/>
      <c r="S667" s="51"/>
      <c r="T667" s="51"/>
      <c r="U667" s="51"/>
      <c r="V667" s="51"/>
      <c r="W667" s="51"/>
      <c r="X667" s="51"/>
      <c r="Y667" s="51"/>
      <c r="Z667" s="51"/>
      <c r="AA667" s="51"/>
      <c r="AB667" s="51"/>
    </row>
    <row r="668" customFormat="false" ht="15.75" hidden="false" customHeight="false" outlineLevel="0" collapsed="false">
      <c r="A668" s="51"/>
      <c r="B668" s="51"/>
      <c r="C668" s="6"/>
      <c r="D668" s="49"/>
      <c r="E668" s="51"/>
      <c r="F668" s="6"/>
      <c r="G668" s="6"/>
      <c r="H668" s="6"/>
      <c r="I668" s="6"/>
      <c r="J668" s="6"/>
      <c r="K668" s="51"/>
      <c r="L668" s="51"/>
      <c r="M668" s="51"/>
      <c r="N668" s="51"/>
      <c r="O668" s="51"/>
      <c r="P668" s="51"/>
      <c r="Q668" s="51"/>
      <c r="R668" s="51"/>
      <c r="S668" s="51"/>
      <c r="T668" s="51"/>
      <c r="U668" s="51"/>
      <c r="V668" s="51"/>
      <c r="W668" s="51"/>
      <c r="X668" s="51"/>
      <c r="Y668" s="51"/>
      <c r="Z668" s="51"/>
      <c r="AA668" s="51"/>
      <c r="AB668" s="51"/>
    </row>
    <row r="669" customFormat="false" ht="15.75" hidden="false" customHeight="false" outlineLevel="0" collapsed="false">
      <c r="A669" s="51"/>
      <c r="B669" s="51"/>
      <c r="C669" s="6"/>
      <c r="D669" s="49"/>
      <c r="E669" s="51"/>
      <c r="F669" s="6"/>
      <c r="G669" s="6"/>
      <c r="H669" s="6"/>
      <c r="I669" s="6"/>
      <c r="J669" s="6"/>
      <c r="K669" s="51"/>
      <c r="L669" s="51"/>
      <c r="M669" s="51"/>
      <c r="N669" s="51"/>
      <c r="O669" s="51"/>
      <c r="P669" s="51"/>
      <c r="Q669" s="51"/>
      <c r="R669" s="51"/>
      <c r="S669" s="51"/>
      <c r="T669" s="51"/>
      <c r="U669" s="51"/>
      <c r="V669" s="51"/>
      <c r="W669" s="51"/>
      <c r="X669" s="51"/>
      <c r="Y669" s="51"/>
      <c r="Z669" s="51"/>
      <c r="AA669" s="51"/>
      <c r="AB669" s="51"/>
    </row>
    <row r="670" customFormat="false" ht="15.75" hidden="false" customHeight="false" outlineLevel="0" collapsed="false">
      <c r="A670" s="51"/>
      <c r="B670" s="51"/>
      <c r="C670" s="6"/>
      <c r="D670" s="49"/>
      <c r="E670" s="51"/>
      <c r="F670" s="6"/>
      <c r="G670" s="6"/>
      <c r="H670" s="6"/>
      <c r="I670" s="6"/>
      <c r="J670" s="6"/>
      <c r="K670" s="51"/>
      <c r="L670" s="51"/>
      <c r="M670" s="51"/>
      <c r="N670" s="51"/>
      <c r="O670" s="51"/>
      <c r="P670" s="51"/>
      <c r="Q670" s="51"/>
      <c r="R670" s="51"/>
      <c r="S670" s="51"/>
      <c r="T670" s="51"/>
      <c r="U670" s="51"/>
      <c r="V670" s="51"/>
      <c r="W670" s="51"/>
      <c r="X670" s="51"/>
      <c r="Y670" s="51"/>
      <c r="Z670" s="51"/>
      <c r="AA670" s="51"/>
      <c r="AB670" s="51"/>
    </row>
    <row r="671" customFormat="false" ht="15.75" hidden="false" customHeight="false" outlineLevel="0" collapsed="false">
      <c r="A671" s="51"/>
      <c r="B671" s="51"/>
      <c r="C671" s="6"/>
      <c r="D671" s="49"/>
      <c r="E671" s="51"/>
      <c r="F671" s="6"/>
      <c r="G671" s="6"/>
      <c r="H671" s="6"/>
      <c r="I671" s="6"/>
      <c r="J671" s="6"/>
      <c r="K671" s="51"/>
      <c r="L671" s="51"/>
      <c r="M671" s="51"/>
      <c r="N671" s="51"/>
      <c r="O671" s="51"/>
      <c r="P671" s="51"/>
      <c r="Q671" s="51"/>
      <c r="R671" s="51"/>
      <c r="S671" s="51"/>
      <c r="T671" s="51"/>
      <c r="U671" s="51"/>
      <c r="V671" s="51"/>
      <c r="W671" s="51"/>
      <c r="X671" s="51"/>
      <c r="Y671" s="51"/>
      <c r="Z671" s="51"/>
      <c r="AA671" s="51"/>
      <c r="AB671" s="51"/>
    </row>
    <row r="672" customFormat="false" ht="15.75" hidden="false" customHeight="false" outlineLevel="0" collapsed="false">
      <c r="A672" s="51"/>
      <c r="B672" s="51"/>
      <c r="C672" s="6"/>
      <c r="D672" s="49"/>
      <c r="E672" s="51"/>
      <c r="F672" s="6"/>
      <c r="G672" s="6"/>
      <c r="H672" s="6"/>
      <c r="I672" s="6"/>
      <c r="J672" s="6"/>
      <c r="K672" s="51"/>
      <c r="L672" s="51"/>
      <c r="M672" s="51"/>
      <c r="N672" s="51"/>
      <c r="O672" s="51"/>
      <c r="P672" s="51"/>
      <c r="Q672" s="51"/>
      <c r="R672" s="51"/>
      <c r="S672" s="51"/>
      <c r="T672" s="51"/>
      <c r="U672" s="51"/>
      <c r="V672" s="51"/>
      <c r="W672" s="51"/>
      <c r="X672" s="51"/>
      <c r="Y672" s="51"/>
      <c r="Z672" s="51"/>
      <c r="AA672" s="51"/>
      <c r="AB672" s="51"/>
    </row>
    <row r="673" customFormat="false" ht="15.75" hidden="false" customHeight="false" outlineLevel="0" collapsed="false">
      <c r="A673" s="51"/>
      <c r="B673" s="51"/>
      <c r="C673" s="6"/>
      <c r="D673" s="49"/>
      <c r="E673" s="51"/>
      <c r="F673" s="6"/>
      <c r="G673" s="6"/>
      <c r="H673" s="6"/>
      <c r="I673" s="6"/>
      <c r="J673" s="6"/>
      <c r="K673" s="51"/>
      <c r="L673" s="51"/>
      <c r="M673" s="51"/>
      <c r="N673" s="51"/>
      <c r="O673" s="51"/>
      <c r="P673" s="51"/>
      <c r="Q673" s="51"/>
      <c r="R673" s="51"/>
      <c r="S673" s="51"/>
      <c r="T673" s="51"/>
      <c r="U673" s="51"/>
      <c r="V673" s="51"/>
      <c r="W673" s="51"/>
      <c r="X673" s="51"/>
      <c r="Y673" s="51"/>
      <c r="Z673" s="51"/>
      <c r="AA673" s="51"/>
      <c r="AB673" s="51"/>
    </row>
    <row r="674" customFormat="false" ht="15.75" hidden="false" customHeight="false" outlineLevel="0" collapsed="false">
      <c r="A674" s="51"/>
      <c r="B674" s="51"/>
      <c r="C674" s="6"/>
      <c r="D674" s="49"/>
      <c r="E674" s="51"/>
      <c r="F674" s="6"/>
      <c r="G674" s="6"/>
      <c r="H674" s="6"/>
      <c r="I674" s="6"/>
      <c r="J674" s="6"/>
      <c r="K674" s="51"/>
      <c r="L674" s="51"/>
      <c r="M674" s="51"/>
      <c r="N674" s="51"/>
      <c r="O674" s="51"/>
      <c r="P674" s="51"/>
      <c r="Q674" s="51"/>
      <c r="R674" s="51"/>
      <c r="S674" s="51"/>
      <c r="T674" s="51"/>
      <c r="U674" s="51"/>
      <c r="V674" s="51"/>
      <c r="W674" s="51"/>
      <c r="X674" s="51"/>
      <c r="Y674" s="51"/>
      <c r="Z674" s="51"/>
      <c r="AA674" s="51"/>
      <c r="AB674" s="51"/>
    </row>
    <row r="675" customFormat="false" ht="15.75" hidden="false" customHeight="false" outlineLevel="0" collapsed="false">
      <c r="A675" s="51"/>
      <c r="B675" s="51"/>
      <c r="C675" s="6"/>
      <c r="D675" s="49"/>
      <c r="E675" s="51"/>
      <c r="F675" s="6"/>
      <c r="G675" s="6"/>
      <c r="H675" s="6"/>
      <c r="I675" s="6"/>
      <c r="J675" s="6"/>
      <c r="K675" s="51"/>
      <c r="L675" s="51"/>
      <c r="M675" s="51"/>
      <c r="N675" s="51"/>
      <c r="O675" s="51"/>
      <c r="P675" s="51"/>
      <c r="Q675" s="51"/>
      <c r="R675" s="51"/>
      <c r="S675" s="51"/>
      <c r="T675" s="51"/>
      <c r="U675" s="51"/>
      <c r="V675" s="51"/>
      <c r="W675" s="51"/>
      <c r="X675" s="51"/>
      <c r="Y675" s="51"/>
      <c r="Z675" s="51"/>
      <c r="AA675" s="51"/>
      <c r="AB675" s="51"/>
    </row>
    <row r="676" customFormat="false" ht="15.75" hidden="false" customHeight="false" outlineLevel="0" collapsed="false">
      <c r="A676" s="51"/>
      <c r="B676" s="51"/>
      <c r="C676" s="6"/>
      <c r="D676" s="49"/>
      <c r="E676" s="51"/>
      <c r="F676" s="6"/>
      <c r="G676" s="6"/>
      <c r="H676" s="6"/>
      <c r="I676" s="6"/>
      <c r="J676" s="6"/>
      <c r="K676" s="51"/>
      <c r="L676" s="51"/>
      <c r="M676" s="51"/>
      <c r="N676" s="51"/>
      <c r="O676" s="51"/>
      <c r="P676" s="51"/>
      <c r="Q676" s="51"/>
      <c r="R676" s="51"/>
      <c r="S676" s="51"/>
      <c r="T676" s="51"/>
      <c r="U676" s="51"/>
      <c r="V676" s="51"/>
      <c r="W676" s="51"/>
      <c r="X676" s="51"/>
      <c r="Y676" s="51"/>
      <c r="Z676" s="51"/>
      <c r="AA676" s="51"/>
      <c r="AB676" s="51"/>
    </row>
    <row r="677" customFormat="false" ht="15.75" hidden="false" customHeight="false" outlineLevel="0" collapsed="false">
      <c r="A677" s="51"/>
      <c r="B677" s="51"/>
      <c r="C677" s="6"/>
      <c r="D677" s="49"/>
      <c r="E677" s="51"/>
      <c r="F677" s="6"/>
      <c r="G677" s="6"/>
      <c r="H677" s="6"/>
      <c r="I677" s="6"/>
      <c r="J677" s="6"/>
      <c r="K677" s="51"/>
      <c r="L677" s="51"/>
      <c r="M677" s="51"/>
      <c r="N677" s="51"/>
      <c r="O677" s="51"/>
      <c r="P677" s="51"/>
      <c r="Q677" s="51"/>
      <c r="R677" s="51"/>
      <c r="S677" s="51"/>
      <c r="T677" s="51"/>
      <c r="U677" s="51"/>
      <c r="V677" s="51"/>
      <c r="W677" s="51"/>
      <c r="X677" s="51"/>
      <c r="Y677" s="51"/>
      <c r="Z677" s="51"/>
      <c r="AA677" s="51"/>
      <c r="AB677" s="51"/>
    </row>
    <row r="678" customFormat="false" ht="15.75" hidden="false" customHeight="false" outlineLevel="0" collapsed="false">
      <c r="A678" s="51"/>
      <c r="B678" s="51"/>
      <c r="C678" s="6"/>
      <c r="D678" s="49"/>
      <c r="E678" s="51"/>
      <c r="F678" s="6"/>
      <c r="G678" s="6"/>
      <c r="H678" s="6"/>
      <c r="I678" s="6"/>
      <c r="J678" s="6"/>
      <c r="K678" s="51"/>
      <c r="L678" s="51"/>
      <c r="M678" s="51"/>
      <c r="N678" s="51"/>
      <c r="O678" s="51"/>
      <c r="P678" s="51"/>
      <c r="Q678" s="51"/>
      <c r="R678" s="51"/>
      <c r="S678" s="51"/>
      <c r="T678" s="51"/>
      <c r="U678" s="51"/>
      <c r="V678" s="51"/>
      <c r="W678" s="51"/>
      <c r="X678" s="51"/>
      <c r="Y678" s="51"/>
      <c r="Z678" s="51"/>
      <c r="AA678" s="51"/>
      <c r="AB678" s="51"/>
    </row>
    <row r="679" customFormat="false" ht="15.75" hidden="false" customHeight="false" outlineLevel="0" collapsed="false">
      <c r="A679" s="51"/>
      <c r="B679" s="51"/>
      <c r="C679" s="6"/>
      <c r="D679" s="49"/>
      <c r="E679" s="51"/>
      <c r="F679" s="6"/>
      <c r="G679" s="6"/>
      <c r="H679" s="6"/>
      <c r="I679" s="6"/>
      <c r="J679" s="6"/>
      <c r="K679" s="51"/>
      <c r="L679" s="51"/>
      <c r="M679" s="51"/>
      <c r="N679" s="51"/>
      <c r="O679" s="51"/>
      <c r="P679" s="51"/>
      <c r="Q679" s="51"/>
      <c r="R679" s="51"/>
      <c r="S679" s="51"/>
      <c r="T679" s="51"/>
      <c r="U679" s="51"/>
      <c r="V679" s="51"/>
      <c r="W679" s="51"/>
      <c r="X679" s="51"/>
      <c r="Y679" s="51"/>
      <c r="Z679" s="51"/>
      <c r="AA679" s="51"/>
      <c r="AB679" s="51"/>
    </row>
    <row r="680" customFormat="false" ht="15.75" hidden="false" customHeight="false" outlineLevel="0" collapsed="false">
      <c r="A680" s="51"/>
      <c r="B680" s="51"/>
      <c r="C680" s="6"/>
      <c r="D680" s="49"/>
      <c r="E680" s="51"/>
      <c r="F680" s="6"/>
      <c r="G680" s="6"/>
      <c r="H680" s="6"/>
      <c r="I680" s="6"/>
      <c r="J680" s="6"/>
      <c r="K680" s="51"/>
      <c r="L680" s="51"/>
      <c r="M680" s="51"/>
      <c r="N680" s="51"/>
      <c r="O680" s="51"/>
      <c r="P680" s="51"/>
      <c r="Q680" s="51"/>
      <c r="R680" s="51"/>
      <c r="S680" s="51"/>
      <c r="T680" s="51"/>
      <c r="U680" s="51"/>
      <c r="V680" s="51"/>
      <c r="W680" s="51"/>
      <c r="X680" s="51"/>
      <c r="Y680" s="51"/>
      <c r="Z680" s="51"/>
      <c r="AA680" s="51"/>
      <c r="AB680" s="51"/>
    </row>
    <row r="681" customFormat="false" ht="15.75" hidden="false" customHeight="false" outlineLevel="0" collapsed="false">
      <c r="A681" s="51"/>
      <c r="B681" s="51"/>
      <c r="C681" s="6"/>
      <c r="D681" s="49"/>
      <c r="E681" s="51"/>
      <c r="F681" s="6"/>
      <c r="G681" s="6"/>
      <c r="H681" s="6"/>
      <c r="I681" s="6"/>
      <c r="J681" s="6"/>
      <c r="K681" s="51"/>
      <c r="L681" s="51"/>
      <c r="M681" s="51"/>
      <c r="N681" s="51"/>
      <c r="O681" s="51"/>
      <c r="P681" s="51"/>
      <c r="Q681" s="51"/>
      <c r="R681" s="51"/>
      <c r="S681" s="51"/>
      <c r="T681" s="51"/>
      <c r="U681" s="51"/>
      <c r="V681" s="51"/>
      <c r="W681" s="51"/>
      <c r="X681" s="51"/>
      <c r="Y681" s="51"/>
      <c r="Z681" s="51"/>
      <c r="AA681" s="51"/>
      <c r="AB681" s="51"/>
    </row>
    <row r="682" customFormat="false" ht="15.75" hidden="false" customHeight="false" outlineLevel="0" collapsed="false">
      <c r="A682" s="51"/>
      <c r="B682" s="51"/>
      <c r="C682" s="6"/>
      <c r="D682" s="49"/>
      <c r="E682" s="51"/>
      <c r="F682" s="6"/>
      <c r="G682" s="6"/>
      <c r="H682" s="6"/>
      <c r="I682" s="6"/>
      <c r="J682" s="6"/>
      <c r="K682" s="51"/>
      <c r="L682" s="51"/>
      <c r="M682" s="51"/>
      <c r="N682" s="51"/>
      <c r="O682" s="51"/>
      <c r="P682" s="51"/>
      <c r="Q682" s="51"/>
      <c r="R682" s="51"/>
      <c r="S682" s="51"/>
      <c r="T682" s="51"/>
      <c r="U682" s="51"/>
      <c r="V682" s="51"/>
      <c r="W682" s="51"/>
      <c r="X682" s="51"/>
      <c r="Y682" s="51"/>
      <c r="Z682" s="51"/>
      <c r="AA682" s="51"/>
      <c r="AB682" s="51"/>
    </row>
    <row r="683" customFormat="false" ht="15.75" hidden="false" customHeight="false" outlineLevel="0" collapsed="false">
      <c r="A683" s="51"/>
      <c r="B683" s="51"/>
      <c r="C683" s="6"/>
      <c r="D683" s="49"/>
      <c r="E683" s="51"/>
      <c r="F683" s="6"/>
      <c r="G683" s="6"/>
      <c r="H683" s="6"/>
      <c r="I683" s="6"/>
      <c r="J683" s="6"/>
      <c r="K683" s="51"/>
      <c r="L683" s="51"/>
      <c r="M683" s="51"/>
      <c r="N683" s="51"/>
      <c r="O683" s="51"/>
      <c r="P683" s="51"/>
      <c r="Q683" s="51"/>
      <c r="R683" s="51"/>
      <c r="S683" s="51"/>
      <c r="T683" s="51"/>
      <c r="U683" s="51"/>
      <c r="V683" s="51"/>
      <c r="W683" s="51"/>
      <c r="X683" s="51"/>
      <c r="Y683" s="51"/>
      <c r="Z683" s="51"/>
      <c r="AA683" s="51"/>
      <c r="AB683" s="51"/>
    </row>
    <row r="684" customFormat="false" ht="15.75" hidden="false" customHeight="false" outlineLevel="0" collapsed="false">
      <c r="A684" s="51"/>
      <c r="B684" s="51"/>
      <c r="C684" s="6"/>
      <c r="D684" s="49"/>
      <c r="E684" s="51"/>
      <c r="F684" s="6"/>
      <c r="G684" s="6"/>
      <c r="H684" s="6"/>
      <c r="I684" s="6"/>
      <c r="J684" s="6"/>
      <c r="K684" s="51"/>
      <c r="L684" s="51"/>
      <c r="M684" s="51"/>
      <c r="N684" s="51"/>
      <c r="O684" s="51"/>
      <c r="P684" s="51"/>
      <c r="Q684" s="51"/>
      <c r="R684" s="51"/>
      <c r="S684" s="51"/>
      <c r="T684" s="51"/>
      <c r="U684" s="51"/>
      <c r="V684" s="51"/>
      <c r="W684" s="51"/>
      <c r="X684" s="51"/>
      <c r="Y684" s="51"/>
      <c r="Z684" s="51"/>
      <c r="AA684" s="51"/>
      <c r="AB684" s="51"/>
    </row>
    <row r="685" customFormat="false" ht="15.75" hidden="false" customHeight="false" outlineLevel="0" collapsed="false">
      <c r="A685" s="51"/>
      <c r="B685" s="51"/>
      <c r="C685" s="6"/>
      <c r="D685" s="49"/>
      <c r="E685" s="51"/>
      <c r="F685" s="6"/>
      <c r="G685" s="6"/>
      <c r="H685" s="6"/>
      <c r="I685" s="6"/>
      <c r="J685" s="6"/>
      <c r="K685" s="51"/>
      <c r="L685" s="51"/>
      <c r="M685" s="51"/>
      <c r="N685" s="51"/>
      <c r="O685" s="51"/>
      <c r="P685" s="51"/>
      <c r="Q685" s="51"/>
      <c r="R685" s="51"/>
      <c r="S685" s="51"/>
      <c r="T685" s="51"/>
      <c r="U685" s="51"/>
      <c r="V685" s="51"/>
      <c r="W685" s="51"/>
      <c r="X685" s="51"/>
      <c r="Y685" s="51"/>
      <c r="Z685" s="51"/>
      <c r="AA685" s="51"/>
      <c r="AB685" s="51"/>
    </row>
    <row r="686" customFormat="false" ht="15.75" hidden="false" customHeight="false" outlineLevel="0" collapsed="false">
      <c r="A686" s="51"/>
      <c r="B686" s="51"/>
      <c r="C686" s="6"/>
      <c r="D686" s="49"/>
      <c r="E686" s="51"/>
      <c r="F686" s="6"/>
      <c r="G686" s="6"/>
      <c r="H686" s="6"/>
      <c r="I686" s="6"/>
      <c r="J686" s="6"/>
      <c r="K686" s="51"/>
      <c r="L686" s="51"/>
      <c r="M686" s="51"/>
      <c r="N686" s="51"/>
      <c r="O686" s="51"/>
      <c r="P686" s="51"/>
      <c r="Q686" s="51"/>
      <c r="R686" s="51"/>
      <c r="S686" s="51"/>
      <c r="T686" s="51"/>
      <c r="U686" s="51"/>
      <c r="V686" s="51"/>
      <c r="W686" s="51"/>
      <c r="X686" s="51"/>
      <c r="Y686" s="51"/>
      <c r="Z686" s="51"/>
      <c r="AA686" s="51"/>
      <c r="AB686" s="51"/>
    </row>
    <row r="687" customFormat="false" ht="15.75" hidden="false" customHeight="false" outlineLevel="0" collapsed="false">
      <c r="A687" s="51"/>
      <c r="B687" s="51"/>
      <c r="C687" s="6"/>
      <c r="D687" s="49"/>
      <c r="E687" s="51"/>
      <c r="F687" s="6"/>
      <c r="G687" s="6"/>
      <c r="H687" s="6"/>
      <c r="I687" s="6"/>
      <c r="J687" s="6"/>
      <c r="K687" s="51"/>
      <c r="L687" s="51"/>
      <c r="M687" s="51"/>
      <c r="N687" s="51"/>
      <c r="O687" s="51"/>
      <c r="P687" s="51"/>
      <c r="Q687" s="51"/>
      <c r="R687" s="51"/>
      <c r="S687" s="51"/>
      <c r="T687" s="51"/>
      <c r="U687" s="51"/>
      <c r="V687" s="51"/>
      <c r="W687" s="51"/>
      <c r="X687" s="51"/>
      <c r="Y687" s="51"/>
      <c r="Z687" s="51"/>
      <c r="AA687" s="51"/>
      <c r="AB687" s="51"/>
    </row>
    <row r="688" customFormat="false" ht="15.75" hidden="false" customHeight="false" outlineLevel="0" collapsed="false">
      <c r="A688" s="51"/>
      <c r="B688" s="51"/>
      <c r="C688" s="6"/>
      <c r="D688" s="49"/>
      <c r="E688" s="51"/>
      <c r="F688" s="6"/>
      <c r="G688" s="6"/>
      <c r="H688" s="6"/>
      <c r="I688" s="6"/>
      <c r="J688" s="6"/>
      <c r="K688" s="51"/>
      <c r="L688" s="51"/>
      <c r="M688" s="51"/>
      <c r="N688" s="51"/>
      <c r="O688" s="51"/>
      <c r="P688" s="51"/>
      <c r="Q688" s="51"/>
      <c r="R688" s="51"/>
      <c r="S688" s="51"/>
      <c r="T688" s="51"/>
      <c r="U688" s="51"/>
      <c r="V688" s="51"/>
      <c r="W688" s="51"/>
      <c r="X688" s="51"/>
      <c r="Y688" s="51"/>
      <c r="Z688" s="51"/>
      <c r="AA688" s="51"/>
      <c r="AB688" s="51"/>
    </row>
    <row r="689" customFormat="false" ht="15.75" hidden="false" customHeight="false" outlineLevel="0" collapsed="false">
      <c r="A689" s="51"/>
      <c r="B689" s="51"/>
      <c r="C689" s="6"/>
      <c r="D689" s="49"/>
      <c r="E689" s="51"/>
      <c r="F689" s="6"/>
      <c r="G689" s="6"/>
      <c r="H689" s="6"/>
      <c r="I689" s="6"/>
      <c r="J689" s="6"/>
      <c r="K689" s="51"/>
      <c r="L689" s="51"/>
      <c r="M689" s="51"/>
      <c r="N689" s="51"/>
      <c r="O689" s="51"/>
      <c r="P689" s="51"/>
      <c r="Q689" s="51"/>
      <c r="R689" s="51"/>
      <c r="S689" s="51"/>
      <c r="T689" s="51"/>
      <c r="U689" s="51"/>
      <c r="V689" s="51"/>
      <c r="W689" s="51"/>
      <c r="X689" s="51"/>
      <c r="Y689" s="51"/>
      <c r="Z689" s="51"/>
      <c r="AA689" s="51"/>
      <c r="AB689" s="51"/>
    </row>
    <row r="690" customFormat="false" ht="15.75" hidden="false" customHeight="false" outlineLevel="0" collapsed="false">
      <c r="A690" s="51"/>
      <c r="B690" s="51"/>
      <c r="C690" s="6"/>
      <c r="D690" s="49"/>
      <c r="E690" s="51"/>
      <c r="F690" s="6"/>
      <c r="G690" s="6"/>
      <c r="H690" s="6"/>
      <c r="I690" s="6"/>
      <c r="J690" s="6"/>
      <c r="K690" s="51"/>
      <c r="L690" s="51"/>
      <c r="M690" s="51"/>
      <c r="N690" s="51"/>
      <c r="O690" s="51"/>
      <c r="P690" s="51"/>
      <c r="Q690" s="51"/>
      <c r="R690" s="51"/>
      <c r="S690" s="51"/>
      <c r="T690" s="51"/>
      <c r="U690" s="51"/>
      <c r="V690" s="51"/>
      <c r="W690" s="51"/>
      <c r="X690" s="51"/>
      <c r="Y690" s="51"/>
      <c r="Z690" s="51"/>
      <c r="AA690" s="51"/>
      <c r="AB690" s="51"/>
    </row>
    <row r="691" customFormat="false" ht="15.75" hidden="false" customHeight="false" outlineLevel="0" collapsed="false">
      <c r="A691" s="51"/>
      <c r="B691" s="51"/>
      <c r="C691" s="6"/>
      <c r="D691" s="49"/>
      <c r="E691" s="51"/>
      <c r="F691" s="6"/>
      <c r="G691" s="6"/>
      <c r="H691" s="6"/>
      <c r="I691" s="6"/>
      <c r="J691" s="6"/>
      <c r="K691" s="51"/>
      <c r="L691" s="51"/>
      <c r="M691" s="51"/>
      <c r="N691" s="51"/>
      <c r="O691" s="51"/>
      <c r="P691" s="51"/>
      <c r="Q691" s="51"/>
      <c r="R691" s="51"/>
      <c r="S691" s="51"/>
      <c r="T691" s="51"/>
      <c r="U691" s="51"/>
      <c r="V691" s="51"/>
      <c r="W691" s="51"/>
      <c r="X691" s="51"/>
      <c r="Y691" s="51"/>
      <c r="Z691" s="51"/>
      <c r="AA691" s="51"/>
      <c r="AB691" s="51"/>
    </row>
    <row r="692" customFormat="false" ht="15.75" hidden="false" customHeight="false" outlineLevel="0" collapsed="false">
      <c r="A692" s="51"/>
      <c r="B692" s="51"/>
      <c r="C692" s="6"/>
      <c r="D692" s="49"/>
      <c r="E692" s="51"/>
      <c r="F692" s="6"/>
      <c r="G692" s="6"/>
      <c r="H692" s="6"/>
      <c r="I692" s="6"/>
      <c r="J692" s="6"/>
      <c r="K692" s="51"/>
      <c r="L692" s="51"/>
      <c r="M692" s="51"/>
      <c r="N692" s="51"/>
      <c r="O692" s="51"/>
      <c r="P692" s="51"/>
      <c r="Q692" s="51"/>
      <c r="R692" s="51"/>
      <c r="S692" s="51"/>
      <c r="T692" s="51"/>
      <c r="U692" s="51"/>
      <c r="V692" s="51"/>
      <c r="W692" s="51"/>
      <c r="X692" s="51"/>
      <c r="Y692" s="51"/>
      <c r="Z692" s="51"/>
      <c r="AA692" s="51"/>
      <c r="AB692" s="51"/>
    </row>
    <row r="693" customFormat="false" ht="15.75" hidden="false" customHeight="false" outlineLevel="0" collapsed="false">
      <c r="A693" s="51"/>
      <c r="B693" s="51"/>
      <c r="C693" s="6"/>
      <c r="D693" s="49"/>
      <c r="E693" s="51"/>
      <c r="F693" s="6"/>
      <c r="G693" s="6"/>
      <c r="H693" s="6"/>
      <c r="I693" s="6"/>
      <c r="J693" s="6"/>
      <c r="K693" s="51"/>
      <c r="L693" s="51"/>
      <c r="M693" s="51"/>
      <c r="N693" s="51"/>
      <c r="O693" s="51"/>
      <c r="P693" s="51"/>
      <c r="Q693" s="51"/>
      <c r="R693" s="51"/>
      <c r="S693" s="51"/>
      <c r="T693" s="51"/>
      <c r="U693" s="51"/>
      <c r="V693" s="51"/>
      <c r="W693" s="51"/>
      <c r="X693" s="51"/>
      <c r="Y693" s="51"/>
      <c r="Z693" s="51"/>
      <c r="AA693" s="51"/>
      <c r="AB693" s="51"/>
    </row>
    <row r="694" customFormat="false" ht="15.75" hidden="false" customHeight="false" outlineLevel="0" collapsed="false">
      <c r="A694" s="51"/>
      <c r="B694" s="51"/>
      <c r="C694" s="6"/>
      <c r="D694" s="49"/>
      <c r="E694" s="51"/>
      <c r="F694" s="6"/>
      <c r="G694" s="6"/>
      <c r="H694" s="6"/>
      <c r="I694" s="6"/>
      <c r="J694" s="6"/>
      <c r="K694" s="51"/>
      <c r="L694" s="51"/>
      <c r="M694" s="51"/>
      <c r="N694" s="51"/>
      <c r="O694" s="51"/>
      <c r="P694" s="51"/>
      <c r="Q694" s="51"/>
      <c r="R694" s="51"/>
      <c r="S694" s="51"/>
      <c r="T694" s="51"/>
      <c r="U694" s="51"/>
      <c r="V694" s="51"/>
      <c r="W694" s="51"/>
      <c r="X694" s="51"/>
      <c r="Y694" s="51"/>
      <c r="Z694" s="51"/>
      <c r="AA694" s="51"/>
      <c r="AB694" s="51"/>
    </row>
    <row r="695" customFormat="false" ht="15.75" hidden="false" customHeight="false" outlineLevel="0" collapsed="false">
      <c r="A695" s="51"/>
      <c r="B695" s="51"/>
      <c r="C695" s="6"/>
      <c r="D695" s="49"/>
      <c r="E695" s="51"/>
      <c r="F695" s="6"/>
      <c r="G695" s="6"/>
      <c r="H695" s="6"/>
      <c r="I695" s="6"/>
      <c r="J695" s="6"/>
      <c r="K695" s="51"/>
      <c r="L695" s="51"/>
      <c r="M695" s="51"/>
      <c r="N695" s="51"/>
      <c r="O695" s="51"/>
      <c r="P695" s="51"/>
      <c r="Q695" s="51"/>
      <c r="R695" s="51"/>
      <c r="S695" s="51"/>
      <c r="T695" s="51"/>
      <c r="U695" s="51"/>
      <c r="V695" s="51"/>
      <c r="W695" s="51"/>
      <c r="X695" s="51"/>
      <c r="Y695" s="51"/>
      <c r="Z695" s="51"/>
      <c r="AA695" s="51"/>
      <c r="AB695" s="51"/>
    </row>
    <row r="696" customFormat="false" ht="15.75" hidden="false" customHeight="false" outlineLevel="0" collapsed="false">
      <c r="A696" s="51"/>
      <c r="B696" s="51"/>
      <c r="C696" s="6"/>
      <c r="D696" s="49"/>
      <c r="E696" s="51"/>
      <c r="F696" s="6"/>
      <c r="G696" s="6"/>
      <c r="H696" s="6"/>
      <c r="I696" s="6"/>
      <c r="J696" s="6"/>
      <c r="K696" s="51"/>
      <c r="L696" s="51"/>
      <c r="M696" s="51"/>
      <c r="N696" s="51"/>
      <c r="O696" s="51"/>
      <c r="P696" s="51"/>
      <c r="Q696" s="51"/>
      <c r="R696" s="51"/>
      <c r="S696" s="51"/>
      <c r="T696" s="51"/>
      <c r="U696" s="51"/>
      <c r="V696" s="51"/>
      <c r="W696" s="51"/>
      <c r="X696" s="51"/>
      <c r="Y696" s="51"/>
      <c r="Z696" s="51"/>
      <c r="AA696" s="51"/>
      <c r="AB696" s="51"/>
    </row>
    <row r="697" customFormat="false" ht="15.75" hidden="false" customHeight="false" outlineLevel="0" collapsed="false">
      <c r="A697" s="51"/>
      <c r="B697" s="51"/>
      <c r="C697" s="6"/>
      <c r="D697" s="49"/>
      <c r="E697" s="51"/>
      <c r="F697" s="6"/>
      <c r="G697" s="6"/>
      <c r="H697" s="6"/>
      <c r="I697" s="6"/>
      <c r="J697" s="6"/>
      <c r="K697" s="51"/>
      <c r="L697" s="51"/>
      <c r="M697" s="51"/>
      <c r="N697" s="51"/>
      <c r="O697" s="51"/>
      <c r="P697" s="51"/>
      <c r="Q697" s="51"/>
      <c r="R697" s="51"/>
      <c r="S697" s="51"/>
      <c r="T697" s="51"/>
      <c r="U697" s="51"/>
      <c r="V697" s="51"/>
      <c r="W697" s="51"/>
      <c r="X697" s="51"/>
      <c r="Y697" s="51"/>
      <c r="Z697" s="51"/>
      <c r="AA697" s="51"/>
      <c r="AB697" s="51"/>
    </row>
    <row r="698" customFormat="false" ht="15.75" hidden="false" customHeight="false" outlineLevel="0" collapsed="false">
      <c r="A698" s="51"/>
      <c r="B698" s="51"/>
      <c r="C698" s="6"/>
      <c r="D698" s="49"/>
      <c r="E698" s="51"/>
      <c r="F698" s="6"/>
      <c r="G698" s="6"/>
      <c r="H698" s="6"/>
      <c r="I698" s="6"/>
      <c r="J698" s="6"/>
      <c r="K698" s="51"/>
      <c r="L698" s="51"/>
      <c r="M698" s="51"/>
      <c r="N698" s="51"/>
      <c r="O698" s="51"/>
      <c r="P698" s="51"/>
      <c r="Q698" s="51"/>
      <c r="R698" s="51"/>
      <c r="S698" s="51"/>
      <c r="T698" s="51"/>
      <c r="U698" s="51"/>
      <c r="V698" s="51"/>
      <c r="W698" s="51"/>
      <c r="X698" s="51"/>
      <c r="Y698" s="51"/>
      <c r="Z698" s="51"/>
      <c r="AA698" s="51"/>
      <c r="AB698" s="51"/>
    </row>
    <row r="699" customFormat="false" ht="15.75" hidden="false" customHeight="false" outlineLevel="0" collapsed="false">
      <c r="A699" s="51"/>
      <c r="B699" s="51"/>
      <c r="C699" s="6"/>
      <c r="D699" s="49"/>
      <c r="E699" s="51"/>
      <c r="F699" s="6"/>
      <c r="G699" s="6"/>
      <c r="H699" s="6"/>
      <c r="I699" s="6"/>
      <c r="J699" s="6"/>
      <c r="K699" s="51"/>
      <c r="L699" s="51"/>
      <c r="M699" s="51"/>
      <c r="N699" s="51"/>
      <c r="O699" s="51"/>
      <c r="P699" s="51"/>
      <c r="Q699" s="51"/>
      <c r="R699" s="51"/>
      <c r="S699" s="51"/>
      <c r="T699" s="51"/>
      <c r="U699" s="51"/>
      <c r="V699" s="51"/>
      <c r="W699" s="51"/>
      <c r="X699" s="51"/>
      <c r="Y699" s="51"/>
      <c r="Z699" s="51"/>
      <c r="AA699" s="51"/>
      <c r="AB699" s="51"/>
    </row>
    <row r="700" customFormat="false" ht="15.75" hidden="false" customHeight="false" outlineLevel="0" collapsed="false">
      <c r="A700" s="51"/>
      <c r="B700" s="51"/>
      <c r="C700" s="6"/>
      <c r="D700" s="49"/>
      <c r="E700" s="51"/>
      <c r="F700" s="6"/>
      <c r="G700" s="6"/>
      <c r="H700" s="6"/>
      <c r="I700" s="6"/>
      <c r="J700" s="6"/>
      <c r="K700" s="51"/>
      <c r="L700" s="51"/>
      <c r="M700" s="51"/>
      <c r="N700" s="51"/>
      <c r="O700" s="51"/>
      <c r="P700" s="51"/>
      <c r="Q700" s="51"/>
      <c r="R700" s="51"/>
      <c r="S700" s="51"/>
      <c r="T700" s="51"/>
      <c r="U700" s="51"/>
      <c r="V700" s="51"/>
      <c r="W700" s="51"/>
      <c r="X700" s="51"/>
      <c r="Y700" s="51"/>
      <c r="Z700" s="51"/>
      <c r="AA700" s="51"/>
      <c r="AB700" s="51"/>
    </row>
    <row r="701" customFormat="false" ht="15.75" hidden="false" customHeight="false" outlineLevel="0" collapsed="false">
      <c r="A701" s="51"/>
      <c r="B701" s="51"/>
      <c r="C701" s="6"/>
      <c r="D701" s="49"/>
      <c r="E701" s="51"/>
      <c r="F701" s="6"/>
      <c r="G701" s="6"/>
      <c r="H701" s="6"/>
      <c r="I701" s="6"/>
      <c r="J701" s="6"/>
      <c r="K701" s="51"/>
      <c r="L701" s="51"/>
      <c r="M701" s="51"/>
      <c r="N701" s="51"/>
      <c r="O701" s="51"/>
      <c r="P701" s="51"/>
      <c r="Q701" s="51"/>
      <c r="R701" s="51"/>
      <c r="S701" s="51"/>
      <c r="T701" s="51"/>
      <c r="U701" s="51"/>
      <c r="V701" s="51"/>
      <c r="W701" s="51"/>
      <c r="X701" s="51"/>
      <c r="Y701" s="51"/>
      <c r="Z701" s="51"/>
      <c r="AA701" s="51"/>
      <c r="AB701" s="51"/>
    </row>
    <row r="702" customFormat="false" ht="15.75" hidden="false" customHeight="false" outlineLevel="0" collapsed="false">
      <c r="A702" s="51"/>
      <c r="B702" s="51"/>
      <c r="C702" s="6"/>
      <c r="D702" s="49"/>
      <c r="E702" s="51"/>
      <c r="F702" s="6"/>
      <c r="G702" s="6"/>
      <c r="H702" s="6"/>
      <c r="I702" s="6"/>
      <c r="J702" s="6"/>
      <c r="K702" s="51"/>
      <c r="L702" s="51"/>
      <c r="M702" s="51"/>
      <c r="N702" s="51"/>
      <c r="O702" s="51"/>
      <c r="P702" s="51"/>
      <c r="Q702" s="51"/>
      <c r="R702" s="51"/>
      <c r="S702" s="51"/>
      <c r="T702" s="51"/>
      <c r="U702" s="51"/>
      <c r="V702" s="51"/>
      <c r="W702" s="51"/>
      <c r="X702" s="51"/>
      <c r="Y702" s="51"/>
      <c r="Z702" s="51"/>
      <c r="AA702" s="51"/>
      <c r="AB702" s="51"/>
    </row>
    <row r="703" customFormat="false" ht="15.75" hidden="false" customHeight="false" outlineLevel="0" collapsed="false">
      <c r="A703" s="51"/>
      <c r="B703" s="51"/>
      <c r="C703" s="6"/>
      <c r="D703" s="49"/>
      <c r="E703" s="51"/>
      <c r="F703" s="6"/>
      <c r="G703" s="6"/>
      <c r="H703" s="6"/>
      <c r="I703" s="6"/>
      <c r="J703" s="6"/>
      <c r="K703" s="51"/>
      <c r="L703" s="51"/>
      <c r="M703" s="51"/>
      <c r="N703" s="51"/>
      <c r="O703" s="51"/>
      <c r="P703" s="51"/>
      <c r="Q703" s="51"/>
      <c r="R703" s="51"/>
      <c r="S703" s="51"/>
      <c r="T703" s="51"/>
      <c r="U703" s="51"/>
      <c r="V703" s="51"/>
      <c r="W703" s="51"/>
      <c r="X703" s="51"/>
      <c r="Y703" s="51"/>
      <c r="Z703" s="51"/>
      <c r="AA703" s="51"/>
      <c r="AB703" s="51"/>
    </row>
    <row r="704" customFormat="false" ht="15.75" hidden="false" customHeight="false" outlineLevel="0" collapsed="false">
      <c r="A704" s="51"/>
      <c r="B704" s="51"/>
      <c r="C704" s="6"/>
      <c r="D704" s="49"/>
      <c r="E704" s="51"/>
      <c r="F704" s="6"/>
      <c r="G704" s="6"/>
      <c r="H704" s="6"/>
      <c r="I704" s="6"/>
      <c r="J704" s="6"/>
      <c r="K704" s="51"/>
      <c r="L704" s="51"/>
      <c r="M704" s="51"/>
      <c r="N704" s="51"/>
      <c r="O704" s="51"/>
      <c r="P704" s="51"/>
      <c r="Q704" s="51"/>
      <c r="R704" s="51"/>
      <c r="S704" s="51"/>
      <c r="T704" s="51"/>
      <c r="U704" s="51"/>
      <c r="V704" s="51"/>
      <c r="W704" s="51"/>
      <c r="X704" s="51"/>
      <c r="Y704" s="51"/>
      <c r="Z704" s="51"/>
      <c r="AA704" s="51"/>
      <c r="AB704" s="51"/>
    </row>
    <row r="705" customFormat="false" ht="15.75" hidden="false" customHeight="false" outlineLevel="0" collapsed="false">
      <c r="A705" s="51"/>
      <c r="B705" s="51"/>
      <c r="C705" s="6"/>
      <c r="D705" s="49"/>
      <c r="E705" s="51"/>
      <c r="F705" s="6"/>
      <c r="G705" s="6"/>
      <c r="H705" s="6"/>
      <c r="I705" s="6"/>
      <c r="J705" s="6"/>
      <c r="K705" s="51"/>
      <c r="L705" s="51"/>
      <c r="M705" s="51"/>
      <c r="N705" s="51"/>
      <c r="O705" s="51"/>
      <c r="P705" s="51"/>
      <c r="Q705" s="51"/>
      <c r="R705" s="51"/>
      <c r="S705" s="51"/>
      <c r="T705" s="51"/>
      <c r="U705" s="51"/>
      <c r="V705" s="51"/>
      <c r="W705" s="51"/>
      <c r="X705" s="51"/>
      <c r="Y705" s="51"/>
      <c r="Z705" s="51"/>
      <c r="AA705" s="51"/>
      <c r="AB705" s="51"/>
    </row>
    <row r="706" customFormat="false" ht="15.75" hidden="false" customHeight="false" outlineLevel="0" collapsed="false">
      <c r="A706" s="51"/>
      <c r="B706" s="51"/>
      <c r="C706" s="6"/>
      <c r="D706" s="49"/>
      <c r="E706" s="51"/>
      <c r="F706" s="6"/>
      <c r="G706" s="6"/>
      <c r="H706" s="6"/>
      <c r="I706" s="6"/>
      <c r="J706" s="6"/>
      <c r="K706" s="51"/>
      <c r="L706" s="51"/>
      <c r="M706" s="51"/>
      <c r="N706" s="51"/>
      <c r="O706" s="51"/>
      <c r="P706" s="51"/>
      <c r="Q706" s="51"/>
      <c r="R706" s="51"/>
      <c r="S706" s="51"/>
      <c r="T706" s="51"/>
      <c r="U706" s="51"/>
      <c r="V706" s="51"/>
      <c r="W706" s="51"/>
      <c r="X706" s="51"/>
      <c r="Y706" s="51"/>
      <c r="Z706" s="51"/>
      <c r="AA706" s="51"/>
      <c r="AB706" s="51"/>
    </row>
    <row r="707" customFormat="false" ht="15.75" hidden="false" customHeight="false" outlineLevel="0" collapsed="false">
      <c r="A707" s="51"/>
      <c r="B707" s="51"/>
      <c r="C707" s="6"/>
      <c r="D707" s="49"/>
      <c r="E707" s="51"/>
      <c r="F707" s="6"/>
      <c r="G707" s="6"/>
      <c r="H707" s="6"/>
      <c r="I707" s="6"/>
      <c r="J707" s="6"/>
      <c r="K707" s="51"/>
      <c r="L707" s="51"/>
      <c r="M707" s="51"/>
      <c r="N707" s="51"/>
      <c r="O707" s="51"/>
      <c r="P707" s="51"/>
      <c r="Q707" s="51"/>
      <c r="R707" s="51"/>
      <c r="S707" s="51"/>
      <c r="T707" s="51"/>
      <c r="U707" s="51"/>
      <c r="V707" s="51"/>
      <c r="W707" s="51"/>
      <c r="X707" s="51"/>
      <c r="Y707" s="51"/>
      <c r="Z707" s="51"/>
      <c r="AA707" s="51"/>
      <c r="AB707" s="51"/>
    </row>
    <row r="708" customFormat="false" ht="15.75" hidden="false" customHeight="false" outlineLevel="0" collapsed="false">
      <c r="A708" s="51"/>
      <c r="B708" s="51"/>
      <c r="C708" s="6"/>
      <c r="D708" s="49"/>
      <c r="E708" s="51"/>
      <c r="F708" s="6"/>
      <c r="G708" s="6"/>
      <c r="H708" s="6"/>
      <c r="I708" s="6"/>
      <c r="J708" s="6"/>
      <c r="K708" s="51"/>
      <c r="L708" s="51"/>
      <c r="M708" s="51"/>
      <c r="N708" s="51"/>
      <c r="O708" s="51"/>
      <c r="P708" s="51"/>
      <c r="Q708" s="51"/>
      <c r="R708" s="51"/>
      <c r="S708" s="51"/>
      <c r="T708" s="51"/>
      <c r="U708" s="51"/>
      <c r="V708" s="51"/>
      <c r="W708" s="51"/>
      <c r="X708" s="51"/>
      <c r="Y708" s="51"/>
      <c r="Z708" s="51"/>
      <c r="AA708" s="51"/>
      <c r="AB708" s="51"/>
    </row>
    <row r="709" customFormat="false" ht="15.75" hidden="false" customHeight="false" outlineLevel="0" collapsed="false">
      <c r="A709" s="51"/>
      <c r="B709" s="51"/>
      <c r="C709" s="6"/>
      <c r="D709" s="49"/>
      <c r="E709" s="51"/>
      <c r="F709" s="6"/>
      <c r="G709" s="6"/>
      <c r="H709" s="6"/>
      <c r="I709" s="6"/>
      <c r="J709" s="6"/>
      <c r="K709" s="51"/>
      <c r="L709" s="51"/>
      <c r="M709" s="51"/>
      <c r="N709" s="51"/>
      <c r="O709" s="51"/>
      <c r="P709" s="51"/>
      <c r="Q709" s="51"/>
      <c r="R709" s="51"/>
      <c r="S709" s="51"/>
      <c r="T709" s="51"/>
      <c r="U709" s="51"/>
      <c r="V709" s="51"/>
      <c r="W709" s="51"/>
      <c r="X709" s="51"/>
      <c r="Y709" s="51"/>
      <c r="Z709" s="51"/>
      <c r="AA709" s="51"/>
      <c r="AB709" s="51"/>
    </row>
    <row r="710" customFormat="false" ht="15.75" hidden="false" customHeight="false" outlineLevel="0" collapsed="false">
      <c r="A710" s="51"/>
      <c r="B710" s="51"/>
      <c r="C710" s="6"/>
      <c r="D710" s="49"/>
      <c r="E710" s="51"/>
      <c r="F710" s="6"/>
      <c r="G710" s="6"/>
      <c r="H710" s="6"/>
      <c r="I710" s="6"/>
      <c r="J710" s="6"/>
      <c r="K710" s="51"/>
      <c r="L710" s="51"/>
      <c r="M710" s="51"/>
      <c r="N710" s="51"/>
      <c r="O710" s="51"/>
      <c r="P710" s="51"/>
      <c r="Q710" s="51"/>
      <c r="R710" s="51"/>
      <c r="S710" s="51"/>
      <c r="T710" s="51"/>
      <c r="U710" s="51"/>
      <c r="V710" s="51"/>
      <c r="W710" s="51"/>
      <c r="X710" s="51"/>
      <c r="Y710" s="51"/>
      <c r="Z710" s="51"/>
      <c r="AA710" s="51"/>
      <c r="AB710" s="51"/>
    </row>
    <row r="711" customFormat="false" ht="15.75" hidden="false" customHeight="false" outlineLevel="0" collapsed="false">
      <c r="A711" s="51"/>
      <c r="B711" s="51"/>
      <c r="C711" s="6"/>
      <c r="D711" s="49"/>
      <c r="E711" s="51"/>
      <c r="F711" s="6"/>
      <c r="G711" s="6"/>
      <c r="H711" s="6"/>
      <c r="I711" s="6"/>
      <c r="J711" s="6"/>
      <c r="K711" s="51"/>
      <c r="L711" s="51"/>
      <c r="M711" s="51"/>
      <c r="N711" s="51"/>
      <c r="O711" s="51"/>
      <c r="P711" s="51"/>
      <c r="Q711" s="51"/>
      <c r="R711" s="51"/>
      <c r="S711" s="51"/>
      <c r="T711" s="51"/>
      <c r="U711" s="51"/>
      <c r="V711" s="51"/>
      <c r="W711" s="51"/>
      <c r="X711" s="51"/>
      <c r="Y711" s="51"/>
      <c r="Z711" s="51"/>
      <c r="AA711" s="51"/>
      <c r="AB711" s="51"/>
    </row>
    <row r="712" customFormat="false" ht="15.75" hidden="false" customHeight="false" outlineLevel="0" collapsed="false">
      <c r="A712" s="51"/>
      <c r="B712" s="51"/>
      <c r="C712" s="6"/>
      <c r="D712" s="49"/>
      <c r="E712" s="51"/>
      <c r="F712" s="6"/>
      <c r="G712" s="6"/>
      <c r="H712" s="6"/>
      <c r="I712" s="6"/>
      <c r="J712" s="6"/>
      <c r="K712" s="51"/>
      <c r="L712" s="51"/>
      <c r="M712" s="51"/>
      <c r="N712" s="51"/>
      <c r="O712" s="51"/>
      <c r="P712" s="51"/>
      <c r="Q712" s="51"/>
      <c r="R712" s="51"/>
      <c r="S712" s="51"/>
      <c r="T712" s="51"/>
      <c r="U712" s="51"/>
      <c r="V712" s="51"/>
      <c r="W712" s="51"/>
      <c r="X712" s="51"/>
      <c r="Y712" s="51"/>
      <c r="Z712" s="51"/>
      <c r="AA712" s="51"/>
      <c r="AB712" s="51"/>
    </row>
    <row r="713" customFormat="false" ht="15.75" hidden="false" customHeight="false" outlineLevel="0" collapsed="false">
      <c r="A713" s="51"/>
      <c r="B713" s="51"/>
      <c r="C713" s="6"/>
      <c r="D713" s="49"/>
      <c r="E713" s="51"/>
      <c r="F713" s="6"/>
      <c r="G713" s="6"/>
      <c r="H713" s="6"/>
      <c r="I713" s="6"/>
      <c r="J713" s="6"/>
      <c r="K713" s="51"/>
      <c r="L713" s="51"/>
      <c r="M713" s="51"/>
      <c r="N713" s="51"/>
      <c r="O713" s="51"/>
      <c r="P713" s="51"/>
      <c r="Q713" s="51"/>
      <c r="R713" s="51"/>
      <c r="S713" s="51"/>
      <c r="T713" s="51"/>
      <c r="U713" s="51"/>
      <c r="V713" s="51"/>
      <c r="W713" s="51"/>
      <c r="X713" s="51"/>
      <c r="Y713" s="51"/>
      <c r="Z713" s="51"/>
      <c r="AA713" s="51"/>
      <c r="AB713" s="51"/>
    </row>
    <row r="714" customFormat="false" ht="15.75" hidden="false" customHeight="false" outlineLevel="0" collapsed="false">
      <c r="A714" s="51"/>
      <c r="B714" s="51"/>
      <c r="C714" s="6"/>
      <c r="D714" s="49"/>
      <c r="E714" s="51"/>
      <c r="F714" s="6"/>
      <c r="G714" s="6"/>
      <c r="H714" s="6"/>
      <c r="I714" s="6"/>
      <c r="J714" s="6"/>
      <c r="K714" s="51"/>
      <c r="L714" s="51"/>
      <c r="M714" s="51"/>
      <c r="N714" s="51"/>
      <c r="O714" s="51"/>
      <c r="P714" s="51"/>
      <c r="Q714" s="51"/>
      <c r="R714" s="51"/>
      <c r="S714" s="51"/>
      <c r="T714" s="51"/>
      <c r="U714" s="51"/>
      <c r="V714" s="51"/>
      <c r="W714" s="51"/>
      <c r="X714" s="51"/>
      <c r="Y714" s="51"/>
      <c r="Z714" s="51"/>
      <c r="AA714" s="51"/>
      <c r="AB714" s="51"/>
    </row>
    <row r="715" customFormat="false" ht="15.75" hidden="false" customHeight="false" outlineLevel="0" collapsed="false">
      <c r="A715" s="51"/>
      <c r="B715" s="51"/>
      <c r="C715" s="6"/>
      <c r="D715" s="49"/>
      <c r="E715" s="51"/>
      <c r="F715" s="6"/>
      <c r="G715" s="6"/>
      <c r="H715" s="6"/>
      <c r="I715" s="6"/>
      <c r="J715" s="6"/>
      <c r="K715" s="51"/>
      <c r="L715" s="51"/>
      <c r="M715" s="51"/>
      <c r="N715" s="51"/>
      <c r="O715" s="51"/>
      <c r="P715" s="51"/>
      <c r="Q715" s="51"/>
      <c r="R715" s="51"/>
      <c r="S715" s="51"/>
      <c r="T715" s="51"/>
      <c r="U715" s="51"/>
      <c r="V715" s="51"/>
      <c r="W715" s="51"/>
      <c r="X715" s="51"/>
      <c r="Y715" s="51"/>
      <c r="Z715" s="51"/>
      <c r="AA715" s="51"/>
      <c r="AB715" s="51"/>
    </row>
    <row r="716" customFormat="false" ht="15.75" hidden="false" customHeight="false" outlineLevel="0" collapsed="false">
      <c r="A716" s="51"/>
      <c r="B716" s="51"/>
      <c r="C716" s="6"/>
      <c r="D716" s="49"/>
      <c r="E716" s="51"/>
      <c r="F716" s="6"/>
      <c r="G716" s="6"/>
      <c r="H716" s="6"/>
      <c r="I716" s="6"/>
      <c r="J716" s="6"/>
      <c r="K716" s="51"/>
      <c r="L716" s="51"/>
      <c r="M716" s="51"/>
      <c r="N716" s="51"/>
      <c r="O716" s="51"/>
      <c r="P716" s="51"/>
      <c r="Q716" s="51"/>
      <c r="R716" s="51"/>
      <c r="S716" s="51"/>
      <c r="T716" s="51"/>
      <c r="U716" s="51"/>
      <c r="V716" s="51"/>
      <c r="W716" s="51"/>
      <c r="X716" s="51"/>
      <c r="Y716" s="51"/>
      <c r="Z716" s="51"/>
      <c r="AA716" s="51"/>
      <c r="AB716" s="51"/>
    </row>
    <row r="717" customFormat="false" ht="15.75" hidden="false" customHeight="false" outlineLevel="0" collapsed="false">
      <c r="A717" s="51"/>
      <c r="B717" s="51"/>
      <c r="C717" s="6"/>
      <c r="D717" s="49"/>
      <c r="E717" s="51"/>
      <c r="F717" s="6"/>
      <c r="G717" s="6"/>
      <c r="H717" s="6"/>
      <c r="I717" s="6"/>
      <c r="J717" s="6"/>
      <c r="K717" s="51"/>
      <c r="L717" s="51"/>
      <c r="M717" s="51"/>
      <c r="N717" s="51"/>
      <c r="O717" s="51"/>
      <c r="P717" s="51"/>
      <c r="Q717" s="51"/>
      <c r="R717" s="51"/>
      <c r="S717" s="51"/>
      <c r="T717" s="51"/>
      <c r="U717" s="51"/>
      <c r="V717" s="51"/>
      <c r="W717" s="51"/>
      <c r="X717" s="51"/>
      <c r="Y717" s="51"/>
      <c r="Z717" s="51"/>
      <c r="AA717" s="51"/>
      <c r="AB717" s="51"/>
    </row>
    <row r="718" customFormat="false" ht="15.75" hidden="false" customHeight="false" outlineLevel="0" collapsed="false">
      <c r="A718" s="51"/>
      <c r="B718" s="51"/>
      <c r="C718" s="6"/>
      <c r="D718" s="49"/>
      <c r="E718" s="51"/>
      <c r="F718" s="6"/>
      <c r="G718" s="6"/>
      <c r="H718" s="6"/>
      <c r="I718" s="6"/>
      <c r="J718" s="6"/>
      <c r="K718" s="51"/>
      <c r="L718" s="51"/>
      <c r="M718" s="51"/>
      <c r="N718" s="51"/>
      <c r="O718" s="51"/>
      <c r="P718" s="51"/>
      <c r="Q718" s="51"/>
      <c r="R718" s="51"/>
      <c r="S718" s="51"/>
      <c r="T718" s="51"/>
      <c r="U718" s="51"/>
      <c r="V718" s="51"/>
      <c r="W718" s="51"/>
      <c r="X718" s="51"/>
      <c r="Y718" s="51"/>
      <c r="Z718" s="51"/>
      <c r="AA718" s="51"/>
      <c r="AB718" s="51"/>
    </row>
    <row r="719" customFormat="false" ht="15.75" hidden="false" customHeight="false" outlineLevel="0" collapsed="false">
      <c r="A719" s="51"/>
      <c r="B719" s="51"/>
      <c r="C719" s="6"/>
      <c r="D719" s="49"/>
      <c r="E719" s="51"/>
      <c r="F719" s="6"/>
      <c r="G719" s="6"/>
      <c r="H719" s="6"/>
      <c r="I719" s="6"/>
      <c r="J719" s="6"/>
      <c r="K719" s="51"/>
      <c r="L719" s="51"/>
      <c r="M719" s="51"/>
      <c r="N719" s="51"/>
      <c r="O719" s="51"/>
      <c r="P719" s="51"/>
      <c r="Q719" s="51"/>
      <c r="R719" s="51"/>
      <c r="S719" s="51"/>
      <c r="T719" s="51"/>
      <c r="U719" s="51"/>
      <c r="V719" s="51"/>
      <c r="W719" s="51"/>
      <c r="X719" s="51"/>
      <c r="Y719" s="51"/>
      <c r="Z719" s="51"/>
      <c r="AA719" s="51"/>
      <c r="AB719" s="51"/>
    </row>
    <row r="720" customFormat="false" ht="15.75" hidden="false" customHeight="false" outlineLevel="0" collapsed="false">
      <c r="A720" s="51"/>
      <c r="B720" s="51"/>
      <c r="C720" s="6"/>
      <c r="D720" s="49"/>
      <c r="E720" s="51"/>
      <c r="F720" s="6"/>
      <c r="G720" s="6"/>
      <c r="H720" s="6"/>
      <c r="I720" s="6"/>
      <c r="J720" s="6"/>
      <c r="K720" s="51"/>
      <c r="L720" s="51"/>
      <c r="M720" s="51"/>
      <c r="N720" s="51"/>
      <c r="O720" s="51"/>
      <c r="P720" s="51"/>
      <c r="Q720" s="51"/>
      <c r="R720" s="51"/>
      <c r="S720" s="51"/>
      <c r="T720" s="51"/>
      <c r="U720" s="51"/>
      <c r="V720" s="51"/>
      <c r="W720" s="51"/>
      <c r="X720" s="51"/>
      <c r="Y720" s="51"/>
      <c r="Z720" s="51"/>
      <c r="AA720" s="51"/>
      <c r="AB720" s="51"/>
    </row>
    <row r="721" customFormat="false" ht="15.75" hidden="false" customHeight="false" outlineLevel="0" collapsed="false">
      <c r="A721" s="51"/>
      <c r="B721" s="51"/>
      <c r="C721" s="6"/>
      <c r="D721" s="49"/>
      <c r="E721" s="51"/>
      <c r="F721" s="6"/>
      <c r="G721" s="6"/>
      <c r="H721" s="6"/>
      <c r="I721" s="6"/>
      <c r="J721" s="6"/>
      <c r="K721" s="51"/>
      <c r="L721" s="51"/>
      <c r="M721" s="51"/>
      <c r="N721" s="51"/>
      <c r="O721" s="51"/>
      <c r="P721" s="51"/>
      <c r="Q721" s="51"/>
      <c r="R721" s="51"/>
      <c r="S721" s="51"/>
      <c r="T721" s="51"/>
      <c r="U721" s="51"/>
      <c r="V721" s="51"/>
      <c r="W721" s="51"/>
      <c r="X721" s="51"/>
      <c r="Y721" s="51"/>
      <c r="Z721" s="51"/>
      <c r="AA721" s="51"/>
      <c r="AB721" s="51"/>
    </row>
    <row r="722" customFormat="false" ht="15.75" hidden="false" customHeight="false" outlineLevel="0" collapsed="false">
      <c r="A722" s="51"/>
      <c r="B722" s="51"/>
      <c r="C722" s="6"/>
      <c r="D722" s="49"/>
      <c r="E722" s="51"/>
      <c r="F722" s="6"/>
      <c r="G722" s="6"/>
      <c r="H722" s="6"/>
      <c r="I722" s="6"/>
      <c r="J722" s="6"/>
      <c r="K722" s="51"/>
      <c r="L722" s="51"/>
      <c r="M722" s="51"/>
      <c r="N722" s="51"/>
      <c r="O722" s="51"/>
      <c r="P722" s="51"/>
      <c r="Q722" s="51"/>
      <c r="R722" s="51"/>
      <c r="S722" s="51"/>
      <c r="T722" s="51"/>
      <c r="U722" s="51"/>
      <c r="V722" s="51"/>
      <c r="W722" s="51"/>
      <c r="X722" s="51"/>
      <c r="Y722" s="51"/>
      <c r="Z722" s="51"/>
      <c r="AA722" s="51"/>
      <c r="AB722" s="51"/>
    </row>
    <row r="723" customFormat="false" ht="15.75" hidden="false" customHeight="false" outlineLevel="0" collapsed="false">
      <c r="A723" s="51"/>
      <c r="B723" s="51"/>
      <c r="C723" s="6"/>
      <c r="D723" s="49"/>
      <c r="E723" s="51"/>
      <c r="F723" s="6"/>
      <c r="G723" s="6"/>
      <c r="H723" s="6"/>
      <c r="I723" s="6"/>
      <c r="J723" s="6"/>
      <c r="K723" s="51"/>
      <c r="L723" s="51"/>
      <c r="M723" s="51"/>
      <c r="N723" s="51"/>
      <c r="O723" s="51"/>
      <c r="P723" s="51"/>
      <c r="Q723" s="51"/>
      <c r="R723" s="51"/>
      <c r="S723" s="51"/>
      <c r="T723" s="51"/>
      <c r="U723" s="51"/>
      <c r="V723" s="51"/>
      <c r="W723" s="51"/>
      <c r="X723" s="51"/>
      <c r="Y723" s="51"/>
      <c r="Z723" s="51"/>
      <c r="AA723" s="51"/>
      <c r="AB723" s="51"/>
    </row>
    <row r="724" customFormat="false" ht="15.75" hidden="false" customHeight="false" outlineLevel="0" collapsed="false">
      <c r="A724" s="51"/>
      <c r="B724" s="51"/>
      <c r="C724" s="6"/>
      <c r="D724" s="49"/>
      <c r="E724" s="51"/>
      <c r="F724" s="6"/>
      <c r="G724" s="6"/>
      <c r="H724" s="6"/>
      <c r="I724" s="6"/>
      <c r="J724" s="6"/>
      <c r="K724" s="51"/>
      <c r="L724" s="51"/>
      <c r="M724" s="51"/>
      <c r="N724" s="51"/>
      <c r="O724" s="51"/>
      <c r="P724" s="51"/>
      <c r="Q724" s="51"/>
      <c r="R724" s="51"/>
      <c r="S724" s="51"/>
      <c r="T724" s="51"/>
      <c r="U724" s="51"/>
      <c r="V724" s="51"/>
      <c r="W724" s="51"/>
      <c r="X724" s="51"/>
      <c r="Y724" s="51"/>
      <c r="Z724" s="51"/>
      <c r="AA724" s="51"/>
      <c r="AB724" s="51"/>
    </row>
    <row r="725" customFormat="false" ht="15.75" hidden="false" customHeight="false" outlineLevel="0" collapsed="false">
      <c r="A725" s="51"/>
      <c r="B725" s="51"/>
      <c r="C725" s="6"/>
      <c r="D725" s="49"/>
      <c r="E725" s="51"/>
      <c r="F725" s="6"/>
      <c r="G725" s="6"/>
      <c r="H725" s="6"/>
      <c r="I725" s="6"/>
      <c r="J725" s="6"/>
      <c r="K725" s="51"/>
      <c r="L725" s="51"/>
      <c r="M725" s="51"/>
      <c r="N725" s="51"/>
      <c r="O725" s="51"/>
      <c r="P725" s="51"/>
      <c r="Q725" s="51"/>
      <c r="R725" s="51"/>
      <c r="S725" s="51"/>
      <c r="T725" s="51"/>
      <c r="U725" s="51"/>
      <c r="V725" s="51"/>
      <c r="W725" s="51"/>
      <c r="X725" s="51"/>
      <c r="Y725" s="51"/>
      <c r="Z725" s="51"/>
      <c r="AA725" s="51"/>
      <c r="AB725" s="51"/>
    </row>
    <row r="726" customFormat="false" ht="15.75" hidden="false" customHeight="false" outlineLevel="0" collapsed="false">
      <c r="A726" s="51"/>
      <c r="B726" s="51"/>
      <c r="C726" s="6"/>
      <c r="D726" s="49"/>
      <c r="E726" s="51"/>
      <c r="F726" s="6"/>
      <c r="G726" s="6"/>
      <c r="H726" s="6"/>
      <c r="I726" s="6"/>
      <c r="J726" s="6"/>
      <c r="K726" s="51"/>
      <c r="L726" s="51"/>
      <c r="M726" s="51"/>
      <c r="N726" s="51"/>
      <c r="O726" s="51"/>
      <c r="P726" s="51"/>
      <c r="Q726" s="51"/>
      <c r="R726" s="51"/>
      <c r="S726" s="51"/>
      <c r="T726" s="51"/>
      <c r="U726" s="51"/>
      <c r="V726" s="51"/>
      <c r="W726" s="51"/>
      <c r="X726" s="51"/>
      <c r="Y726" s="51"/>
      <c r="Z726" s="51"/>
      <c r="AA726" s="51"/>
      <c r="AB726" s="51"/>
    </row>
    <row r="727" customFormat="false" ht="15.75" hidden="false" customHeight="false" outlineLevel="0" collapsed="false">
      <c r="A727" s="51"/>
      <c r="B727" s="51"/>
      <c r="C727" s="6"/>
      <c r="D727" s="49"/>
      <c r="E727" s="51"/>
      <c r="F727" s="6"/>
      <c r="G727" s="6"/>
      <c r="H727" s="6"/>
      <c r="I727" s="6"/>
      <c r="J727" s="6"/>
      <c r="K727" s="51"/>
      <c r="L727" s="51"/>
      <c r="M727" s="51"/>
      <c r="N727" s="51"/>
      <c r="O727" s="51"/>
      <c r="P727" s="51"/>
      <c r="Q727" s="51"/>
      <c r="R727" s="51"/>
      <c r="S727" s="51"/>
      <c r="T727" s="51"/>
      <c r="U727" s="51"/>
      <c r="V727" s="51"/>
      <c r="W727" s="51"/>
      <c r="X727" s="51"/>
      <c r="Y727" s="51"/>
      <c r="Z727" s="51"/>
      <c r="AA727" s="51"/>
      <c r="AB727" s="51"/>
    </row>
    <row r="728" customFormat="false" ht="15.75" hidden="false" customHeight="false" outlineLevel="0" collapsed="false">
      <c r="A728" s="51"/>
      <c r="B728" s="51"/>
      <c r="C728" s="6"/>
      <c r="D728" s="49"/>
      <c r="E728" s="51"/>
      <c r="F728" s="6"/>
      <c r="G728" s="6"/>
      <c r="H728" s="6"/>
      <c r="I728" s="6"/>
      <c r="J728" s="6"/>
      <c r="K728" s="51"/>
      <c r="L728" s="51"/>
      <c r="M728" s="51"/>
      <c r="N728" s="51"/>
      <c r="O728" s="51"/>
      <c r="P728" s="51"/>
      <c r="Q728" s="51"/>
      <c r="R728" s="51"/>
      <c r="S728" s="51"/>
      <c r="T728" s="51"/>
      <c r="U728" s="51"/>
      <c r="V728" s="51"/>
      <c r="W728" s="51"/>
      <c r="X728" s="51"/>
      <c r="Y728" s="51"/>
      <c r="Z728" s="51"/>
      <c r="AA728" s="51"/>
      <c r="AB728" s="51"/>
    </row>
    <row r="729" customFormat="false" ht="15.75" hidden="false" customHeight="false" outlineLevel="0" collapsed="false">
      <c r="A729" s="51"/>
      <c r="B729" s="51"/>
      <c r="C729" s="6"/>
      <c r="D729" s="49"/>
      <c r="E729" s="51"/>
      <c r="F729" s="6"/>
      <c r="G729" s="6"/>
      <c r="H729" s="6"/>
      <c r="I729" s="6"/>
      <c r="J729" s="6"/>
      <c r="K729" s="51"/>
      <c r="L729" s="51"/>
      <c r="M729" s="51"/>
      <c r="N729" s="51"/>
      <c r="O729" s="51"/>
      <c r="P729" s="51"/>
      <c r="Q729" s="51"/>
      <c r="R729" s="51"/>
      <c r="S729" s="51"/>
      <c r="T729" s="51"/>
      <c r="U729" s="51"/>
      <c r="V729" s="51"/>
      <c r="W729" s="51"/>
      <c r="X729" s="51"/>
      <c r="Y729" s="51"/>
      <c r="Z729" s="51"/>
      <c r="AA729" s="51"/>
      <c r="AB729" s="51"/>
    </row>
    <row r="730" customFormat="false" ht="15.75" hidden="false" customHeight="false" outlineLevel="0" collapsed="false">
      <c r="A730" s="51"/>
      <c r="B730" s="51"/>
      <c r="C730" s="6"/>
      <c r="D730" s="49"/>
      <c r="E730" s="51"/>
      <c r="F730" s="6"/>
      <c r="G730" s="6"/>
      <c r="H730" s="6"/>
      <c r="I730" s="6"/>
      <c r="J730" s="6"/>
      <c r="K730" s="51"/>
      <c r="L730" s="51"/>
      <c r="M730" s="51"/>
      <c r="N730" s="51"/>
      <c r="O730" s="51"/>
      <c r="P730" s="51"/>
      <c r="Q730" s="51"/>
      <c r="R730" s="51"/>
      <c r="S730" s="51"/>
      <c r="T730" s="51"/>
      <c r="U730" s="51"/>
      <c r="V730" s="51"/>
      <c r="W730" s="51"/>
      <c r="X730" s="51"/>
      <c r="Y730" s="51"/>
      <c r="Z730" s="51"/>
      <c r="AA730" s="51"/>
      <c r="AB730" s="51"/>
    </row>
    <row r="731" customFormat="false" ht="15.75" hidden="false" customHeight="false" outlineLevel="0" collapsed="false">
      <c r="A731" s="51"/>
      <c r="B731" s="51"/>
      <c r="C731" s="6"/>
      <c r="D731" s="49"/>
      <c r="E731" s="51"/>
      <c r="F731" s="6"/>
      <c r="G731" s="6"/>
      <c r="H731" s="6"/>
      <c r="I731" s="6"/>
      <c r="J731" s="6"/>
      <c r="K731" s="51"/>
      <c r="L731" s="51"/>
      <c r="M731" s="51"/>
      <c r="N731" s="51"/>
      <c r="O731" s="51"/>
      <c r="P731" s="51"/>
      <c r="Q731" s="51"/>
      <c r="R731" s="51"/>
      <c r="S731" s="51"/>
      <c r="T731" s="51"/>
      <c r="U731" s="51"/>
      <c r="V731" s="51"/>
      <c r="W731" s="51"/>
      <c r="X731" s="51"/>
      <c r="Y731" s="51"/>
      <c r="Z731" s="51"/>
      <c r="AA731" s="51"/>
      <c r="AB731" s="51"/>
    </row>
    <row r="732" customFormat="false" ht="15.75" hidden="false" customHeight="false" outlineLevel="0" collapsed="false">
      <c r="A732" s="51"/>
      <c r="B732" s="51"/>
      <c r="C732" s="6"/>
      <c r="D732" s="49"/>
      <c r="E732" s="51"/>
      <c r="F732" s="6"/>
      <c r="G732" s="6"/>
      <c r="H732" s="6"/>
      <c r="I732" s="6"/>
      <c r="J732" s="6"/>
      <c r="K732" s="51"/>
      <c r="L732" s="51"/>
      <c r="M732" s="51"/>
      <c r="N732" s="51"/>
      <c r="O732" s="51"/>
      <c r="P732" s="51"/>
      <c r="Q732" s="51"/>
      <c r="R732" s="51"/>
      <c r="S732" s="51"/>
      <c r="T732" s="51"/>
      <c r="U732" s="51"/>
      <c r="V732" s="51"/>
      <c r="W732" s="51"/>
      <c r="X732" s="51"/>
      <c r="Y732" s="51"/>
      <c r="Z732" s="51"/>
      <c r="AA732" s="51"/>
      <c r="AB732" s="51"/>
    </row>
    <row r="733" customFormat="false" ht="15.75" hidden="false" customHeight="false" outlineLevel="0" collapsed="false">
      <c r="A733" s="51"/>
      <c r="B733" s="51"/>
      <c r="C733" s="6"/>
      <c r="D733" s="49"/>
      <c r="E733" s="51"/>
      <c r="F733" s="6"/>
      <c r="G733" s="6"/>
      <c r="H733" s="6"/>
      <c r="I733" s="6"/>
      <c r="J733" s="6"/>
      <c r="K733" s="51"/>
      <c r="L733" s="51"/>
      <c r="M733" s="51"/>
      <c r="N733" s="51"/>
      <c r="O733" s="51"/>
      <c r="P733" s="51"/>
      <c r="Q733" s="51"/>
      <c r="R733" s="51"/>
      <c r="S733" s="51"/>
      <c r="T733" s="51"/>
      <c r="U733" s="51"/>
      <c r="V733" s="51"/>
      <c r="W733" s="51"/>
      <c r="X733" s="51"/>
      <c r="Y733" s="51"/>
      <c r="Z733" s="51"/>
      <c r="AA733" s="51"/>
      <c r="AB733" s="51"/>
    </row>
    <row r="734" customFormat="false" ht="15.75" hidden="false" customHeight="false" outlineLevel="0" collapsed="false">
      <c r="A734" s="51"/>
      <c r="B734" s="51"/>
      <c r="C734" s="6"/>
      <c r="D734" s="49"/>
      <c r="E734" s="51"/>
      <c r="F734" s="6"/>
      <c r="G734" s="6"/>
      <c r="H734" s="6"/>
      <c r="I734" s="6"/>
      <c r="J734" s="6"/>
      <c r="K734" s="51"/>
      <c r="L734" s="51"/>
      <c r="M734" s="51"/>
      <c r="N734" s="51"/>
      <c r="O734" s="51"/>
      <c r="P734" s="51"/>
      <c r="Q734" s="51"/>
      <c r="R734" s="51"/>
      <c r="S734" s="51"/>
      <c r="T734" s="51"/>
      <c r="U734" s="51"/>
      <c r="V734" s="51"/>
      <c r="W734" s="51"/>
      <c r="X734" s="51"/>
      <c r="Y734" s="51"/>
      <c r="Z734" s="51"/>
      <c r="AA734" s="51"/>
      <c r="AB734" s="51"/>
    </row>
    <row r="735" customFormat="false" ht="15.75" hidden="false" customHeight="false" outlineLevel="0" collapsed="false">
      <c r="A735" s="51"/>
      <c r="B735" s="51"/>
      <c r="C735" s="6"/>
      <c r="D735" s="49"/>
      <c r="E735" s="51"/>
      <c r="F735" s="6"/>
      <c r="G735" s="6"/>
      <c r="H735" s="6"/>
      <c r="I735" s="6"/>
      <c r="J735" s="6"/>
      <c r="K735" s="51"/>
      <c r="L735" s="51"/>
      <c r="M735" s="51"/>
      <c r="N735" s="51"/>
      <c r="O735" s="51"/>
      <c r="P735" s="51"/>
      <c r="Q735" s="51"/>
      <c r="R735" s="51"/>
      <c r="S735" s="51"/>
      <c r="T735" s="51"/>
      <c r="U735" s="51"/>
      <c r="V735" s="51"/>
      <c r="W735" s="51"/>
      <c r="X735" s="51"/>
      <c r="Y735" s="51"/>
      <c r="Z735" s="51"/>
      <c r="AA735" s="51"/>
      <c r="AB735" s="51"/>
    </row>
    <row r="736" customFormat="false" ht="15.75" hidden="false" customHeight="false" outlineLevel="0" collapsed="false">
      <c r="A736" s="51"/>
      <c r="B736" s="51"/>
      <c r="C736" s="6"/>
      <c r="D736" s="49"/>
      <c r="E736" s="51"/>
      <c r="F736" s="6"/>
      <c r="G736" s="6"/>
      <c r="H736" s="6"/>
      <c r="I736" s="6"/>
      <c r="J736" s="6"/>
      <c r="K736" s="51"/>
      <c r="L736" s="51"/>
      <c r="M736" s="51"/>
      <c r="N736" s="51"/>
      <c r="O736" s="51"/>
      <c r="P736" s="51"/>
      <c r="Q736" s="51"/>
      <c r="R736" s="51"/>
      <c r="S736" s="51"/>
      <c r="T736" s="51"/>
      <c r="U736" s="51"/>
      <c r="V736" s="51"/>
      <c r="W736" s="51"/>
      <c r="X736" s="51"/>
      <c r="Y736" s="51"/>
      <c r="Z736" s="51"/>
      <c r="AA736" s="51"/>
      <c r="AB736" s="51"/>
    </row>
    <row r="737" customFormat="false" ht="15.75" hidden="false" customHeight="false" outlineLevel="0" collapsed="false">
      <c r="A737" s="51"/>
      <c r="B737" s="51"/>
      <c r="C737" s="6"/>
      <c r="D737" s="49"/>
      <c r="E737" s="51"/>
      <c r="F737" s="6"/>
      <c r="G737" s="6"/>
      <c r="H737" s="6"/>
      <c r="I737" s="6"/>
      <c r="J737" s="6"/>
      <c r="K737" s="51"/>
      <c r="L737" s="51"/>
      <c r="M737" s="51"/>
      <c r="N737" s="51"/>
      <c r="O737" s="51"/>
      <c r="P737" s="51"/>
      <c r="Q737" s="51"/>
      <c r="R737" s="51"/>
      <c r="S737" s="51"/>
      <c r="T737" s="51"/>
      <c r="U737" s="51"/>
      <c r="V737" s="51"/>
      <c r="W737" s="51"/>
      <c r="X737" s="51"/>
      <c r="Y737" s="51"/>
      <c r="Z737" s="51"/>
      <c r="AA737" s="51"/>
      <c r="AB737" s="51"/>
    </row>
    <row r="738" customFormat="false" ht="15.75" hidden="false" customHeight="false" outlineLevel="0" collapsed="false">
      <c r="A738" s="51"/>
      <c r="B738" s="51"/>
      <c r="C738" s="6"/>
      <c r="D738" s="49"/>
      <c r="E738" s="51"/>
      <c r="F738" s="6"/>
      <c r="G738" s="6"/>
      <c r="H738" s="6"/>
      <c r="I738" s="6"/>
      <c r="J738" s="6"/>
      <c r="K738" s="51"/>
      <c r="L738" s="51"/>
      <c r="M738" s="51"/>
      <c r="N738" s="51"/>
      <c r="O738" s="51"/>
      <c r="P738" s="51"/>
      <c r="Q738" s="51"/>
      <c r="R738" s="51"/>
      <c r="S738" s="51"/>
      <c r="T738" s="51"/>
      <c r="U738" s="51"/>
      <c r="V738" s="51"/>
      <c r="W738" s="51"/>
      <c r="X738" s="51"/>
      <c r="Y738" s="51"/>
      <c r="Z738" s="51"/>
      <c r="AA738" s="51"/>
      <c r="AB738" s="51"/>
    </row>
    <row r="739" customFormat="false" ht="15.75" hidden="false" customHeight="false" outlineLevel="0" collapsed="false">
      <c r="A739" s="51"/>
      <c r="B739" s="51"/>
      <c r="C739" s="6"/>
      <c r="D739" s="49"/>
      <c r="E739" s="51"/>
      <c r="F739" s="6"/>
      <c r="G739" s="6"/>
      <c r="H739" s="6"/>
      <c r="I739" s="6"/>
      <c r="J739" s="6"/>
      <c r="K739" s="51"/>
      <c r="L739" s="51"/>
      <c r="M739" s="51"/>
      <c r="N739" s="51"/>
      <c r="O739" s="51"/>
      <c r="P739" s="51"/>
      <c r="Q739" s="51"/>
      <c r="R739" s="51"/>
      <c r="S739" s="51"/>
      <c r="T739" s="51"/>
      <c r="U739" s="51"/>
      <c r="V739" s="51"/>
      <c r="W739" s="51"/>
      <c r="X739" s="51"/>
      <c r="Y739" s="51"/>
      <c r="Z739" s="51"/>
      <c r="AA739" s="51"/>
      <c r="AB739" s="51"/>
    </row>
    <row r="740" customFormat="false" ht="15.75" hidden="false" customHeight="false" outlineLevel="0" collapsed="false">
      <c r="A740" s="51"/>
      <c r="B740" s="51"/>
      <c r="C740" s="6"/>
      <c r="D740" s="49"/>
      <c r="E740" s="51"/>
      <c r="F740" s="6"/>
      <c r="G740" s="6"/>
      <c r="H740" s="6"/>
      <c r="I740" s="6"/>
      <c r="J740" s="6"/>
      <c r="K740" s="51"/>
      <c r="L740" s="51"/>
      <c r="M740" s="51"/>
      <c r="N740" s="51"/>
      <c r="O740" s="51"/>
      <c r="P740" s="51"/>
      <c r="Q740" s="51"/>
      <c r="R740" s="51"/>
      <c r="S740" s="51"/>
      <c r="T740" s="51"/>
      <c r="U740" s="51"/>
      <c r="V740" s="51"/>
      <c r="W740" s="51"/>
      <c r="X740" s="51"/>
      <c r="Y740" s="51"/>
      <c r="Z740" s="51"/>
      <c r="AA740" s="51"/>
      <c r="AB740" s="51"/>
    </row>
    <row r="741" customFormat="false" ht="15.75" hidden="false" customHeight="false" outlineLevel="0" collapsed="false">
      <c r="A741" s="51"/>
      <c r="B741" s="51"/>
      <c r="C741" s="6"/>
      <c r="D741" s="49"/>
      <c r="E741" s="51"/>
      <c r="F741" s="6"/>
      <c r="G741" s="6"/>
      <c r="H741" s="6"/>
      <c r="I741" s="6"/>
      <c r="J741" s="6"/>
      <c r="K741" s="51"/>
      <c r="L741" s="51"/>
      <c r="M741" s="51"/>
      <c r="N741" s="51"/>
      <c r="O741" s="51"/>
      <c r="P741" s="51"/>
      <c r="Q741" s="51"/>
      <c r="R741" s="51"/>
      <c r="S741" s="51"/>
      <c r="T741" s="51"/>
      <c r="U741" s="51"/>
      <c r="V741" s="51"/>
      <c r="W741" s="51"/>
      <c r="X741" s="51"/>
      <c r="Y741" s="51"/>
      <c r="Z741" s="51"/>
      <c r="AA741" s="51"/>
      <c r="AB741" s="51"/>
    </row>
    <row r="742" customFormat="false" ht="15.75" hidden="false" customHeight="false" outlineLevel="0" collapsed="false">
      <c r="A742" s="51"/>
      <c r="B742" s="51"/>
      <c r="C742" s="6"/>
      <c r="D742" s="49"/>
      <c r="E742" s="51"/>
      <c r="F742" s="6"/>
      <c r="G742" s="6"/>
      <c r="H742" s="6"/>
      <c r="I742" s="6"/>
      <c r="J742" s="6"/>
      <c r="K742" s="51"/>
      <c r="L742" s="51"/>
      <c r="M742" s="51"/>
      <c r="N742" s="51"/>
      <c r="O742" s="51"/>
      <c r="P742" s="51"/>
      <c r="Q742" s="51"/>
      <c r="R742" s="51"/>
      <c r="S742" s="51"/>
      <c r="T742" s="51"/>
      <c r="U742" s="51"/>
      <c r="V742" s="51"/>
      <c r="W742" s="51"/>
      <c r="X742" s="51"/>
      <c r="Y742" s="51"/>
      <c r="Z742" s="51"/>
      <c r="AA742" s="51"/>
      <c r="AB742" s="51"/>
    </row>
    <row r="743" customFormat="false" ht="15.75" hidden="false" customHeight="false" outlineLevel="0" collapsed="false">
      <c r="A743" s="51"/>
      <c r="B743" s="51"/>
      <c r="C743" s="6"/>
      <c r="D743" s="49"/>
      <c r="E743" s="51"/>
      <c r="F743" s="6"/>
      <c r="G743" s="6"/>
      <c r="H743" s="6"/>
      <c r="I743" s="6"/>
      <c r="J743" s="6"/>
      <c r="K743" s="51"/>
      <c r="L743" s="51"/>
      <c r="M743" s="51"/>
      <c r="N743" s="51"/>
      <c r="O743" s="51"/>
      <c r="P743" s="51"/>
      <c r="Q743" s="51"/>
      <c r="R743" s="51"/>
      <c r="S743" s="51"/>
      <c r="T743" s="51"/>
      <c r="U743" s="51"/>
      <c r="V743" s="51"/>
      <c r="W743" s="51"/>
      <c r="X743" s="51"/>
      <c r="Y743" s="51"/>
      <c r="Z743" s="51"/>
      <c r="AA743" s="51"/>
      <c r="AB743" s="51"/>
    </row>
    <row r="744" customFormat="false" ht="15.75" hidden="false" customHeight="false" outlineLevel="0" collapsed="false">
      <c r="A744" s="51"/>
      <c r="B744" s="51"/>
      <c r="C744" s="6"/>
      <c r="D744" s="49"/>
      <c r="E744" s="51"/>
      <c r="F744" s="6"/>
      <c r="G744" s="6"/>
      <c r="H744" s="6"/>
      <c r="I744" s="6"/>
      <c r="J744" s="6"/>
      <c r="K744" s="51"/>
      <c r="L744" s="51"/>
      <c r="M744" s="51"/>
      <c r="N744" s="51"/>
      <c r="O744" s="51"/>
      <c r="P744" s="51"/>
      <c r="Q744" s="51"/>
      <c r="R744" s="51"/>
      <c r="S744" s="51"/>
      <c r="T744" s="51"/>
      <c r="U744" s="51"/>
      <c r="V744" s="51"/>
      <c r="W744" s="51"/>
      <c r="X744" s="51"/>
      <c r="Y744" s="51"/>
      <c r="Z744" s="51"/>
      <c r="AA744" s="51"/>
      <c r="AB744" s="51"/>
    </row>
    <row r="745" customFormat="false" ht="15.75" hidden="false" customHeight="false" outlineLevel="0" collapsed="false">
      <c r="A745" s="51"/>
      <c r="B745" s="51"/>
      <c r="C745" s="6"/>
      <c r="D745" s="49"/>
      <c r="E745" s="51"/>
      <c r="F745" s="6"/>
      <c r="G745" s="6"/>
      <c r="H745" s="6"/>
      <c r="I745" s="6"/>
      <c r="J745" s="6"/>
      <c r="K745" s="51"/>
      <c r="L745" s="51"/>
      <c r="M745" s="51"/>
      <c r="N745" s="51"/>
      <c r="O745" s="51"/>
      <c r="P745" s="51"/>
      <c r="Q745" s="51"/>
      <c r="R745" s="51"/>
      <c r="S745" s="51"/>
      <c r="T745" s="51"/>
      <c r="U745" s="51"/>
      <c r="V745" s="51"/>
      <c r="W745" s="51"/>
      <c r="X745" s="51"/>
      <c r="Y745" s="51"/>
      <c r="Z745" s="51"/>
      <c r="AA745" s="51"/>
      <c r="AB745" s="51"/>
    </row>
    <row r="746" customFormat="false" ht="15.75" hidden="false" customHeight="false" outlineLevel="0" collapsed="false">
      <c r="A746" s="51"/>
      <c r="B746" s="51"/>
      <c r="C746" s="6"/>
      <c r="D746" s="49"/>
      <c r="E746" s="51"/>
      <c r="F746" s="6"/>
      <c r="G746" s="6"/>
      <c r="H746" s="6"/>
      <c r="I746" s="6"/>
      <c r="J746" s="6"/>
      <c r="K746" s="51"/>
      <c r="L746" s="51"/>
      <c r="M746" s="51"/>
      <c r="N746" s="51"/>
      <c r="O746" s="51"/>
      <c r="P746" s="51"/>
      <c r="Q746" s="51"/>
      <c r="R746" s="51"/>
      <c r="S746" s="51"/>
      <c r="T746" s="51"/>
      <c r="U746" s="51"/>
      <c r="V746" s="51"/>
      <c r="W746" s="51"/>
      <c r="X746" s="51"/>
      <c r="Y746" s="51"/>
      <c r="Z746" s="51"/>
      <c r="AA746" s="51"/>
      <c r="AB746" s="51"/>
    </row>
    <row r="747" customFormat="false" ht="15.75" hidden="false" customHeight="false" outlineLevel="0" collapsed="false">
      <c r="A747" s="51"/>
      <c r="B747" s="51"/>
      <c r="C747" s="6"/>
      <c r="D747" s="49"/>
      <c r="E747" s="51"/>
      <c r="F747" s="6"/>
      <c r="G747" s="6"/>
      <c r="H747" s="6"/>
      <c r="I747" s="6"/>
      <c r="J747" s="6"/>
      <c r="K747" s="51"/>
      <c r="L747" s="51"/>
      <c r="M747" s="51"/>
      <c r="N747" s="51"/>
      <c r="O747" s="51"/>
      <c r="P747" s="51"/>
      <c r="Q747" s="51"/>
      <c r="R747" s="51"/>
      <c r="S747" s="51"/>
      <c r="T747" s="51"/>
      <c r="U747" s="51"/>
      <c r="V747" s="51"/>
      <c r="W747" s="51"/>
      <c r="X747" s="51"/>
      <c r="Y747" s="51"/>
      <c r="Z747" s="51"/>
      <c r="AA747" s="51"/>
      <c r="AB747" s="51"/>
    </row>
    <row r="748" customFormat="false" ht="15.75" hidden="false" customHeight="false" outlineLevel="0" collapsed="false">
      <c r="A748" s="51"/>
      <c r="B748" s="51"/>
      <c r="C748" s="6"/>
      <c r="D748" s="49"/>
      <c r="E748" s="51"/>
      <c r="F748" s="6"/>
      <c r="G748" s="6"/>
      <c r="H748" s="6"/>
      <c r="I748" s="6"/>
      <c r="J748" s="6"/>
      <c r="K748" s="51"/>
      <c r="L748" s="51"/>
      <c r="M748" s="51"/>
      <c r="N748" s="51"/>
      <c r="O748" s="51"/>
      <c r="P748" s="51"/>
      <c r="Q748" s="51"/>
      <c r="R748" s="51"/>
      <c r="S748" s="51"/>
      <c r="T748" s="51"/>
      <c r="U748" s="51"/>
      <c r="V748" s="51"/>
      <c r="W748" s="51"/>
      <c r="X748" s="51"/>
      <c r="Y748" s="51"/>
      <c r="Z748" s="51"/>
      <c r="AA748" s="51"/>
      <c r="AB748" s="51"/>
    </row>
    <row r="749" customFormat="false" ht="15.75" hidden="false" customHeight="false" outlineLevel="0" collapsed="false">
      <c r="A749" s="51"/>
      <c r="B749" s="51"/>
      <c r="C749" s="6"/>
      <c r="D749" s="49"/>
      <c r="E749" s="51"/>
      <c r="F749" s="6"/>
      <c r="G749" s="6"/>
      <c r="H749" s="6"/>
      <c r="I749" s="6"/>
      <c r="J749" s="6"/>
      <c r="K749" s="51"/>
      <c r="L749" s="51"/>
      <c r="M749" s="51"/>
      <c r="N749" s="51"/>
      <c r="O749" s="51"/>
      <c r="P749" s="51"/>
      <c r="Q749" s="51"/>
      <c r="R749" s="51"/>
      <c r="S749" s="51"/>
      <c r="T749" s="51"/>
      <c r="U749" s="51"/>
      <c r="V749" s="51"/>
      <c r="W749" s="51"/>
      <c r="X749" s="51"/>
      <c r="Y749" s="51"/>
      <c r="Z749" s="51"/>
      <c r="AA749" s="51"/>
      <c r="AB749" s="51"/>
    </row>
    <row r="750" customFormat="false" ht="15.75" hidden="false" customHeight="false" outlineLevel="0" collapsed="false">
      <c r="A750" s="51"/>
      <c r="B750" s="51"/>
      <c r="C750" s="6"/>
      <c r="D750" s="49"/>
      <c r="E750" s="51"/>
      <c r="F750" s="6"/>
      <c r="G750" s="6"/>
      <c r="H750" s="6"/>
      <c r="I750" s="6"/>
      <c r="J750" s="6"/>
      <c r="K750" s="51"/>
      <c r="L750" s="51"/>
      <c r="M750" s="51"/>
      <c r="N750" s="51"/>
      <c r="O750" s="51"/>
      <c r="P750" s="51"/>
      <c r="Q750" s="51"/>
      <c r="R750" s="51"/>
      <c r="S750" s="51"/>
      <c r="T750" s="51"/>
      <c r="U750" s="51"/>
      <c r="V750" s="51"/>
      <c r="W750" s="51"/>
      <c r="X750" s="51"/>
      <c r="Y750" s="51"/>
      <c r="Z750" s="51"/>
      <c r="AA750" s="51"/>
      <c r="AB750" s="51"/>
    </row>
    <row r="751" customFormat="false" ht="15.75" hidden="false" customHeight="false" outlineLevel="0" collapsed="false">
      <c r="A751" s="51"/>
      <c r="B751" s="51"/>
      <c r="C751" s="6"/>
      <c r="D751" s="49"/>
      <c r="E751" s="51"/>
      <c r="F751" s="6"/>
      <c r="G751" s="6"/>
      <c r="H751" s="6"/>
      <c r="I751" s="6"/>
      <c r="J751" s="6"/>
      <c r="K751" s="51"/>
      <c r="L751" s="51"/>
      <c r="M751" s="51"/>
      <c r="N751" s="51"/>
      <c r="O751" s="51"/>
      <c r="P751" s="51"/>
      <c r="Q751" s="51"/>
      <c r="R751" s="51"/>
      <c r="S751" s="51"/>
      <c r="T751" s="51"/>
      <c r="U751" s="51"/>
      <c r="V751" s="51"/>
      <c r="W751" s="51"/>
      <c r="X751" s="51"/>
      <c r="Y751" s="51"/>
      <c r="Z751" s="51"/>
      <c r="AA751" s="51"/>
      <c r="AB751" s="51"/>
    </row>
    <row r="752" customFormat="false" ht="15.75" hidden="false" customHeight="false" outlineLevel="0" collapsed="false">
      <c r="A752" s="51"/>
      <c r="B752" s="51"/>
      <c r="C752" s="6"/>
      <c r="D752" s="49"/>
      <c r="E752" s="51"/>
      <c r="F752" s="6"/>
      <c r="G752" s="6"/>
      <c r="H752" s="6"/>
      <c r="I752" s="6"/>
      <c r="J752" s="6"/>
      <c r="K752" s="51"/>
      <c r="L752" s="51"/>
      <c r="M752" s="51"/>
      <c r="N752" s="51"/>
      <c r="O752" s="51"/>
      <c r="P752" s="51"/>
      <c r="Q752" s="51"/>
      <c r="R752" s="51"/>
      <c r="S752" s="51"/>
      <c r="T752" s="51"/>
      <c r="U752" s="51"/>
      <c r="V752" s="51"/>
      <c r="W752" s="51"/>
      <c r="X752" s="51"/>
      <c r="Y752" s="51"/>
      <c r="Z752" s="51"/>
      <c r="AA752" s="51"/>
      <c r="AB752" s="51"/>
    </row>
    <row r="753" customFormat="false" ht="15.75" hidden="false" customHeight="false" outlineLevel="0" collapsed="false">
      <c r="A753" s="51"/>
      <c r="B753" s="51"/>
      <c r="C753" s="6"/>
      <c r="D753" s="49"/>
      <c r="E753" s="51"/>
      <c r="F753" s="6"/>
      <c r="G753" s="6"/>
      <c r="H753" s="6"/>
      <c r="I753" s="6"/>
      <c r="J753" s="6"/>
      <c r="K753" s="51"/>
      <c r="L753" s="51"/>
      <c r="M753" s="51"/>
      <c r="N753" s="51"/>
      <c r="O753" s="51"/>
      <c r="P753" s="51"/>
      <c r="Q753" s="51"/>
      <c r="R753" s="51"/>
      <c r="S753" s="51"/>
      <c r="T753" s="51"/>
      <c r="U753" s="51"/>
      <c r="V753" s="51"/>
      <c r="W753" s="51"/>
      <c r="X753" s="51"/>
      <c r="Y753" s="51"/>
      <c r="Z753" s="51"/>
      <c r="AA753" s="51"/>
      <c r="AB753" s="51"/>
    </row>
    <row r="754" customFormat="false" ht="15.75" hidden="false" customHeight="false" outlineLevel="0" collapsed="false">
      <c r="A754" s="51"/>
      <c r="B754" s="51"/>
      <c r="C754" s="6"/>
      <c r="D754" s="49"/>
      <c r="E754" s="51"/>
      <c r="F754" s="6"/>
      <c r="G754" s="6"/>
      <c r="H754" s="6"/>
      <c r="I754" s="6"/>
      <c r="J754" s="6"/>
      <c r="K754" s="51"/>
      <c r="L754" s="51"/>
      <c r="M754" s="51"/>
      <c r="N754" s="51"/>
      <c r="O754" s="51"/>
      <c r="P754" s="51"/>
      <c r="Q754" s="51"/>
      <c r="R754" s="51"/>
      <c r="S754" s="51"/>
      <c r="T754" s="51"/>
      <c r="U754" s="51"/>
      <c r="V754" s="51"/>
      <c r="W754" s="51"/>
      <c r="X754" s="51"/>
      <c r="Y754" s="51"/>
      <c r="Z754" s="51"/>
      <c r="AA754" s="51"/>
      <c r="AB754" s="51"/>
    </row>
    <row r="755" customFormat="false" ht="15.75" hidden="false" customHeight="false" outlineLevel="0" collapsed="false">
      <c r="A755" s="51"/>
      <c r="B755" s="51"/>
      <c r="C755" s="6"/>
      <c r="D755" s="49"/>
      <c r="E755" s="51"/>
      <c r="F755" s="6"/>
      <c r="G755" s="6"/>
      <c r="H755" s="6"/>
      <c r="I755" s="6"/>
      <c r="J755" s="6"/>
      <c r="K755" s="51"/>
      <c r="L755" s="51"/>
      <c r="M755" s="51"/>
      <c r="N755" s="51"/>
      <c r="O755" s="51"/>
      <c r="P755" s="51"/>
      <c r="Q755" s="51"/>
      <c r="R755" s="51"/>
      <c r="S755" s="51"/>
      <c r="T755" s="51"/>
      <c r="U755" s="51"/>
      <c r="V755" s="51"/>
      <c r="W755" s="51"/>
      <c r="X755" s="51"/>
      <c r="Y755" s="51"/>
      <c r="Z755" s="51"/>
      <c r="AA755" s="51"/>
      <c r="AB755" s="51"/>
    </row>
    <row r="756" customFormat="false" ht="15.75" hidden="false" customHeight="false" outlineLevel="0" collapsed="false">
      <c r="A756" s="51"/>
      <c r="B756" s="51"/>
      <c r="C756" s="6"/>
      <c r="D756" s="49"/>
      <c r="E756" s="51"/>
      <c r="F756" s="6"/>
      <c r="G756" s="6"/>
      <c r="H756" s="6"/>
      <c r="I756" s="6"/>
      <c r="J756" s="6"/>
      <c r="K756" s="51"/>
      <c r="L756" s="51"/>
      <c r="M756" s="51"/>
      <c r="N756" s="51"/>
      <c r="O756" s="51"/>
      <c r="P756" s="51"/>
      <c r="Q756" s="51"/>
      <c r="R756" s="51"/>
      <c r="S756" s="51"/>
      <c r="T756" s="51"/>
      <c r="U756" s="51"/>
      <c r="V756" s="51"/>
      <c r="W756" s="51"/>
      <c r="X756" s="51"/>
      <c r="Y756" s="51"/>
      <c r="Z756" s="51"/>
      <c r="AA756" s="51"/>
      <c r="AB756" s="51"/>
    </row>
    <row r="757" customFormat="false" ht="15.75" hidden="false" customHeight="false" outlineLevel="0" collapsed="false">
      <c r="A757" s="51"/>
      <c r="B757" s="51"/>
      <c r="C757" s="6"/>
      <c r="D757" s="49"/>
      <c r="E757" s="51"/>
      <c r="F757" s="6"/>
      <c r="G757" s="6"/>
      <c r="H757" s="6"/>
      <c r="I757" s="6"/>
      <c r="J757" s="6"/>
      <c r="K757" s="51"/>
      <c r="L757" s="51"/>
      <c r="M757" s="51"/>
      <c r="N757" s="51"/>
      <c r="O757" s="51"/>
      <c r="P757" s="51"/>
      <c r="Q757" s="51"/>
      <c r="R757" s="51"/>
      <c r="S757" s="51"/>
      <c r="T757" s="51"/>
      <c r="U757" s="51"/>
      <c r="V757" s="51"/>
      <c r="W757" s="51"/>
      <c r="X757" s="51"/>
      <c r="Y757" s="51"/>
      <c r="Z757" s="51"/>
      <c r="AA757" s="51"/>
      <c r="AB757" s="51"/>
    </row>
    <row r="758" customFormat="false" ht="15.75" hidden="false" customHeight="false" outlineLevel="0" collapsed="false">
      <c r="A758" s="51"/>
      <c r="B758" s="51"/>
      <c r="C758" s="6"/>
      <c r="D758" s="49"/>
      <c r="E758" s="51"/>
      <c r="F758" s="6"/>
      <c r="G758" s="6"/>
      <c r="H758" s="6"/>
      <c r="I758" s="6"/>
      <c r="J758" s="6"/>
      <c r="K758" s="51"/>
      <c r="L758" s="51"/>
      <c r="M758" s="51"/>
      <c r="N758" s="51"/>
      <c r="O758" s="51"/>
      <c r="P758" s="51"/>
      <c r="Q758" s="51"/>
      <c r="R758" s="51"/>
      <c r="S758" s="51"/>
      <c r="T758" s="51"/>
      <c r="U758" s="51"/>
      <c r="V758" s="51"/>
      <c r="W758" s="51"/>
      <c r="X758" s="51"/>
      <c r="Y758" s="51"/>
      <c r="Z758" s="51"/>
      <c r="AA758" s="51"/>
      <c r="AB758" s="51"/>
    </row>
    <row r="759" customFormat="false" ht="15.75" hidden="false" customHeight="false" outlineLevel="0" collapsed="false">
      <c r="A759" s="51"/>
      <c r="B759" s="51"/>
      <c r="C759" s="6"/>
      <c r="D759" s="49"/>
      <c r="E759" s="51"/>
      <c r="F759" s="6"/>
      <c r="G759" s="6"/>
      <c r="H759" s="6"/>
      <c r="I759" s="6"/>
      <c r="J759" s="6"/>
      <c r="K759" s="51"/>
      <c r="L759" s="51"/>
      <c r="M759" s="51"/>
      <c r="N759" s="51"/>
      <c r="O759" s="51"/>
      <c r="P759" s="51"/>
      <c r="Q759" s="51"/>
      <c r="R759" s="51"/>
      <c r="S759" s="51"/>
      <c r="T759" s="51"/>
      <c r="U759" s="51"/>
      <c r="V759" s="51"/>
      <c r="W759" s="51"/>
      <c r="X759" s="51"/>
      <c r="Y759" s="51"/>
      <c r="Z759" s="51"/>
      <c r="AA759" s="51"/>
      <c r="AB759" s="51"/>
    </row>
    <row r="760" customFormat="false" ht="15.75" hidden="false" customHeight="false" outlineLevel="0" collapsed="false">
      <c r="A760" s="51"/>
      <c r="B760" s="51"/>
      <c r="C760" s="6"/>
      <c r="D760" s="49"/>
      <c r="E760" s="51"/>
      <c r="F760" s="6"/>
      <c r="G760" s="6"/>
      <c r="H760" s="6"/>
      <c r="I760" s="6"/>
      <c r="J760" s="6"/>
      <c r="K760" s="51"/>
      <c r="L760" s="51"/>
      <c r="M760" s="51"/>
      <c r="N760" s="51"/>
      <c r="O760" s="51"/>
      <c r="P760" s="51"/>
      <c r="Q760" s="51"/>
      <c r="R760" s="51"/>
      <c r="S760" s="51"/>
      <c r="T760" s="51"/>
      <c r="U760" s="51"/>
      <c r="V760" s="51"/>
      <c r="W760" s="51"/>
      <c r="X760" s="51"/>
      <c r="Y760" s="51"/>
      <c r="Z760" s="51"/>
      <c r="AA760" s="51"/>
      <c r="AB760" s="51"/>
    </row>
    <row r="761" customFormat="false" ht="15.75" hidden="false" customHeight="false" outlineLevel="0" collapsed="false">
      <c r="A761" s="51"/>
      <c r="B761" s="51"/>
      <c r="C761" s="6"/>
      <c r="D761" s="49"/>
      <c r="E761" s="51"/>
      <c r="F761" s="6"/>
      <c r="G761" s="6"/>
      <c r="H761" s="6"/>
      <c r="I761" s="6"/>
      <c r="J761" s="6"/>
      <c r="K761" s="51"/>
      <c r="L761" s="51"/>
      <c r="M761" s="51"/>
      <c r="N761" s="51"/>
      <c r="O761" s="51"/>
      <c r="P761" s="51"/>
      <c r="Q761" s="51"/>
      <c r="R761" s="51"/>
      <c r="S761" s="51"/>
      <c r="T761" s="51"/>
      <c r="U761" s="51"/>
      <c r="V761" s="51"/>
      <c r="W761" s="51"/>
      <c r="X761" s="51"/>
      <c r="Y761" s="51"/>
      <c r="Z761" s="51"/>
      <c r="AA761" s="51"/>
      <c r="AB761" s="51"/>
    </row>
    <row r="762" customFormat="false" ht="15.75" hidden="false" customHeight="false" outlineLevel="0" collapsed="false">
      <c r="A762" s="51"/>
      <c r="B762" s="51"/>
      <c r="C762" s="6"/>
      <c r="D762" s="49"/>
      <c r="E762" s="51"/>
      <c r="F762" s="6"/>
      <c r="G762" s="6"/>
      <c r="H762" s="6"/>
      <c r="I762" s="6"/>
      <c r="J762" s="6"/>
      <c r="K762" s="51"/>
      <c r="L762" s="51"/>
      <c r="M762" s="51"/>
      <c r="N762" s="51"/>
      <c r="O762" s="51"/>
      <c r="P762" s="51"/>
      <c r="Q762" s="51"/>
      <c r="R762" s="51"/>
      <c r="S762" s="51"/>
      <c r="T762" s="51"/>
      <c r="U762" s="51"/>
      <c r="V762" s="51"/>
      <c r="W762" s="51"/>
      <c r="X762" s="51"/>
      <c r="Y762" s="51"/>
      <c r="Z762" s="51"/>
      <c r="AA762" s="51"/>
      <c r="AB762" s="51"/>
    </row>
    <row r="763" customFormat="false" ht="15.75" hidden="false" customHeight="false" outlineLevel="0" collapsed="false">
      <c r="A763" s="51"/>
      <c r="B763" s="51"/>
      <c r="C763" s="6"/>
      <c r="D763" s="49"/>
      <c r="E763" s="51"/>
      <c r="F763" s="6"/>
      <c r="G763" s="6"/>
      <c r="H763" s="6"/>
      <c r="I763" s="6"/>
      <c r="J763" s="6"/>
      <c r="K763" s="51"/>
      <c r="L763" s="51"/>
      <c r="M763" s="51"/>
      <c r="N763" s="51"/>
      <c r="O763" s="51"/>
      <c r="P763" s="51"/>
      <c r="Q763" s="51"/>
      <c r="R763" s="51"/>
      <c r="S763" s="51"/>
      <c r="T763" s="51"/>
      <c r="U763" s="51"/>
      <c r="V763" s="51"/>
      <c r="W763" s="51"/>
      <c r="X763" s="51"/>
      <c r="Y763" s="51"/>
      <c r="Z763" s="51"/>
      <c r="AA763" s="51"/>
      <c r="AB763" s="51"/>
    </row>
    <row r="764" customFormat="false" ht="15.75" hidden="false" customHeight="false" outlineLevel="0" collapsed="false">
      <c r="A764" s="51"/>
      <c r="B764" s="51"/>
      <c r="C764" s="6"/>
      <c r="D764" s="49"/>
      <c r="E764" s="51"/>
      <c r="F764" s="6"/>
      <c r="G764" s="6"/>
      <c r="H764" s="6"/>
      <c r="I764" s="6"/>
      <c r="J764" s="6"/>
      <c r="K764" s="51"/>
      <c r="L764" s="51"/>
      <c r="M764" s="51"/>
      <c r="N764" s="51"/>
      <c r="O764" s="51"/>
      <c r="P764" s="51"/>
      <c r="Q764" s="51"/>
      <c r="R764" s="51"/>
      <c r="S764" s="51"/>
      <c r="T764" s="51"/>
      <c r="U764" s="51"/>
      <c r="V764" s="51"/>
      <c r="W764" s="51"/>
      <c r="X764" s="51"/>
      <c r="Y764" s="51"/>
      <c r="Z764" s="51"/>
      <c r="AA764" s="51"/>
      <c r="AB764" s="51"/>
    </row>
    <row r="765" customFormat="false" ht="15.75" hidden="false" customHeight="false" outlineLevel="0" collapsed="false">
      <c r="A765" s="51"/>
      <c r="B765" s="51"/>
      <c r="C765" s="6"/>
      <c r="D765" s="49"/>
      <c r="E765" s="51"/>
      <c r="F765" s="6"/>
      <c r="G765" s="6"/>
      <c r="H765" s="6"/>
      <c r="I765" s="6"/>
      <c r="J765" s="6"/>
      <c r="K765" s="51"/>
      <c r="L765" s="51"/>
      <c r="M765" s="51"/>
      <c r="N765" s="51"/>
      <c r="O765" s="51"/>
      <c r="P765" s="51"/>
      <c r="Q765" s="51"/>
      <c r="R765" s="51"/>
      <c r="S765" s="51"/>
      <c r="T765" s="51"/>
      <c r="U765" s="51"/>
      <c r="V765" s="51"/>
      <c r="W765" s="51"/>
      <c r="X765" s="51"/>
      <c r="Y765" s="51"/>
      <c r="Z765" s="51"/>
      <c r="AA765" s="51"/>
      <c r="AB765" s="51"/>
    </row>
    <row r="766" customFormat="false" ht="15.75" hidden="false" customHeight="false" outlineLevel="0" collapsed="false">
      <c r="A766" s="51"/>
      <c r="B766" s="51"/>
      <c r="C766" s="6"/>
      <c r="D766" s="49"/>
      <c r="E766" s="51"/>
      <c r="F766" s="6"/>
      <c r="G766" s="6"/>
      <c r="H766" s="6"/>
      <c r="I766" s="6"/>
      <c r="J766" s="6"/>
      <c r="K766" s="51"/>
      <c r="L766" s="51"/>
      <c r="M766" s="51"/>
      <c r="N766" s="51"/>
      <c r="O766" s="51"/>
      <c r="P766" s="51"/>
      <c r="Q766" s="51"/>
      <c r="R766" s="51"/>
      <c r="S766" s="51"/>
      <c r="T766" s="51"/>
      <c r="U766" s="51"/>
      <c r="V766" s="51"/>
      <c r="W766" s="51"/>
      <c r="X766" s="51"/>
      <c r="Y766" s="51"/>
      <c r="Z766" s="51"/>
      <c r="AA766" s="51"/>
      <c r="AB766" s="51"/>
    </row>
    <row r="767" customFormat="false" ht="15.75" hidden="false" customHeight="false" outlineLevel="0" collapsed="false">
      <c r="A767" s="51"/>
      <c r="B767" s="51"/>
      <c r="C767" s="6"/>
      <c r="D767" s="49"/>
      <c r="E767" s="51"/>
      <c r="F767" s="6"/>
      <c r="G767" s="6"/>
      <c r="H767" s="6"/>
      <c r="I767" s="6"/>
      <c r="J767" s="6"/>
      <c r="K767" s="51"/>
      <c r="L767" s="51"/>
      <c r="M767" s="51"/>
      <c r="N767" s="51"/>
      <c r="O767" s="51"/>
      <c r="P767" s="51"/>
      <c r="Q767" s="51"/>
      <c r="R767" s="51"/>
      <c r="S767" s="51"/>
      <c r="T767" s="51"/>
      <c r="U767" s="51"/>
      <c r="V767" s="51"/>
      <c r="W767" s="51"/>
      <c r="X767" s="51"/>
      <c r="Y767" s="51"/>
      <c r="Z767" s="51"/>
      <c r="AA767" s="51"/>
      <c r="AB767" s="51"/>
    </row>
    <row r="768" customFormat="false" ht="15.75" hidden="false" customHeight="false" outlineLevel="0" collapsed="false">
      <c r="A768" s="51"/>
      <c r="B768" s="51"/>
      <c r="C768" s="6"/>
      <c r="D768" s="49"/>
      <c r="E768" s="51"/>
      <c r="F768" s="6"/>
      <c r="G768" s="6"/>
      <c r="H768" s="6"/>
      <c r="I768" s="6"/>
      <c r="J768" s="6"/>
      <c r="K768" s="51"/>
      <c r="L768" s="51"/>
      <c r="M768" s="51"/>
      <c r="N768" s="51"/>
      <c r="O768" s="51"/>
      <c r="P768" s="51"/>
      <c r="Q768" s="51"/>
      <c r="R768" s="51"/>
      <c r="S768" s="51"/>
      <c r="T768" s="51"/>
      <c r="U768" s="51"/>
      <c r="V768" s="51"/>
      <c r="W768" s="51"/>
      <c r="X768" s="51"/>
      <c r="Y768" s="51"/>
      <c r="Z768" s="51"/>
      <c r="AA768" s="51"/>
      <c r="AB768" s="51"/>
    </row>
    <row r="769" customFormat="false" ht="15.75" hidden="false" customHeight="false" outlineLevel="0" collapsed="false">
      <c r="A769" s="51"/>
      <c r="B769" s="51"/>
      <c r="C769" s="6"/>
      <c r="D769" s="49"/>
      <c r="E769" s="51"/>
      <c r="F769" s="6"/>
      <c r="G769" s="6"/>
      <c r="H769" s="6"/>
      <c r="I769" s="6"/>
      <c r="J769" s="6"/>
      <c r="K769" s="51"/>
      <c r="L769" s="51"/>
      <c r="M769" s="51"/>
      <c r="N769" s="51"/>
      <c r="O769" s="51"/>
      <c r="P769" s="51"/>
      <c r="Q769" s="51"/>
      <c r="R769" s="51"/>
      <c r="S769" s="51"/>
      <c r="T769" s="51"/>
      <c r="U769" s="51"/>
      <c r="V769" s="51"/>
      <c r="W769" s="51"/>
      <c r="X769" s="51"/>
      <c r="Y769" s="51"/>
      <c r="Z769" s="51"/>
      <c r="AA769" s="51"/>
      <c r="AB769" s="51"/>
    </row>
    <row r="770" customFormat="false" ht="15.75" hidden="false" customHeight="false" outlineLevel="0" collapsed="false">
      <c r="A770" s="51"/>
      <c r="B770" s="51"/>
      <c r="C770" s="6"/>
      <c r="D770" s="49"/>
      <c r="E770" s="51"/>
      <c r="F770" s="6"/>
      <c r="G770" s="6"/>
      <c r="H770" s="6"/>
      <c r="I770" s="6"/>
      <c r="J770" s="6"/>
      <c r="K770" s="51"/>
      <c r="L770" s="51"/>
      <c r="M770" s="51"/>
      <c r="N770" s="51"/>
      <c r="O770" s="51"/>
      <c r="P770" s="51"/>
      <c r="Q770" s="51"/>
      <c r="R770" s="51"/>
      <c r="S770" s="51"/>
      <c r="T770" s="51"/>
      <c r="U770" s="51"/>
      <c r="V770" s="51"/>
      <c r="W770" s="51"/>
      <c r="X770" s="51"/>
      <c r="Y770" s="51"/>
      <c r="Z770" s="51"/>
      <c r="AA770" s="51"/>
      <c r="AB770" s="51"/>
    </row>
    <row r="771" customFormat="false" ht="15.75" hidden="false" customHeight="false" outlineLevel="0" collapsed="false">
      <c r="A771" s="51"/>
      <c r="B771" s="51"/>
      <c r="C771" s="6"/>
      <c r="D771" s="49"/>
      <c r="E771" s="51"/>
      <c r="F771" s="6"/>
      <c r="G771" s="6"/>
      <c r="H771" s="6"/>
      <c r="I771" s="6"/>
      <c r="J771" s="6"/>
      <c r="K771" s="51"/>
      <c r="L771" s="51"/>
      <c r="M771" s="51"/>
      <c r="N771" s="51"/>
      <c r="O771" s="51"/>
      <c r="P771" s="51"/>
      <c r="Q771" s="51"/>
      <c r="R771" s="51"/>
      <c r="S771" s="51"/>
      <c r="T771" s="51"/>
      <c r="U771" s="51"/>
      <c r="V771" s="51"/>
      <c r="W771" s="51"/>
      <c r="X771" s="51"/>
      <c r="Y771" s="51"/>
      <c r="Z771" s="51"/>
      <c r="AA771" s="51"/>
      <c r="AB771" s="51"/>
    </row>
    <row r="772" customFormat="false" ht="15.75" hidden="false" customHeight="false" outlineLevel="0" collapsed="false">
      <c r="A772" s="51"/>
      <c r="B772" s="51"/>
      <c r="C772" s="6"/>
      <c r="D772" s="49"/>
      <c r="E772" s="51"/>
      <c r="F772" s="6"/>
      <c r="G772" s="6"/>
      <c r="H772" s="6"/>
      <c r="I772" s="6"/>
      <c r="J772" s="6"/>
      <c r="K772" s="51"/>
      <c r="L772" s="51"/>
      <c r="M772" s="51"/>
      <c r="N772" s="51"/>
      <c r="O772" s="51"/>
      <c r="P772" s="51"/>
      <c r="Q772" s="51"/>
      <c r="R772" s="51"/>
      <c r="S772" s="51"/>
      <c r="T772" s="51"/>
      <c r="U772" s="51"/>
      <c r="V772" s="51"/>
      <c r="W772" s="51"/>
      <c r="X772" s="51"/>
      <c r="Y772" s="51"/>
      <c r="Z772" s="51"/>
      <c r="AA772" s="51"/>
      <c r="AB772" s="51"/>
    </row>
    <row r="773" customFormat="false" ht="15.75" hidden="false" customHeight="false" outlineLevel="0" collapsed="false">
      <c r="A773" s="51"/>
      <c r="B773" s="51"/>
      <c r="C773" s="6"/>
      <c r="D773" s="49"/>
      <c r="E773" s="51"/>
      <c r="F773" s="6"/>
      <c r="G773" s="6"/>
      <c r="H773" s="6"/>
      <c r="I773" s="6"/>
      <c r="J773" s="6"/>
      <c r="K773" s="51"/>
      <c r="L773" s="51"/>
      <c r="M773" s="51"/>
      <c r="N773" s="51"/>
      <c r="O773" s="51"/>
      <c r="P773" s="51"/>
      <c r="Q773" s="51"/>
      <c r="R773" s="51"/>
      <c r="S773" s="51"/>
      <c r="T773" s="51"/>
      <c r="U773" s="51"/>
      <c r="V773" s="51"/>
      <c r="W773" s="51"/>
      <c r="X773" s="51"/>
      <c r="Y773" s="51"/>
      <c r="Z773" s="51"/>
      <c r="AA773" s="51"/>
      <c r="AB773" s="51"/>
    </row>
    <row r="774" customFormat="false" ht="15.75" hidden="false" customHeight="false" outlineLevel="0" collapsed="false">
      <c r="A774" s="51"/>
      <c r="B774" s="51"/>
      <c r="C774" s="6"/>
      <c r="D774" s="49"/>
      <c r="E774" s="51"/>
      <c r="F774" s="6"/>
      <c r="G774" s="6"/>
      <c r="H774" s="6"/>
      <c r="I774" s="6"/>
      <c r="J774" s="6"/>
      <c r="K774" s="51"/>
      <c r="L774" s="51"/>
      <c r="M774" s="51"/>
      <c r="N774" s="51"/>
      <c r="O774" s="51"/>
      <c r="P774" s="51"/>
      <c r="Q774" s="51"/>
      <c r="R774" s="51"/>
      <c r="S774" s="51"/>
      <c r="T774" s="51"/>
      <c r="U774" s="51"/>
      <c r="V774" s="51"/>
      <c r="W774" s="51"/>
      <c r="X774" s="51"/>
      <c r="Y774" s="51"/>
      <c r="Z774" s="51"/>
      <c r="AA774" s="51"/>
      <c r="AB774" s="51"/>
    </row>
    <row r="775" customFormat="false" ht="15.75" hidden="false" customHeight="false" outlineLevel="0" collapsed="false">
      <c r="A775" s="51"/>
      <c r="B775" s="51"/>
      <c r="C775" s="6"/>
      <c r="D775" s="49"/>
      <c r="E775" s="51"/>
      <c r="F775" s="6"/>
      <c r="G775" s="6"/>
      <c r="H775" s="6"/>
      <c r="I775" s="6"/>
      <c r="J775" s="6"/>
      <c r="K775" s="51"/>
      <c r="L775" s="51"/>
      <c r="M775" s="51"/>
      <c r="N775" s="51"/>
      <c r="O775" s="51"/>
      <c r="P775" s="51"/>
      <c r="Q775" s="51"/>
      <c r="R775" s="51"/>
      <c r="S775" s="51"/>
      <c r="T775" s="51"/>
      <c r="U775" s="51"/>
      <c r="V775" s="51"/>
      <c r="W775" s="51"/>
      <c r="X775" s="51"/>
      <c r="Y775" s="51"/>
      <c r="Z775" s="51"/>
      <c r="AA775" s="51"/>
      <c r="AB775" s="51"/>
    </row>
    <row r="776" customFormat="false" ht="15.75" hidden="false" customHeight="false" outlineLevel="0" collapsed="false">
      <c r="A776" s="51"/>
      <c r="B776" s="51"/>
      <c r="C776" s="6"/>
      <c r="D776" s="49"/>
      <c r="E776" s="51"/>
      <c r="F776" s="6"/>
      <c r="G776" s="6"/>
      <c r="H776" s="6"/>
      <c r="I776" s="6"/>
      <c r="J776" s="6"/>
      <c r="K776" s="51"/>
      <c r="L776" s="51"/>
      <c r="M776" s="51"/>
      <c r="N776" s="51"/>
      <c r="O776" s="51"/>
      <c r="P776" s="51"/>
      <c r="Q776" s="51"/>
      <c r="R776" s="51"/>
      <c r="S776" s="51"/>
      <c r="T776" s="51"/>
      <c r="U776" s="51"/>
      <c r="V776" s="51"/>
      <c r="W776" s="51"/>
      <c r="X776" s="51"/>
      <c r="Y776" s="51"/>
      <c r="Z776" s="51"/>
      <c r="AA776" s="51"/>
      <c r="AB776" s="51"/>
    </row>
    <row r="777" customFormat="false" ht="15.75" hidden="false" customHeight="false" outlineLevel="0" collapsed="false">
      <c r="A777" s="51"/>
      <c r="B777" s="51"/>
      <c r="C777" s="6"/>
      <c r="D777" s="49"/>
      <c r="E777" s="51"/>
      <c r="F777" s="6"/>
      <c r="G777" s="6"/>
      <c r="H777" s="6"/>
      <c r="I777" s="6"/>
      <c r="J777" s="6"/>
      <c r="K777" s="51"/>
      <c r="L777" s="51"/>
      <c r="M777" s="51"/>
      <c r="N777" s="51"/>
      <c r="O777" s="51"/>
      <c r="P777" s="51"/>
      <c r="Q777" s="51"/>
      <c r="R777" s="51"/>
      <c r="S777" s="51"/>
      <c r="T777" s="51"/>
      <c r="U777" s="51"/>
      <c r="V777" s="51"/>
      <c r="W777" s="51"/>
      <c r="X777" s="51"/>
      <c r="Y777" s="51"/>
      <c r="Z777" s="51"/>
      <c r="AA777" s="51"/>
      <c r="AB777" s="51"/>
    </row>
    <row r="778" customFormat="false" ht="15.75" hidden="false" customHeight="false" outlineLevel="0" collapsed="false">
      <c r="A778" s="51"/>
      <c r="B778" s="51"/>
      <c r="C778" s="6"/>
      <c r="D778" s="49"/>
      <c r="E778" s="51"/>
      <c r="F778" s="6"/>
      <c r="G778" s="6"/>
      <c r="H778" s="6"/>
      <c r="I778" s="6"/>
      <c r="J778" s="6"/>
      <c r="K778" s="51"/>
      <c r="L778" s="51"/>
      <c r="M778" s="51"/>
      <c r="N778" s="51"/>
      <c r="O778" s="51"/>
      <c r="P778" s="51"/>
      <c r="Q778" s="51"/>
      <c r="R778" s="51"/>
      <c r="S778" s="51"/>
      <c r="T778" s="51"/>
      <c r="U778" s="51"/>
      <c r="V778" s="51"/>
      <c r="W778" s="51"/>
      <c r="X778" s="51"/>
      <c r="Y778" s="51"/>
      <c r="Z778" s="51"/>
      <c r="AA778" s="51"/>
      <c r="AB778" s="51"/>
    </row>
    <row r="779" customFormat="false" ht="15.75" hidden="false" customHeight="false" outlineLevel="0" collapsed="false">
      <c r="A779" s="51"/>
      <c r="B779" s="51"/>
      <c r="C779" s="6"/>
      <c r="D779" s="49"/>
      <c r="E779" s="51"/>
      <c r="F779" s="6"/>
      <c r="G779" s="6"/>
      <c r="H779" s="6"/>
      <c r="I779" s="6"/>
      <c r="J779" s="6"/>
      <c r="K779" s="51"/>
      <c r="L779" s="51"/>
      <c r="M779" s="51"/>
      <c r="N779" s="51"/>
      <c r="O779" s="51"/>
      <c r="P779" s="51"/>
      <c r="Q779" s="51"/>
      <c r="R779" s="51"/>
      <c r="S779" s="51"/>
      <c r="T779" s="51"/>
      <c r="U779" s="51"/>
      <c r="V779" s="51"/>
      <c r="W779" s="51"/>
      <c r="X779" s="51"/>
      <c r="Y779" s="51"/>
      <c r="Z779" s="51"/>
      <c r="AA779" s="51"/>
      <c r="AB779" s="51"/>
    </row>
    <row r="780" customFormat="false" ht="15.75" hidden="false" customHeight="false" outlineLevel="0" collapsed="false">
      <c r="A780" s="51"/>
      <c r="B780" s="51"/>
      <c r="C780" s="6"/>
      <c r="D780" s="49"/>
      <c r="E780" s="51"/>
      <c r="F780" s="6"/>
      <c r="G780" s="6"/>
      <c r="H780" s="6"/>
      <c r="I780" s="6"/>
      <c r="J780" s="6"/>
      <c r="K780" s="51"/>
      <c r="L780" s="51"/>
      <c r="M780" s="51"/>
      <c r="N780" s="51"/>
      <c r="O780" s="51"/>
      <c r="P780" s="51"/>
      <c r="Q780" s="51"/>
      <c r="R780" s="51"/>
      <c r="S780" s="51"/>
      <c r="T780" s="51"/>
      <c r="U780" s="51"/>
      <c r="V780" s="51"/>
      <c r="W780" s="51"/>
      <c r="X780" s="51"/>
      <c r="Y780" s="51"/>
      <c r="Z780" s="51"/>
      <c r="AA780" s="51"/>
      <c r="AB780" s="51"/>
    </row>
    <row r="781" customFormat="false" ht="15.75" hidden="false" customHeight="false" outlineLevel="0" collapsed="false">
      <c r="A781" s="51"/>
      <c r="B781" s="51"/>
      <c r="C781" s="6"/>
      <c r="D781" s="49"/>
      <c r="E781" s="51"/>
      <c r="F781" s="6"/>
      <c r="G781" s="6"/>
      <c r="H781" s="6"/>
      <c r="I781" s="6"/>
      <c r="J781" s="6"/>
      <c r="K781" s="51"/>
      <c r="L781" s="51"/>
      <c r="M781" s="51"/>
      <c r="N781" s="51"/>
      <c r="O781" s="51"/>
      <c r="P781" s="51"/>
      <c r="Q781" s="51"/>
      <c r="R781" s="51"/>
      <c r="S781" s="51"/>
      <c r="T781" s="51"/>
      <c r="U781" s="51"/>
      <c r="V781" s="51"/>
      <c r="W781" s="51"/>
      <c r="X781" s="51"/>
      <c r="Y781" s="51"/>
      <c r="Z781" s="51"/>
      <c r="AA781" s="51"/>
      <c r="AB781" s="51"/>
    </row>
    <row r="782" customFormat="false" ht="15.75" hidden="false" customHeight="false" outlineLevel="0" collapsed="false">
      <c r="A782" s="51"/>
      <c r="B782" s="51"/>
      <c r="C782" s="6"/>
      <c r="D782" s="49"/>
      <c r="E782" s="51"/>
      <c r="F782" s="6"/>
      <c r="G782" s="6"/>
      <c r="H782" s="6"/>
      <c r="I782" s="6"/>
      <c r="J782" s="6"/>
      <c r="K782" s="51"/>
      <c r="L782" s="51"/>
      <c r="M782" s="51"/>
      <c r="N782" s="51"/>
      <c r="O782" s="51"/>
      <c r="P782" s="51"/>
      <c r="Q782" s="51"/>
      <c r="R782" s="51"/>
      <c r="S782" s="51"/>
      <c r="T782" s="51"/>
      <c r="U782" s="51"/>
      <c r="V782" s="51"/>
      <c r="W782" s="51"/>
      <c r="X782" s="51"/>
      <c r="Y782" s="51"/>
      <c r="Z782" s="51"/>
      <c r="AA782" s="51"/>
      <c r="AB782" s="51"/>
    </row>
    <row r="783" customFormat="false" ht="15.75" hidden="false" customHeight="false" outlineLevel="0" collapsed="false">
      <c r="A783" s="51"/>
      <c r="B783" s="51"/>
      <c r="C783" s="6"/>
      <c r="D783" s="49"/>
      <c r="E783" s="51"/>
      <c r="F783" s="6"/>
      <c r="G783" s="6"/>
      <c r="H783" s="6"/>
      <c r="I783" s="6"/>
      <c r="J783" s="6"/>
      <c r="K783" s="51"/>
      <c r="L783" s="51"/>
      <c r="M783" s="51"/>
      <c r="N783" s="51"/>
      <c r="O783" s="51"/>
      <c r="P783" s="51"/>
      <c r="Q783" s="51"/>
      <c r="R783" s="51"/>
      <c r="S783" s="51"/>
      <c r="T783" s="51"/>
      <c r="U783" s="51"/>
      <c r="V783" s="51"/>
      <c r="W783" s="51"/>
      <c r="X783" s="51"/>
      <c r="Y783" s="51"/>
      <c r="Z783" s="51"/>
      <c r="AA783" s="51"/>
      <c r="AB783" s="51"/>
    </row>
    <row r="784" customFormat="false" ht="15.75" hidden="false" customHeight="false" outlineLevel="0" collapsed="false">
      <c r="A784" s="51"/>
      <c r="B784" s="51"/>
      <c r="C784" s="6"/>
      <c r="D784" s="49"/>
      <c r="E784" s="51"/>
      <c r="F784" s="6"/>
      <c r="G784" s="6"/>
      <c r="H784" s="6"/>
      <c r="I784" s="6"/>
      <c r="J784" s="6"/>
      <c r="K784" s="51"/>
      <c r="L784" s="51"/>
      <c r="M784" s="51"/>
      <c r="N784" s="51"/>
      <c r="O784" s="51"/>
      <c r="P784" s="51"/>
      <c r="Q784" s="51"/>
      <c r="R784" s="51"/>
      <c r="S784" s="51"/>
      <c r="T784" s="51"/>
      <c r="U784" s="51"/>
      <c r="V784" s="51"/>
      <c r="W784" s="51"/>
      <c r="X784" s="51"/>
      <c r="Y784" s="51"/>
      <c r="Z784" s="51"/>
      <c r="AA784" s="51"/>
      <c r="AB784" s="51"/>
    </row>
    <row r="785" customFormat="false" ht="15.75" hidden="false" customHeight="false" outlineLevel="0" collapsed="false">
      <c r="A785" s="51"/>
      <c r="B785" s="51"/>
      <c r="C785" s="6"/>
      <c r="D785" s="49"/>
      <c r="E785" s="51"/>
      <c r="F785" s="6"/>
      <c r="G785" s="6"/>
      <c r="H785" s="6"/>
      <c r="I785" s="6"/>
      <c r="J785" s="6"/>
      <c r="K785" s="51"/>
      <c r="L785" s="51"/>
      <c r="M785" s="51"/>
      <c r="N785" s="51"/>
      <c r="O785" s="51"/>
      <c r="P785" s="51"/>
      <c r="Q785" s="51"/>
      <c r="R785" s="51"/>
      <c r="S785" s="51"/>
      <c r="T785" s="51"/>
      <c r="U785" s="51"/>
      <c r="V785" s="51"/>
      <c r="W785" s="51"/>
      <c r="X785" s="51"/>
      <c r="Y785" s="51"/>
      <c r="Z785" s="51"/>
      <c r="AA785" s="51"/>
      <c r="AB785" s="51"/>
    </row>
    <row r="786" customFormat="false" ht="15.75" hidden="false" customHeight="false" outlineLevel="0" collapsed="false">
      <c r="A786" s="51"/>
      <c r="B786" s="51"/>
      <c r="C786" s="6"/>
      <c r="D786" s="49"/>
      <c r="E786" s="51"/>
      <c r="F786" s="6"/>
      <c r="G786" s="6"/>
      <c r="H786" s="6"/>
      <c r="I786" s="6"/>
      <c r="J786" s="6"/>
      <c r="K786" s="51"/>
      <c r="L786" s="51"/>
      <c r="M786" s="51"/>
      <c r="N786" s="51"/>
      <c r="O786" s="51"/>
      <c r="P786" s="51"/>
      <c r="Q786" s="51"/>
      <c r="R786" s="51"/>
      <c r="S786" s="51"/>
      <c r="T786" s="51"/>
      <c r="U786" s="51"/>
      <c r="V786" s="51"/>
      <c r="W786" s="51"/>
      <c r="X786" s="51"/>
      <c r="Y786" s="51"/>
      <c r="Z786" s="51"/>
      <c r="AA786" s="51"/>
      <c r="AB786" s="51"/>
    </row>
    <row r="787" customFormat="false" ht="15.75" hidden="false" customHeight="false" outlineLevel="0" collapsed="false">
      <c r="A787" s="51"/>
      <c r="B787" s="51"/>
      <c r="C787" s="6"/>
      <c r="D787" s="49"/>
      <c r="E787" s="51"/>
      <c r="F787" s="6"/>
      <c r="G787" s="6"/>
      <c r="H787" s="6"/>
      <c r="I787" s="6"/>
      <c r="J787" s="6"/>
      <c r="K787" s="51"/>
      <c r="L787" s="51"/>
      <c r="M787" s="51"/>
      <c r="N787" s="51"/>
      <c r="O787" s="51"/>
      <c r="P787" s="51"/>
      <c r="Q787" s="51"/>
      <c r="R787" s="51"/>
      <c r="S787" s="51"/>
      <c r="T787" s="51"/>
      <c r="U787" s="51"/>
      <c r="V787" s="51"/>
      <c r="W787" s="51"/>
      <c r="X787" s="51"/>
      <c r="Y787" s="51"/>
      <c r="Z787" s="51"/>
      <c r="AA787" s="51"/>
      <c r="AB787" s="51"/>
    </row>
    <row r="788" customFormat="false" ht="15.75" hidden="false" customHeight="false" outlineLevel="0" collapsed="false">
      <c r="A788" s="51"/>
      <c r="B788" s="51"/>
      <c r="C788" s="6"/>
      <c r="D788" s="49"/>
      <c r="E788" s="51"/>
      <c r="F788" s="6"/>
      <c r="G788" s="6"/>
      <c r="H788" s="6"/>
      <c r="I788" s="6"/>
      <c r="J788" s="6"/>
      <c r="K788" s="51"/>
      <c r="L788" s="51"/>
      <c r="M788" s="51"/>
      <c r="N788" s="51"/>
      <c r="O788" s="51"/>
      <c r="P788" s="51"/>
      <c r="Q788" s="51"/>
      <c r="R788" s="51"/>
      <c r="S788" s="51"/>
      <c r="T788" s="51"/>
      <c r="U788" s="51"/>
      <c r="V788" s="51"/>
      <c r="W788" s="51"/>
      <c r="X788" s="51"/>
      <c r="Y788" s="51"/>
      <c r="Z788" s="51"/>
      <c r="AA788" s="51"/>
      <c r="AB788" s="51"/>
    </row>
    <row r="789" customFormat="false" ht="15.75" hidden="false" customHeight="false" outlineLevel="0" collapsed="false">
      <c r="A789" s="51"/>
      <c r="B789" s="51"/>
      <c r="C789" s="6"/>
      <c r="D789" s="49"/>
      <c r="E789" s="51"/>
      <c r="F789" s="6"/>
      <c r="G789" s="6"/>
      <c r="H789" s="6"/>
      <c r="I789" s="6"/>
      <c r="J789" s="6"/>
      <c r="K789" s="51"/>
      <c r="L789" s="51"/>
      <c r="M789" s="51"/>
      <c r="N789" s="51"/>
      <c r="O789" s="51"/>
      <c r="P789" s="51"/>
      <c r="Q789" s="51"/>
      <c r="R789" s="51"/>
      <c r="S789" s="51"/>
      <c r="T789" s="51"/>
      <c r="U789" s="51"/>
      <c r="V789" s="51"/>
      <c r="W789" s="51"/>
      <c r="X789" s="51"/>
      <c r="Y789" s="51"/>
      <c r="Z789" s="51"/>
      <c r="AA789" s="51"/>
      <c r="AB789" s="51"/>
    </row>
    <row r="790" customFormat="false" ht="15.75" hidden="false" customHeight="false" outlineLevel="0" collapsed="false">
      <c r="A790" s="51"/>
      <c r="B790" s="51"/>
      <c r="C790" s="6"/>
      <c r="D790" s="49"/>
      <c r="E790" s="51"/>
      <c r="F790" s="6"/>
      <c r="G790" s="6"/>
      <c r="H790" s="6"/>
      <c r="I790" s="6"/>
      <c r="J790" s="6"/>
      <c r="K790" s="51"/>
      <c r="L790" s="51"/>
      <c r="M790" s="51"/>
      <c r="N790" s="51"/>
      <c r="O790" s="51"/>
      <c r="P790" s="51"/>
      <c r="Q790" s="51"/>
      <c r="R790" s="51"/>
      <c r="S790" s="51"/>
      <c r="T790" s="51"/>
      <c r="U790" s="51"/>
      <c r="V790" s="51"/>
      <c r="W790" s="51"/>
      <c r="X790" s="51"/>
      <c r="Y790" s="51"/>
      <c r="Z790" s="51"/>
      <c r="AA790" s="51"/>
      <c r="AB790" s="51"/>
    </row>
    <row r="791" customFormat="false" ht="15.75" hidden="false" customHeight="false" outlineLevel="0" collapsed="false">
      <c r="A791" s="51"/>
      <c r="B791" s="51"/>
      <c r="C791" s="6"/>
      <c r="D791" s="49"/>
      <c r="E791" s="51"/>
      <c r="F791" s="6"/>
      <c r="G791" s="6"/>
      <c r="H791" s="6"/>
      <c r="I791" s="6"/>
      <c r="J791" s="6"/>
      <c r="K791" s="51"/>
      <c r="L791" s="51"/>
      <c r="M791" s="51"/>
      <c r="N791" s="51"/>
      <c r="O791" s="51"/>
      <c r="P791" s="51"/>
      <c r="Q791" s="51"/>
      <c r="R791" s="51"/>
      <c r="S791" s="51"/>
      <c r="T791" s="51"/>
      <c r="U791" s="51"/>
      <c r="V791" s="51"/>
      <c r="W791" s="51"/>
      <c r="X791" s="51"/>
      <c r="Y791" s="51"/>
      <c r="Z791" s="51"/>
      <c r="AA791" s="51"/>
      <c r="AB791" s="51"/>
    </row>
    <row r="792" customFormat="false" ht="15.75" hidden="false" customHeight="false" outlineLevel="0" collapsed="false">
      <c r="A792" s="51"/>
      <c r="B792" s="51"/>
      <c r="C792" s="6"/>
      <c r="D792" s="49"/>
      <c r="E792" s="51"/>
      <c r="F792" s="6"/>
      <c r="G792" s="6"/>
      <c r="H792" s="6"/>
      <c r="I792" s="6"/>
      <c r="J792" s="6"/>
      <c r="K792" s="51"/>
      <c r="L792" s="51"/>
      <c r="M792" s="51"/>
      <c r="N792" s="51"/>
      <c r="O792" s="51"/>
      <c r="P792" s="51"/>
      <c r="Q792" s="51"/>
      <c r="R792" s="51"/>
      <c r="S792" s="51"/>
      <c r="T792" s="51"/>
      <c r="U792" s="51"/>
      <c r="V792" s="51"/>
      <c r="W792" s="51"/>
      <c r="X792" s="51"/>
      <c r="Y792" s="51"/>
      <c r="Z792" s="51"/>
      <c r="AA792" s="51"/>
      <c r="AB792" s="51"/>
    </row>
    <row r="793" customFormat="false" ht="15.75" hidden="false" customHeight="false" outlineLevel="0" collapsed="false">
      <c r="A793" s="51"/>
      <c r="B793" s="51"/>
      <c r="C793" s="6"/>
      <c r="D793" s="49"/>
      <c r="E793" s="51"/>
      <c r="F793" s="6"/>
      <c r="G793" s="6"/>
      <c r="H793" s="6"/>
      <c r="I793" s="6"/>
      <c r="J793" s="6"/>
      <c r="K793" s="51"/>
      <c r="L793" s="51"/>
      <c r="M793" s="51"/>
      <c r="N793" s="51"/>
      <c r="O793" s="51"/>
      <c r="P793" s="51"/>
      <c r="Q793" s="51"/>
      <c r="R793" s="51"/>
      <c r="S793" s="51"/>
      <c r="T793" s="51"/>
      <c r="U793" s="51"/>
      <c r="V793" s="51"/>
      <c r="W793" s="51"/>
      <c r="X793" s="51"/>
      <c r="Y793" s="51"/>
      <c r="Z793" s="51"/>
      <c r="AA793" s="51"/>
      <c r="AB793" s="51"/>
    </row>
    <row r="794" customFormat="false" ht="15.75" hidden="false" customHeight="false" outlineLevel="0" collapsed="false">
      <c r="A794" s="51"/>
      <c r="B794" s="51"/>
      <c r="C794" s="6"/>
      <c r="D794" s="49"/>
      <c r="E794" s="51"/>
      <c r="F794" s="6"/>
      <c r="G794" s="6"/>
      <c r="H794" s="6"/>
      <c r="I794" s="6"/>
      <c r="J794" s="6"/>
      <c r="K794" s="51"/>
      <c r="L794" s="51"/>
      <c r="M794" s="51"/>
      <c r="N794" s="51"/>
      <c r="O794" s="51"/>
      <c r="P794" s="51"/>
      <c r="Q794" s="51"/>
      <c r="R794" s="51"/>
      <c r="S794" s="51"/>
      <c r="T794" s="51"/>
      <c r="U794" s="51"/>
      <c r="V794" s="51"/>
      <c r="W794" s="51"/>
      <c r="X794" s="51"/>
      <c r="Y794" s="51"/>
      <c r="Z794" s="51"/>
      <c r="AA794" s="51"/>
      <c r="AB794" s="51"/>
    </row>
    <row r="795" customFormat="false" ht="15.75" hidden="false" customHeight="false" outlineLevel="0" collapsed="false">
      <c r="A795" s="51"/>
      <c r="B795" s="51"/>
      <c r="C795" s="6"/>
      <c r="D795" s="49"/>
      <c r="E795" s="51"/>
      <c r="F795" s="6"/>
      <c r="G795" s="6"/>
      <c r="H795" s="6"/>
      <c r="I795" s="6"/>
      <c r="J795" s="6"/>
      <c r="K795" s="51"/>
      <c r="L795" s="51"/>
      <c r="M795" s="51"/>
      <c r="N795" s="51"/>
      <c r="O795" s="51"/>
      <c r="P795" s="51"/>
      <c r="Q795" s="51"/>
      <c r="R795" s="51"/>
      <c r="S795" s="51"/>
      <c r="T795" s="51"/>
      <c r="U795" s="51"/>
      <c r="V795" s="51"/>
      <c r="W795" s="51"/>
      <c r="X795" s="51"/>
      <c r="Y795" s="51"/>
      <c r="Z795" s="51"/>
      <c r="AA795" s="51"/>
      <c r="AB795" s="51"/>
    </row>
    <row r="796" customFormat="false" ht="15.75" hidden="false" customHeight="false" outlineLevel="0" collapsed="false">
      <c r="A796" s="51"/>
      <c r="B796" s="51"/>
      <c r="C796" s="6"/>
      <c r="D796" s="49"/>
      <c r="E796" s="51"/>
      <c r="F796" s="6"/>
      <c r="G796" s="6"/>
      <c r="H796" s="6"/>
      <c r="I796" s="6"/>
      <c r="J796" s="6"/>
      <c r="K796" s="51"/>
      <c r="L796" s="51"/>
      <c r="M796" s="51"/>
      <c r="N796" s="51"/>
      <c r="O796" s="51"/>
      <c r="P796" s="51"/>
      <c r="Q796" s="51"/>
      <c r="R796" s="51"/>
      <c r="S796" s="51"/>
      <c r="T796" s="51"/>
      <c r="U796" s="51"/>
      <c r="V796" s="51"/>
      <c r="W796" s="51"/>
      <c r="X796" s="51"/>
      <c r="Y796" s="51"/>
      <c r="Z796" s="51"/>
      <c r="AA796" s="51"/>
      <c r="AB796" s="51"/>
    </row>
    <row r="797" customFormat="false" ht="15.75" hidden="false" customHeight="false" outlineLevel="0" collapsed="false">
      <c r="A797" s="51"/>
      <c r="B797" s="51"/>
      <c r="C797" s="6"/>
      <c r="D797" s="49"/>
      <c r="E797" s="51"/>
      <c r="F797" s="6"/>
      <c r="G797" s="6"/>
      <c r="H797" s="6"/>
      <c r="I797" s="6"/>
      <c r="J797" s="6"/>
      <c r="K797" s="51"/>
      <c r="L797" s="51"/>
      <c r="M797" s="51"/>
      <c r="N797" s="51"/>
      <c r="O797" s="51"/>
      <c r="P797" s="51"/>
      <c r="Q797" s="51"/>
      <c r="R797" s="51"/>
      <c r="S797" s="51"/>
      <c r="T797" s="51"/>
      <c r="U797" s="51"/>
      <c r="V797" s="51"/>
      <c r="W797" s="51"/>
      <c r="X797" s="51"/>
      <c r="Y797" s="51"/>
      <c r="Z797" s="51"/>
      <c r="AA797" s="51"/>
      <c r="AB797" s="51"/>
    </row>
    <row r="798" customFormat="false" ht="15.75" hidden="false" customHeight="false" outlineLevel="0" collapsed="false">
      <c r="A798" s="51"/>
      <c r="B798" s="51"/>
      <c r="C798" s="6"/>
      <c r="D798" s="49"/>
      <c r="E798" s="51"/>
      <c r="F798" s="6"/>
      <c r="G798" s="6"/>
      <c r="H798" s="6"/>
      <c r="I798" s="6"/>
      <c r="J798" s="6"/>
      <c r="K798" s="51"/>
      <c r="L798" s="51"/>
      <c r="M798" s="51"/>
      <c r="N798" s="51"/>
      <c r="O798" s="51"/>
      <c r="P798" s="51"/>
      <c r="Q798" s="51"/>
      <c r="R798" s="51"/>
      <c r="S798" s="51"/>
      <c r="T798" s="51"/>
      <c r="U798" s="51"/>
      <c r="V798" s="51"/>
      <c r="W798" s="51"/>
      <c r="X798" s="51"/>
      <c r="Y798" s="51"/>
      <c r="Z798" s="51"/>
      <c r="AA798" s="51"/>
      <c r="AB798" s="51"/>
    </row>
    <row r="799" customFormat="false" ht="15.75" hidden="false" customHeight="false" outlineLevel="0" collapsed="false">
      <c r="A799" s="51"/>
      <c r="B799" s="51"/>
      <c r="C799" s="6"/>
      <c r="D799" s="49"/>
      <c r="E799" s="51"/>
      <c r="F799" s="6"/>
      <c r="G799" s="6"/>
      <c r="H799" s="6"/>
      <c r="I799" s="6"/>
      <c r="J799" s="6"/>
      <c r="K799" s="51"/>
      <c r="L799" s="51"/>
      <c r="M799" s="51"/>
      <c r="N799" s="51"/>
      <c r="O799" s="51"/>
      <c r="P799" s="51"/>
      <c r="Q799" s="51"/>
      <c r="R799" s="51"/>
      <c r="S799" s="51"/>
      <c r="T799" s="51"/>
      <c r="U799" s="51"/>
      <c r="V799" s="51"/>
      <c r="W799" s="51"/>
      <c r="X799" s="51"/>
      <c r="Y799" s="51"/>
      <c r="Z799" s="51"/>
      <c r="AA799" s="51"/>
      <c r="AB799" s="51"/>
    </row>
    <row r="800" customFormat="false" ht="15.75" hidden="false" customHeight="false" outlineLevel="0" collapsed="false">
      <c r="A800" s="51"/>
      <c r="B800" s="51"/>
      <c r="C800" s="6"/>
      <c r="D800" s="49"/>
      <c r="E800" s="51"/>
      <c r="F800" s="6"/>
      <c r="G800" s="6"/>
      <c r="H800" s="6"/>
      <c r="I800" s="6"/>
      <c r="J800" s="6"/>
      <c r="K800" s="51"/>
      <c r="L800" s="51"/>
      <c r="M800" s="51"/>
      <c r="N800" s="51"/>
      <c r="O800" s="51"/>
      <c r="P800" s="51"/>
      <c r="Q800" s="51"/>
      <c r="R800" s="51"/>
      <c r="S800" s="51"/>
      <c r="T800" s="51"/>
      <c r="U800" s="51"/>
      <c r="V800" s="51"/>
      <c r="W800" s="51"/>
      <c r="X800" s="51"/>
      <c r="Y800" s="51"/>
      <c r="Z800" s="51"/>
      <c r="AA800" s="51"/>
      <c r="AB800" s="51"/>
    </row>
    <row r="801" customFormat="false" ht="15.75" hidden="false" customHeight="false" outlineLevel="0" collapsed="false">
      <c r="A801" s="51"/>
      <c r="B801" s="51"/>
      <c r="C801" s="6"/>
      <c r="D801" s="49"/>
      <c r="E801" s="51"/>
      <c r="F801" s="6"/>
      <c r="G801" s="6"/>
      <c r="H801" s="6"/>
      <c r="I801" s="6"/>
      <c r="J801" s="6"/>
      <c r="K801" s="51"/>
      <c r="L801" s="51"/>
      <c r="M801" s="51"/>
      <c r="N801" s="51"/>
      <c r="O801" s="51"/>
      <c r="P801" s="51"/>
      <c r="Q801" s="51"/>
      <c r="R801" s="51"/>
      <c r="S801" s="51"/>
      <c r="T801" s="51"/>
      <c r="U801" s="51"/>
      <c r="V801" s="51"/>
      <c r="W801" s="51"/>
      <c r="X801" s="51"/>
      <c r="Y801" s="51"/>
      <c r="Z801" s="51"/>
      <c r="AA801" s="51"/>
      <c r="AB801" s="51"/>
    </row>
    <row r="802" customFormat="false" ht="15.75" hidden="false" customHeight="false" outlineLevel="0" collapsed="false">
      <c r="A802" s="51"/>
      <c r="B802" s="51"/>
      <c r="C802" s="6"/>
      <c r="D802" s="49"/>
      <c r="E802" s="51"/>
      <c r="F802" s="6"/>
      <c r="G802" s="6"/>
      <c r="H802" s="6"/>
      <c r="I802" s="6"/>
      <c r="J802" s="6"/>
      <c r="K802" s="51"/>
      <c r="L802" s="51"/>
      <c r="M802" s="51"/>
      <c r="N802" s="51"/>
      <c r="O802" s="51"/>
      <c r="P802" s="51"/>
      <c r="Q802" s="51"/>
      <c r="R802" s="51"/>
      <c r="S802" s="51"/>
      <c r="T802" s="51"/>
      <c r="U802" s="51"/>
      <c r="V802" s="51"/>
      <c r="W802" s="51"/>
      <c r="X802" s="51"/>
      <c r="Y802" s="51"/>
      <c r="Z802" s="51"/>
      <c r="AA802" s="51"/>
      <c r="AB802" s="51"/>
    </row>
    <row r="803" customFormat="false" ht="15.75" hidden="false" customHeight="false" outlineLevel="0" collapsed="false">
      <c r="A803" s="51"/>
      <c r="B803" s="51"/>
      <c r="C803" s="6"/>
      <c r="D803" s="49"/>
      <c r="E803" s="51"/>
      <c r="F803" s="6"/>
      <c r="G803" s="6"/>
      <c r="H803" s="6"/>
      <c r="I803" s="6"/>
      <c r="J803" s="6"/>
      <c r="K803" s="51"/>
      <c r="L803" s="51"/>
      <c r="M803" s="51"/>
      <c r="N803" s="51"/>
      <c r="O803" s="51"/>
      <c r="P803" s="51"/>
      <c r="Q803" s="51"/>
      <c r="R803" s="51"/>
      <c r="S803" s="51"/>
      <c r="T803" s="51"/>
      <c r="U803" s="51"/>
      <c r="V803" s="51"/>
      <c r="W803" s="51"/>
      <c r="X803" s="51"/>
      <c r="Y803" s="51"/>
      <c r="Z803" s="51"/>
      <c r="AA803" s="51"/>
      <c r="AB803" s="51"/>
    </row>
    <row r="804" customFormat="false" ht="15.75" hidden="false" customHeight="false" outlineLevel="0" collapsed="false">
      <c r="A804" s="51"/>
      <c r="B804" s="51"/>
      <c r="C804" s="6"/>
      <c r="D804" s="49"/>
      <c r="E804" s="51"/>
      <c r="F804" s="6"/>
      <c r="G804" s="6"/>
      <c r="H804" s="6"/>
      <c r="I804" s="6"/>
      <c r="J804" s="6"/>
      <c r="K804" s="51"/>
      <c r="L804" s="51"/>
      <c r="M804" s="51"/>
      <c r="N804" s="51"/>
      <c r="O804" s="51"/>
      <c r="P804" s="51"/>
      <c r="Q804" s="51"/>
      <c r="R804" s="51"/>
      <c r="S804" s="51"/>
      <c r="T804" s="51"/>
      <c r="U804" s="51"/>
      <c r="V804" s="51"/>
      <c r="W804" s="51"/>
      <c r="X804" s="51"/>
      <c r="Y804" s="51"/>
      <c r="Z804" s="51"/>
      <c r="AA804" s="51"/>
      <c r="AB804" s="51"/>
    </row>
    <row r="805" customFormat="false" ht="15.75" hidden="false" customHeight="false" outlineLevel="0" collapsed="false">
      <c r="A805" s="51"/>
      <c r="B805" s="51"/>
      <c r="C805" s="6"/>
      <c r="D805" s="49"/>
      <c r="E805" s="51"/>
      <c r="F805" s="6"/>
      <c r="G805" s="6"/>
      <c r="H805" s="6"/>
      <c r="I805" s="6"/>
      <c r="J805" s="6"/>
      <c r="K805" s="51"/>
      <c r="L805" s="51"/>
      <c r="M805" s="51"/>
      <c r="N805" s="51"/>
      <c r="O805" s="51"/>
      <c r="P805" s="51"/>
      <c r="Q805" s="51"/>
      <c r="R805" s="51"/>
      <c r="S805" s="51"/>
      <c r="T805" s="51"/>
      <c r="U805" s="51"/>
      <c r="V805" s="51"/>
      <c r="W805" s="51"/>
      <c r="X805" s="51"/>
      <c r="Y805" s="51"/>
      <c r="Z805" s="51"/>
      <c r="AA805" s="51"/>
      <c r="AB805" s="51"/>
    </row>
    <row r="806" customFormat="false" ht="15.75" hidden="false" customHeight="false" outlineLevel="0" collapsed="false">
      <c r="A806" s="51"/>
      <c r="B806" s="51"/>
      <c r="C806" s="6"/>
      <c r="D806" s="49"/>
      <c r="E806" s="51"/>
      <c r="F806" s="6"/>
      <c r="G806" s="6"/>
      <c r="H806" s="6"/>
      <c r="I806" s="6"/>
      <c r="J806" s="6"/>
      <c r="K806" s="51"/>
      <c r="L806" s="51"/>
      <c r="M806" s="51"/>
      <c r="N806" s="51"/>
      <c r="O806" s="51"/>
      <c r="P806" s="51"/>
      <c r="Q806" s="51"/>
      <c r="R806" s="51"/>
      <c r="S806" s="51"/>
      <c r="T806" s="51"/>
      <c r="U806" s="51"/>
      <c r="V806" s="51"/>
      <c r="W806" s="51"/>
      <c r="X806" s="51"/>
      <c r="Y806" s="51"/>
      <c r="Z806" s="51"/>
      <c r="AA806" s="51"/>
      <c r="AB806" s="51"/>
    </row>
    <row r="807" customFormat="false" ht="15.75" hidden="false" customHeight="false" outlineLevel="0" collapsed="false">
      <c r="A807" s="51"/>
      <c r="B807" s="51"/>
      <c r="C807" s="6"/>
      <c r="D807" s="49"/>
      <c r="E807" s="51"/>
      <c r="F807" s="6"/>
      <c r="G807" s="6"/>
      <c r="H807" s="6"/>
      <c r="I807" s="6"/>
      <c r="J807" s="6"/>
      <c r="K807" s="51"/>
      <c r="L807" s="51"/>
      <c r="M807" s="51"/>
      <c r="N807" s="51"/>
      <c r="O807" s="51"/>
      <c r="P807" s="51"/>
      <c r="Q807" s="51"/>
      <c r="R807" s="51"/>
      <c r="S807" s="51"/>
      <c r="T807" s="51"/>
      <c r="U807" s="51"/>
      <c r="V807" s="51"/>
      <c r="W807" s="51"/>
      <c r="X807" s="51"/>
      <c r="Y807" s="51"/>
      <c r="Z807" s="51"/>
      <c r="AA807" s="51"/>
      <c r="AB807" s="51"/>
    </row>
    <row r="808" customFormat="false" ht="15.75" hidden="false" customHeight="false" outlineLevel="0" collapsed="false">
      <c r="A808" s="51"/>
      <c r="B808" s="51"/>
      <c r="C808" s="6"/>
      <c r="D808" s="49"/>
      <c r="E808" s="51"/>
      <c r="F808" s="6"/>
      <c r="G808" s="6"/>
      <c r="H808" s="6"/>
      <c r="I808" s="6"/>
      <c r="J808" s="6"/>
      <c r="K808" s="51"/>
      <c r="L808" s="51"/>
      <c r="M808" s="51"/>
      <c r="N808" s="51"/>
      <c r="O808" s="51"/>
      <c r="P808" s="51"/>
      <c r="Q808" s="51"/>
      <c r="R808" s="51"/>
      <c r="S808" s="51"/>
      <c r="T808" s="51"/>
      <c r="U808" s="51"/>
      <c r="V808" s="51"/>
      <c r="W808" s="51"/>
      <c r="X808" s="51"/>
      <c r="Y808" s="51"/>
      <c r="Z808" s="51"/>
      <c r="AA808" s="51"/>
      <c r="AB808" s="51"/>
    </row>
    <row r="809" customFormat="false" ht="15.75" hidden="false" customHeight="false" outlineLevel="0" collapsed="false">
      <c r="A809" s="51"/>
      <c r="B809" s="51"/>
      <c r="C809" s="6"/>
      <c r="D809" s="49"/>
      <c r="E809" s="51"/>
      <c r="F809" s="6"/>
      <c r="G809" s="6"/>
      <c r="H809" s="6"/>
      <c r="I809" s="6"/>
      <c r="J809" s="6"/>
      <c r="K809" s="51"/>
      <c r="L809" s="51"/>
      <c r="M809" s="51"/>
      <c r="N809" s="51"/>
      <c r="O809" s="51"/>
      <c r="P809" s="51"/>
      <c r="Q809" s="51"/>
      <c r="R809" s="51"/>
      <c r="S809" s="51"/>
      <c r="T809" s="51"/>
      <c r="U809" s="51"/>
      <c r="V809" s="51"/>
      <c r="W809" s="51"/>
      <c r="X809" s="51"/>
      <c r="Y809" s="51"/>
      <c r="Z809" s="51"/>
      <c r="AA809" s="51"/>
      <c r="AB809" s="51"/>
    </row>
    <row r="810" customFormat="false" ht="15.75" hidden="false" customHeight="false" outlineLevel="0" collapsed="false">
      <c r="A810" s="51"/>
      <c r="B810" s="51"/>
      <c r="C810" s="6"/>
      <c r="D810" s="49"/>
      <c r="E810" s="51"/>
      <c r="F810" s="6"/>
      <c r="G810" s="6"/>
      <c r="H810" s="6"/>
      <c r="I810" s="6"/>
      <c r="J810" s="6"/>
      <c r="K810" s="51"/>
      <c r="L810" s="51"/>
      <c r="M810" s="51"/>
      <c r="N810" s="51"/>
      <c r="O810" s="51"/>
      <c r="P810" s="51"/>
      <c r="Q810" s="51"/>
      <c r="R810" s="51"/>
      <c r="S810" s="51"/>
      <c r="T810" s="51"/>
      <c r="U810" s="51"/>
      <c r="V810" s="51"/>
      <c r="W810" s="51"/>
      <c r="X810" s="51"/>
      <c r="Y810" s="51"/>
      <c r="Z810" s="51"/>
      <c r="AA810" s="51"/>
      <c r="AB810" s="51"/>
    </row>
    <row r="811" customFormat="false" ht="15.75" hidden="false" customHeight="false" outlineLevel="0" collapsed="false">
      <c r="A811" s="51"/>
      <c r="B811" s="51"/>
      <c r="C811" s="6"/>
      <c r="D811" s="49"/>
      <c r="E811" s="51"/>
      <c r="F811" s="6"/>
      <c r="G811" s="6"/>
      <c r="H811" s="6"/>
      <c r="I811" s="6"/>
      <c r="J811" s="6"/>
      <c r="K811" s="51"/>
      <c r="L811" s="51"/>
      <c r="M811" s="51"/>
      <c r="N811" s="51"/>
      <c r="O811" s="51"/>
      <c r="P811" s="51"/>
      <c r="Q811" s="51"/>
      <c r="R811" s="51"/>
      <c r="S811" s="51"/>
      <c r="T811" s="51"/>
      <c r="U811" s="51"/>
      <c r="V811" s="51"/>
      <c r="W811" s="51"/>
      <c r="X811" s="51"/>
      <c r="Y811" s="51"/>
      <c r="Z811" s="51"/>
      <c r="AA811" s="51"/>
      <c r="AB811" s="51"/>
    </row>
    <row r="812" customFormat="false" ht="15.75" hidden="false" customHeight="false" outlineLevel="0" collapsed="false">
      <c r="A812" s="51"/>
      <c r="B812" s="51"/>
      <c r="C812" s="6"/>
      <c r="D812" s="49"/>
      <c r="E812" s="51"/>
      <c r="F812" s="6"/>
      <c r="G812" s="6"/>
      <c r="H812" s="6"/>
      <c r="I812" s="6"/>
      <c r="J812" s="6"/>
      <c r="K812" s="51"/>
      <c r="L812" s="51"/>
      <c r="M812" s="51"/>
      <c r="N812" s="51"/>
      <c r="O812" s="51"/>
      <c r="P812" s="51"/>
      <c r="Q812" s="51"/>
      <c r="R812" s="51"/>
      <c r="S812" s="51"/>
      <c r="T812" s="51"/>
      <c r="U812" s="51"/>
      <c r="V812" s="51"/>
      <c r="W812" s="51"/>
      <c r="X812" s="51"/>
      <c r="Y812" s="51"/>
      <c r="Z812" s="51"/>
      <c r="AA812" s="51"/>
      <c r="AB812" s="51"/>
    </row>
    <row r="813" customFormat="false" ht="15.75" hidden="false" customHeight="false" outlineLevel="0" collapsed="false">
      <c r="A813" s="51"/>
      <c r="B813" s="51"/>
      <c r="C813" s="6"/>
      <c r="D813" s="49"/>
      <c r="E813" s="51"/>
      <c r="F813" s="6"/>
      <c r="G813" s="6"/>
      <c r="H813" s="6"/>
      <c r="I813" s="6"/>
      <c r="J813" s="6"/>
      <c r="K813" s="51"/>
      <c r="L813" s="51"/>
      <c r="M813" s="51"/>
      <c r="N813" s="51"/>
      <c r="O813" s="51"/>
      <c r="P813" s="51"/>
      <c r="Q813" s="51"/>
      <c r="R813" s="51"/>
      <c r="S813" s="51"/>
      <c r="T813" s="51"/>
      <c r="U813" s="51"/>
      <c r="V813" s="51"/>
      <c r="W813" s="51"/>
      <c r="X813" s="51"/>
      <c r="Y813" s="51"/>
      <c r="Z813" s="51"/>
      <c r="AA813" s="51"/>
      <c r="AB813" s="51"/>
    </row>
    <row r="814" customFormat="false" ht="15.75" hidden="false" customHeight="false" outlineLevel="0" collapsed="false">
      <c r="A814" s="51"/>
      <c r="B814" s="51"/>
      <c r="C814" s="6"/>
      <c r="D814" s="49"/>
      <c r="E814" s="51"/>
      <c r="F814" s="6"/>
      <c r="G814" s="6"/>
      <c r="H814" s="6"/>
      <c r="I814" s="6"/>
      <c r="J814" s="6"/>
      <c r="K814" s="51"/>
      <c r="L814" s="51"/>
      <c r="M814" s="51"/>
      <c r="N814" s="51"/>
      <c r="O814" s="51"/>
      <c r="P814" s="51"/>
      <c r="Q814" s="51"/>
      <c r="R814" s="51"/>
      <c r="S814" s="51"/>
      <c r="T814" s="51"/>
      <c r="U814" s="51"/>
      <c r="V814" s="51"/>
      <c r="W814" s="51"/>
      <c r="X814" s="51"/>
      <c r="Y814" s="51"/>
      <c r="Z814" s="51"/>
      <c r="AA814" s="51"/>
      <c r="AB814" s="51"/>
    </row>
    <row r="815" customFormat="false" ht="15.75" hidden="false" customHeight="false" outlineLevel="0" collapsed="false">
      <c r="A815" s="51"/>
      <c r="B815" s="51"/>
      <c r="C815" s="6"/>
      <c r="D815" s="49"/>
      <c r="E815" s="51"/>
      <c r="F815" s="6"/>
      <c r="G815" s="6"/>
      <c r="H815" s="6"/>
      <c r="I815" s="6"/>
      <c r="J815" s="6"/>
      <c r="K815" s="51"/>
      <c r="L815" s="51"/>
      <c r="M815" s="51"/>
      <c r="N815" s="51"/>
      <c r="O815" s="51"/>
      <c r="P815" s="51"/>
      <c r="Q815" s="51"/>
      <c r="R815" s="51"/>
      <c r="S815" s="51"/>
      <c r="T815" s="51"/>
      <c r="U815" s="51"/>
      <c r="V815" s="51"/>
      <c r="W815" s="51"/>
      <c r="X815" s="51"/>
      <c r="Y815" s="51"/>
      <c r="Z815" s="51"/>
      <c r="AA815" s="51"/>
      <c r="AB815" s="51"/>
    </row>
    <row r="816" customFormat="false" ht="15.75" hidden="false" customHeight="false" outlineLevel="0" collapsed="false">
      <c r="A816" s="51"/>
      <c r="B816" s="51"/>
      <c r="C816" s="6"/>
      <c r="D816" s="49"/>
      <c r="E816" s="51"/>
      <c r="F816" s="6"/>
      <c r="G816" s="6"/>
      <c r="H816" s="6"/>
      <c r="I816" s="6"/>
      <c r="J816" s="6"/>
      <c r="K816" s="51"/>
      <c r="L816" s="51"/>
      <c r="M816" s="51"/>
      <c r="N816" s="51"/>
      <c r="O816" s="51"/>
      <c r="P816" s="51"/>
      <c r="Q816" s="51"/>
      <c r="R816" s="51"/>
      <c r="S816" s="51"/>
      <c r="T816" s="51"/>
      <c r="U816" s="51"/>
      <c r="V816" s="51"/>
      <c r="W816" s="51"/>
      <c r="X816" s="51"/>
      <c r="Y816" s="51"/>
      <c r="Z816" s="51"/>
      <c r="AA816" s="51"/>
      <c r="AB816" s="51"/>
    </row>
    <row r="817" customFormat="false" ht="15.75" hidden="false" customHeight="false" outlineLevel="0" collapsed="false">
      <c r="A817" s="51"/>
      <c r="B817" s="51"/>
      <c r="C817" s="6"/>
      <c r="D817" s="49"/>
      <c r="E817" s="51"/>
      <c r="F817" s="6"/>
      <c r="G817" s="6"/>
      <c r="H817" s="6"/>
      <c r="I817" s="6"/>
      <c r="J817" s="6"/>
      <c r="K817" s="51"/>
      <c r="L817" s="51"/>
      <c r="M817" s="51"/>
      <c r="N817" s="51"/>
      <c r="O817" s="51"/>
      <c r="P817" s="51"/>
      <c r="Q817" s="51"/>
      <c r="R817" s="51"/>
      <c r="S817" s="51"/>
      <c r="T817" s="51"/>
      <c r="U817" s="51"/>
      <c r="V817" s="51"/>
      <c r="W817" s="51"/>
      <c r="X817" s="51"/>
      <c r="Y817" s="51"/>
      <c r="Z817" s="51"/>
      <c r="AA817" s="51"/>
      <c r="AB817" s="51"/>
    </row>
    <row r="818" customFormat="false" ht="15.75" hidden="false" customHeight="false" outlineLevel="0" collapsed="false">
      <c r="A818" s="51"/>
      <c r="B818" s="51"/>
      <c r="C818" s="6"/>
      <c r="D818" s="49"/>
      <c r="E818" s="51"/>
      <c r="F818" s="6"/>
      <c r="G818" s="6"/>
      <c r="H818" s="6"/>
      <c r="I818" s="6"/>
      <c r="J818" s="6"/>
      <c r="K818" s="51"/>
      <c r="L818" s="51"/>
      <c r="M818" s="51"/>
      <c r="N818" s="51"/>
      <c r="O818" s="51"/>
      <c r="P818" s="51"/>
      <c r="Q818" s="51"/>
      <c r="R818" s="51"/>
      <c r="S818" s="51"/>
      <c r="T818" s="51"/>
      <c r="U818" s="51"/>
      <c r="V818" s="51"/>
      <c r="W818" s="51"/>
      <c r="X818" s="51"/>
      <c r="Y818" s="51"/>
      <c r="Z818" s="51"/>
      <c r="AA818" s="51"/>
      <c r="AB818" s="51"/>
    </row>
    <row r="819" customFormat="false" ht="15.75" hidden="false" customHeight="false" outlineLevel="0" collapsed="false">
      <c r="A819" s="51"/>
      <c r="B819" s="51"/>
      <c r="C819" s="6"/>
      <c r="D819" s="49"/>
      <c r="E819" s="51"/>
      <c r="F819" s="6"/>
      <c r="G819" s="6"/>
      <c r="H819" s="6"/>
      <c r="I819" s="6"/>
      <c r="J819" s="6"/>
      <c r="K819" s="51"/>
      <c r="L819" s="51"/>
      <c r="M819" s="51"/>
      <c r="N819" s="51"/>
      <c r="O819" s="51"/>
      <c r="P819" s="51"/>
      <c r="Q819" s="51"/>
      <c r="R819" s="51"/>
      <c r="S819" s="51"/>
      <c r="T819" s="51"/>
      <c r="U819" s="51"/>
      <c r="V819" s="51"/>
      <c r="W819" s="51"/>
      <c r="X819" s="51"/>
      <c r="Y819" s="51"/>
      <c r="Z819" s="51"/>
      <c r="AA819" s="51"/>
      <c r="AB819" s="51"/>
    </row>
    <row r="820" customFormat="false" ht="15.75" hidden="false" customHeight="false" outlineLevel="0" collapsed="false">
      <c r="A820" s="51"/>
      <c r="B820" s="51"/>
      <c r="C820" s="6"/>
      <c r="D820" s="49"/>
      <c r="E820" s="51"/>
      <c r="F820" s="6"/>
      <c r="G820" s="6"/>
      <c r="H820" s="6"/>
      <c r="I820" s="6"/>
      <c r="J820" s="6"/>
      <c r="K820" s="51"/>
      <c r="L820" s="51"/>
      <c r="M820" s="51"/>
      <c r="N820" s="51"/>
      <c r="O820" s="51"/>
      <c r="P820" s="51"/>
      <c r="Q820" s="51"/>
      <c r="R820" s="51"/>
      <c r="S820" s="51"/>
      <c r="T820" s="51"/>
      <c r="U820" s="51"/>
      <c r="V820" s="51"/>
      <c r="W820" s="51"/>
      <c r="X820" s="51"/>
      <c r="Y820" s="51"/>
      <c r="Z820" s="51"/>
      <c r="AA820" s="51"/>
      <c r="AB820" s="51"/>
    </row>
    <row r="821" customFormat="false" ht="15.75" hidden="false" customHeight="false" outlineLevel="0" collapsed="false">
      <c r="A821" s="51"/>
      <c r="B821" s="51"/>
      <c r="C821" s="6"/>
      <c r="D821" s="49"/>
      <c r="E821" s="51"/>
      <c r="F821" s="6"/>
      <c r="G821" s="6"/>
      <c r="H821" s="6"/>
      <c r="I821" s="6"/>
      <c r="J821" s="6"/>
      <c r="K821" s="51"/>
      <c r="L821" s="51"/>
      <c r="M821" s="51"/>
      <c r="N821" s="51"/>
      <c r="O821" s="51"/>
      <c r="P821" s="51"/>
      <c r="Q821" s="51"/>
      <c r="R821" s="51"/>
      <c r="S821" s="51"/>
      <c r="T821" s="51"/>
      <c r="U821" s="51"/>
      <c r="V821" s="51"/>
      <c r="W821" s="51"/>
      <c r="X821" s="51"/>
      <c r="Y821" s="51"/>
      <c r="Z821" s="51"/>
      <c r="AA821" s="51"/>
      <c r="AB821" s="51"/>
    </row>
    <row r="822" customFormat="false" ht="15.75" hidden="false" customHeight="false" outlineLevel="0" collapsed="false">
      <c r="A822" s="51"/>
      <c r="B822" s="51"/>
      <c r="C822" s="6"/>
      <c r="D822" s="49"/>
      <c r="E822" s="51"/>
      <c r="F822" s="6"/>
      <c r="G822" s="6"/>
      <c r="H822" s="6"/>
      <c r="I822" s="6"/>
      <c r="J822" s="6"/>
      <c r="K822" s="51"/>
      <c r="L822" s="51"/>
      <c r="M822" s="51"/>
      <c r="N822" s="51"/>
      <c r="O822" s="51"/>
      <c r="P822" s="51"/>
      <c r="Q822" s="51"/>
      <c r="R822" s="51"/>
      <c r="S822" s="51"/>
      <c r="T822" s="51"/>
      <c r="U822" s="51"/>
      <c r="V822" s="51"/>
      <c r="W822" s="51"/>
      <c r="X822" s="51"/>
      <c r="Y822" s="51"/>
      <c r="Z822" s="51"/>
      <c r="AA822" s="51"/>
      <c r="AB822" s="51"/>
    </row>
    <row r="823" customFormat="false" ht="15.75" hidden="false" customHeight="false" outlineLevel="0" collapsed="false">
      <c r="A823" s="51"/>
      <c r="B823" s="51"/>
      <c r="C823" s="6"/>
      <c r="D823" s="49"/>
      <c r="E823" s="51"/>
      <c r="F823" s="6"/>
      <c r="G823" s="6"/>
      <c r="H823" s="6"/>
      <c r="I823" s="6"/>
      <c r="J823" s="6"/>
      <c r="K823" s="51"/>
      <c r="L823" s="51"/>
      <c r="M823" s="51"/>
      <c r="N823" s="51"/>
      <c r="O823" s="51"/>
      <c r="P823" s="51"/>
      <c r="Q823" s="51"/>
      <c r="R823" s="51"/>
      <c r="S823" s="51"/>
      <c r="T823" s="51"/>
      <c r="U823" s="51"/>
      <c r="V823" s="51"/>
      <c r="W823" s="51"/>
      <c r="X823" s="51"/>
      <c r="Y823" s="51"/>
      <c r="Z823" s="51"/>
      <c r="AA823" s="51"/>
      <c r="AB823" s="51"/>
    </row>
    <row r="824" customFormat="false" ht="15.75" hidden="false" customHeight="false" outlineLevel="0" collapsed="false">
      <c r="A824" s="51"/>
      <c r="B824" s="51"/>
      <c r="C824" s="6"/>
      <c r="D824" s="49"/>
      <c r="E824" s="51"/>
      <c r="F824" s="6"/>
      <c r="G824" s="6"/>
      <c r="H824" s="6"/>
      <c r="I824" s="6"/>
      <c r="J824" s="6"/>
      <c r="K824" s="51"/>
      <c r="L824" s="51"/>
      <c r="M824" s="51"/>
      <c r="N824" s="51"/>
      <c r="O824" s="51"/>
      <c r="P824" s="51"/>
      <c r="Q824" s="51"/>
      <c r="R824" s="51"/>
      <c r="S824" s="51"/>
      <c r="T824" s="51"/>
      <c r="U824" s="51"/>
      <c r="V824" s="51"/>
      <c r="W824" s="51"/>
      <c r="X824" s="51"/>
      <c r="Y824" s="51"/>
      <c r="Z824" s="51"/>
      <c r="AA824" s="51"/>
      <c r="AB824" s="51"/>
    </row>
    <row r="825" customFormat="false" ht="15.75" hidden="false" customHeight="false" outlineLevel="0" collapsed="false">
      <c r="A825" s="51"/>
      <c r="B825" s="51"/>
      <c r="C825" s="6"/>
      <c r="D825" s="49"/>
      <c r="E825" s="51"/>
      <c r="F825" s="6"/>
      <c r="G825" s="6"/>
      <c r="H825" s="6"/>
      <c r="I825" s="6"/>
      <c r="J825" s="6"/>
      <c r="K825" s="51"/>
      <c r="L825" s="51"/>
      <c r="M825" s="51"/>
      <c r="N825" s="51"/>
      <c r="O825" s="51"/>
      <c r="P825" s="51"/>
      <c r="Q825" s="51"/>
      <c r="R825" s="51"/>
      <c r="S825" s="51"/>
      <c r="T825" s="51"/>
      <c r="U825" s="51"/>
      <c r="V825" s="51"/>
      <c r="W825" s="51"/>
      <c r="X825" s="51"/>
      <c r="Y825" s="51"/>
      <c r="Z825" s="51"/>
      <c r="AA825" s="51"/>
      <c r="AB825" s="51"/>
    </row>
    <row r="826" customFormat="false" ht="15.75" hidden="false" customHeight="false" outlineLevel="0" collapsed="false">
      <c r="A826" s="51"/>
      <c r="B826" s="51"/>
      <c r="C826" s="6"/>
      <c r="D826" s="49"/>
      <c r="E826" s="51"/>
      <c r="F826" s="6"/>
      <c r="G826" s="6"/>
      <c r="H826" s="6"/>
      <c r="I826" s="6"/>
      <c r="J826" s="6"/>
      <c r="K826" s="51"/>
      <c r="L826" s="51"/>
      <c r="M826" s="51"/>
      <c r="N826" s="51"/>
      <c r="O826" s="51"/>
      <c r="P826" s="51"/>
      <c r="Q826" s="51"/>
      <c r="R826" s="51"/>
      <c r="S826" s="51"/>
      <c r="T826" s="51"/>
      <c r="U826" s="51"/>
      <c r="V826" s="51"/>
      <c r="W826" s="51"/>
      <c r="X826" s="51"/>
      <c r="Y826" s="51"/>
      <c r="Z826" s="51"/>
      <c r="AA826" s="51"/>
      <c r="AB826" s="51"/>
    </row>
    <row r="827" customFormat="false" ht="15.75" hidden="false" customHeight="false" outlineLevel="0" collapsed="false">
      <c r="A827" s="51"/>
      <c r="B827" s="51"/>
      <c r="C827" s="6"/>
      <c r="D827" s="49"/>
      <c r="E827" s="51"/>
      <c r="F827" s="6"/>
      <c r="G827" s="6"/>
      <c r="H827" s="6"/>
      <c r="I827" s="6"/>
      <c r="J827" s="6"/>
      <c r="K827" s="51"/>
      <c r="L827" s="51"/>
      <c r="M827" s="51"/>
      <c r="N827" s="51"/>
      <c r="O827" s="51"/>
      <c r="P827" s="51"/>
      <c r="Q827" s="51"/>
      <c r="R827" s="51"/>
      <c r="S827" s="51"/>
      <c r="T827" s="51"/>
      <c r="U827" s="51"/>
      <c r="V827" s="51"/>
      <c r="W827" s="51"/>
      <c r="X827" s="51"/>
      <c r="Y827" s="51"/>
      <c r="Z827" s="51"/>
      <c r="AA827" s="51"/>
      <c r="AB827" s="51"/>
    </row>
    <row r="828" customFormat="false" ht="15.75" hidden="false" customHeight="false" outlineLevel="0" collapsed="false">
      <c r="A828" s="51"/>
      <c r="B828" s="51"/>
      <c r="C828" s="6"/>
      <c r="D828" s="49"/>
      <c r="E828" s="51"/>
      <c r="F828" s="6"/>
      <c r="G828" s="6"/>
      <c r="H828" s="6"/>
      <c r="I828" s="6"/>
      <c r="J828" s="6"/>
      <c r="K828" s="51"/>
      <c r="L828" s="51"/>
      <c r="M828" s="51"/>
      <c r="N828" s="51"/>
      <c r="O828" s="51"/>
      <c r="P828" s="51"/>
      <c r="Q828" s="51"/>
      <c r="R828" s="51"/>
      <c r="S828" s="51"/>
      <c r="T828" s="51"/>
      <c r="U828" s="51"/>
      <c r="V828" s="51"/>
      <c r="W828" s="51"/>
      <c r="X828" s="51"/>
      <c r="Y828" s="51"/>
      <c r="Z828" s="51"/>
      <c r="AA828" s="51"/>
      <c r="AB828" s="51"/>
    </row>
    <row r="829" customFormat="false" ht="15.75" hidden="false" customHeight="false" outlineLevel="0" collapsed="false">
      <c r="A829" s="51"/>
      <c r="B829" s="51"/>
      <c r="C829" s="6"/>
      <c r="D829" s="49"/>
      <c r="E829" s="51"/>
      <c r="F829" s="6"/>
      <c r="G829" s="6"/>
      <c r="H829" s="6"/>
      <c r="I829" s="6"/>
      <c r="J829" s="6"/>
      <c r="K829" s="51"/>
      <c r="L829" s="51"/>
      <c r="M829" s="51"/>
      <c r="N829" s="51"/>
      <c r="O829" s="51"/>
      <c r="P829" s="51"/>
      <c r="Q829" s="51"/>
      <c r="R829" s="51"/>
      <c r="S829" s="51"/>
      <c r="T829" s="51"/>
      <c r="U829" s="51"/>
      <c r="V829" s="51"/>
      <c r="W829" s="51"/>
      <c r="X829" s="51"/>
      <c r="Y829" s="51"/>
      <c r="Z829" s="51"/>
      <c r="AA829" s="51"/>
      <c r="AB829" s="51"/>
    </row>
    <row r="830" customFormat="false" ht="15.75" hidden="false" customHeight="false" outlineLevel="0" collapsed="false">
      <c r="A830" s="51"/>
      <c r="B830" s="51"/>
      <c r="C830" s="6"/>
      <c r="D830" s="49"/>
      <c r="E830" s="51"/>
      <c r="F830" s="6"/>
      <c r="G830" s="6"/>
      <c r="H830" s="6"/>
      <c r="I830" s="6"/>
      <c r="J830" s="6"/>
      <c r="K830" s="51"/>
      <c r="L830" s="51"/>
      <c r="M830" s="51"/>
      <c r="N830" s="51"/>
      <c r="O830" s="51"/>
      <c r="P830" s="51"/>
      <c r="Q830" s="51"/>
      <c r="R830" s="51"/>
      <c r="S830" s="51"/>
      <c r="T830" s="51"/>
      <c r="U830" s="51"/>
      <c r="V830" s="51"/>
      <c r="W830" s="51"/>
      <c r="X830" s="51"/>
      <c r="Y830" s="51"/>
      <c r="Z830" s="51"/>
      <c r="AA830" s="51"/>
      <c r="AB830" s="51"/>
    </row>
    <row r="831" customFormat="false" ht="15.75" hidden="false" customHeight="false" outlineLevel="0" collapsed="false">
      <c r="A831" s="51"/>
      <c r="B831" s="51"/>
      <c r="C831" s="6"/>
      <c r="D831" s="49"/>
      <c r="E831" s="51"/>
      <c r="F831" s="6"/>
      <c r="G831" s="6"/>
      <c r="H831" s="6"/>
      <c r="I831" s="6"/>
      <c r="J831" s="6"/>
      <c r="K831" s="51"/>
      <c r="L831" s="51"/>
      <c r="M831" s="51"/>
      <c r="N831" s="51"/>
      <c r="O831" s="51"/>
      <c r="P831" s="51"/>
      <c r="Q831" s="51"/>
      <c r="R831" s="51"/>
      <c r="S831" s="51"/>
      <c r="T831" s="51"/>
      <c r="U831" s="51"/>
      <c r="V831" s="51"/>
      <c r="W831" s="51"/>
      <c r="X831" s="51"/>
      <c r="Y831" s="51"/>
      <c r="Z831" s="51"/>
      <c r="AA831" s="51"/>
      <c r="AB831" s="51"/>
    </row>
    <row r="832" customFormat="false" ht="15.75" hidden="false" customHeight="false" outlineLevel="0" collapsed="false">
      <c r="A832" s="51"/>
      <c r="B832" s="51"/>
      <c r="C832" s="6"/>
      <c r="D832" s="49"/>
      <c r="E832" s="51"/>
      <c r="F832" s="6"/>
      <c r="G832" s="6"/>
      <c r="H832" s="6"/>
      <c r="I832" s="6"/>
      <c r="J832" s="6"/>
      <c r="K832" s="51"/>
      <c r="L832" s="51"/>
      <c r="M832" s="51"/>
      <c r="N832" s="51"/>
      <c r="O832" s="51"/>
      <c r="P832" s="51"/>
      <c r="Q832" s="51"/>
      <c r="R832" s="51"/>
      <c r="S832" s="51"/>
      <c r="T832" s="51"/>
      <c r="U832" s="51"/>
      <c r="V832" s="51"/>
      <c r="W832" s="51"/>
      <c r="X832" s="51"/>
      <c r="Y832" s="51"/>
      <c r="Z832" s="51"/>
      <c r="AA832" s="51"/>
      <c r="AB832" s="51"/>
    </row>
    <row r="833" customFormat="false" ht="15.75" hidden="false" customHeight="false" outlineLevel="0" collapsed="false">
      <c r="A833" s="51"/>
      <c r="B833" s="51"/>
      <c r="C833" s="6"/>
      <c r="D833" s="49"/>
      <c r="E833" s="51"/>
      <c r="F833" s="6"/>
      <c r="G833" s="6"/>
      <c r="H833" s="6"/>
      <c r="I833" s="6"/>
      <c r="J833" s="6"/>
      <c r="K833" s="51"/>
      <c r="L833" s="51"/>
      <c r="M833" s="51"/>
      <c r="N833" s="51"/>
      <c r="O833" s="51"/>
      <c r="P833" s="51"/>
      <c r="Q833" s="51"/>
      <c r="R833" s="51"/>
      <c r="S833" s="51"/>
      <c r="T833" s="51"/>
      <c r="U833" s="51"/>
      <c r="V833" s="51"/>
      <c r="W833" s="51"/>
      <c r="X833" s="51"/>
      <c r="Y833" s="51"/>
      <c r="Z833" s="51"/>
      <c r="AA833" s="51"/>
      <c r="AB833" s="51"/>
    </row>
    <row r="834" customFormat="false" ht="15.75" hidden="false" customHeight="false" outlineLevel="0" collapsed="false">
      <c r="A834" s="51"/>
      <c r="B834" s="51"/>
      <c r="C834" s="6"/>
      <c r="D834" s="49"/>
      <c r="E834" s="51"/>
      <c r="F834" s="6"/>
      <c r="G834" s="6"/>
      <c r="H834" s="6"/>
      <c r="I834" s="6"/>
      <c r="J834" s="6"/>
      <c r="K834" s="51"/>
      <c r="L834" s="51"/>
      <c r="M834" s="51"/>
      <c r="N834" s="51"/>
      <c r="O834" s="51"/>
      <c r="P834" s="51"/>
      <c r="Q834" s="51"/>
      <c r="R834" s="51"/>
      <c r="S834" s="51"/>
      <c r="T834" s="51"/>
      <c r="U834" s="51"/>
      <c r="V834" s="51"/>
      <c r="W834" s="51"/>
      <c r="X834" s="51"/>
      <c r="Y834" s="51"/>
      <c r="Z834" s="51"/>
      <c r="AA834" s="51"/>
      <c r="AB834" s="51"/>
    </row>
    <row r="835" customFormat="false" ht="15.75" hidden="false" customHeight="false" outlineLevel="0" collapsed="false">
      <c r="A835" s="51"/>
      <c r="B835" s="51"/>
      <c r="C835" s="6"/>
      <c r="D835" s="49"/>
      <c r="E835" s="51"/>
      <c r="F835" s="6"/>
      <c r="G835" s="6"/>
      <c r="H835" s="6"/>
      <c r="I835" s="6"/>
      <c r="J835" s="6"/>
      <c r="K835" s="51"/>
      <c r="L835" s="51"/>
      <c r="M835" s="51"/>
      <c r="N835" s="51"/>
      <c r="O835" s="51"/>
      <c r="P835" s="51"/>
      <c r="Q835" s="51"/>
      <c r="R835" s="51"/>
      <c r="S835" s="51"/>
      <c r="T835" s="51"/>
      <c r="U835" s="51"/>
      <c r="V835" s="51"/>
      <c r="W835" s="51"/>
      <c r="X835" s="51"/>
      <c r="Y835" s="51"/>
      <c r="Z835" s="51"/>
      <c r="AA835" s="51"/>
      <c r="AB835" s="51"/>
    </row>
    <row r="836" customFormat="false" ht="15.75" hidden="false" customHeight="false" outlineLevel="0" collapsed="false">
      <c r="A836" s="51"/>
      <c r="B836" s="51"/>
      <c r="C836" s="6"/>
      <c r="D836" s="49"/>
      <c r="E836" s="51"/>
      <c r="F836" s="6"/>
      <c r="G836" s="6"/>
      <c r="H836" s="6"/>
      <c r="I836" s="6"/>
      <c r="J836" s="6"/>
      <c r="K836" s="51"/>
      <c r="L836" s="51"/>
      <c r="M836" s="51"/>
      <c r="N836" s="51"/>
      <c r="O836" s="51"/>
      <c r="P836" s="51"/>
      <c r="Q836" s="51"/>
      <c r="R836" s="51"/>
      <c r="S836" s="51"/>
      <c r="T836" s="51"/>
      <c r="U836" s="51"/>
      <c r="V836" s="51"/>
      <c r="W836" s="51"/>
      <c r="X836" s="51"/>
      <c r="Y836" s="51"/>
      <c r="Z836" s="51"/>
      <c r="AA836" s="51"/>
      <c r="AB836" s="51"/>
    </row>
    <row r="837" customFormat="false" ht="15.75" hidden="false" customHeight="false" outlineLevel="0" collapsed="false">
      <c r="A837" s="51"/>
      <c r="B837" s="51"/>
      <c r="C837" s="6"/>
      <c r="D837" s="49"/>
      <c r="E837" s="51"/>
      <c r="F837" s="6"/>
      <c r="G837" s="6"/>
      <c r="H837" s="6"/>
      <c r="I837" s="6"/>
      <c r="J837" s="6"/>
      <c r="K837" s="51"/>
      <c r="L837" s="51"/>
      <c r="M837" s="51"/>
      <c r="N837" s="51"/>
      <c r="O837" s="51"/>
      <c r="P837" s="51"/>
      <c r="Q837" s="51"/>
      <c r="R837" s="51"/>
      <c r="S837" s="51"/>
      <c r="T837" s="51"/>
      <c r="U837" s="51"/>
      <c r="V837" s="51"/>
      <c r="W837" s="51"/>
      <c r="X837" s="51"/>
      <c r="Y837" s="51"/>
      <c r="Z837" s="51"/>
      <c r="AA837" s="51"/>
      <c r="AB837" s="51"/>
    </row>
    <row r="838" customFormat="false" ht="15.75" hidden="false" customHeight="false" outlineLevel="0" collapsed="false">
      <c r="A838" s="51"/>
      <c r="B838" s="51"/>
      <c r="C838" s="6"/>
      <c r="D838" s="49"/>
      <c r="E838" s="51"/>
      <c r="F838" s="6"/>
      <c r="G838" s="6"/>
      <c r="H838" s="6"/>
      <c r="I838" s="6"/>
      <c r="J838" s="6"/>
      <c r="K838" s="51"/>
      <c r="L838" s="51"/>
      <c r="M838" s="51"/>
      <c r="N838" s="51"/>
      <c r="O838" s="51"/>
      <c r="P838" s="51"/>
      <c r="Q838" s="51"/>
      <c r="R838" s="51"/>
      <c r="S838" s="51"/>
      <c r="T838" s="51"/>
      <c r="U838" s="51"/>
      <c r="V838" s="51"/>
      <c r="W838" s="51"/>
      <c r="X838" s="51"/>
      <c r="Y838" s="51"/>
      <c r="Z838" s="51"/>
      <c r="AA838" s="51"/>
      <c r="AB838" s="51"/>
    </row>
    <row r="839" customFormat="false" ht="15.75" hidden="false" customHeight="false" outlineLevel="0" collapsed="false">
      <c r="A839" s="51"/>
      <c r="B839" s="51"/>
      <c r="C839" s="6"/>
      <c r="D839" s="49"/>
      <c r="E839" s="51"/>
      <c r="F839" s="6"/>
      <c r="G839" s="6"/>
      <c r="H839" s="6"/>
      <c r="I839" s="6"/>
      <c r="J839" s="6"/>
      <c r="K839" s="51"/>
      <c r="L839" s="51"/>
      <c r="M839" s="51"/>
      <c r="N839" s="51"/>
      <c r="O839" s="51"/>
      <c r="P839" s="51"/>
      <c r="Q839" s="51"/>
      <c r="R839" s="51"/>
      <c r="S839" s="51"/>
      <c r="T839" s="51"/>
      <c r="U839" s="51"/>
      <c r="V839" s="51"/>
      <c r="W839" s="51"/>
      <c r="X839" s="51"/>
      <c r="Y839" s="51"/>
      <c r="Z839" s="51"/>
      <c r="AA839" s="51"/>
      <c r="AB839" s="51"/>
    </row>
    <row r="840" customFormat="false" ht="15.75" hidden="false" customHeight="false" outlineLevel="0" collapsed="false">
      <c r="A840" s="51"/>
      <c r="B840" s="51"/>
      <c r="C840" s="6"/>
      <c r="D840" s="49"/>
      <c r="E840" s="51"/>
      <c r="F840" s="6"/>
      <c r="G840" s="6"/>
      <c r="H840" s="6"/>
      <c r="I840" s="6"/>
      <c r="J840" s="6"/>
      <c r="K840" s="51"/>
      <c r="L840" s="51"/>
      <c r="M840" s="51"/>
      <c r="N840" s="51"/>
      <c r="O840" s="51"/>
      <c r="P840" s="51"/>
      <c r="Q840" s="51"/>
      <c r="R840" s="51"/>
      <c r="S840" s="51"/>
      <c r="T840" s="51"/>
      <c r="U840" s="51"/>
      <c r="V840" s="51"/>
      <c r="W840" s="51"/>
      <c r="X840" s="51"/>
      <c r="Y840" s="51"/>
      <c r="Z840" s="51"/>
      <c r="AA840" s="51"/>
      <c r="AB840" s="51"/>
    </row>
    <row r="841" customFormat="false" ht="15.75" hidden="false" customHeight="false" outlineLevel="0" collapsed="false">
      <c r="A841" s="51"/>
      <c r="B841" s="51"/>
      <c r="C841" s="6"/>
      <c r="D841" s="49"/>
      <c r="E841" s="51"/>
      <c r="F841" s="6"/>
      <c r="G841" s="6"/>
      <c r="H841" s="6"/>
      <c r="I841" s="6"/>
      <c r="J841" s="6"/>
      <c r="K841" s="51"/>
      <c r="L841" s="51"/>
      <c r="M841" s="51"/>
      <c r="N841" s="51"/>
      <c r="O841" s="51"/>
      <c r="P841" s="51"/>
      <c r="Q841" s="51"/>
      <c r="R841" s="51"/>
      <c r="S841" s="51"/>
      <c r="T841" s="51"/>
      <c r="U841" s="51"/>
      <c r="V841" s="51"/>
      <c r="W841" s="51"/>
      <c r="X841" s="51"/>
      <c r="Y841" s="51"/>
      <c r="Z841" s="51"/>
      <c r="AA841" s="51"/>
      <c r="AB841" s="51"/>
    </row>
    <row r="842" customFormat="false" ht="15.75" hidden="false" customHeight="false" outlineLevel="0" collapsed="false">
      <c r="A842" s="51"/>
      <c r="B842" s="51"/>
      <c r="C842" s="6"/>
      <c r="D842" s="49"/>
      <c r="E842" s="51"/>
      <c r="F842" s="6"/>
      <c r="G842" s="6"/>
      <c r="H842" s="6"/>
      <c r="I842" s="6"/>
      <c r="J842" s="6"/>
      <c r="K842" s="51"/>
      <c r="L842" s="51"/>
      <c r="M842" s="51"/>
      <c r="N842" s="51"/>
      <c r="O842" s="51"/>
      <c r="P842" s="51"/>
      <c r="Q842" s="51"/>
      <c r="R842" s="51"/>
      <c r="S842" s="51"/>
      <c r="T842" s="51"/>
      <c r="U842" s="51"/>
      <c r="V842" s="51"/>
      <c r="W842" s="51"/>
      <c r="X842" s="51"/>
      <c r="Y842" s="51"/>
      <c r="Z842" s="51"/>
      <c r="AA842" s="51"/>
      <c r="AB842" s="51"/>
    </row>
    <row r="843" customFormat="false" ht="15.75" hidden="false" customHeight="false" outlineLevel="0" collapsed="false">
      <c r="A843" s="51"/>
      <c r="B843" s="51"/>
      <c r="C843" s="6"/>
      <c r="D843" s="49"/>
      <c r="E843" s="51"/>
      <c r="F843" s="6"/>
      <c r="G843" s="6"/>
      <c r="H843" s="6"/>
      <c r="I843" s="6"/>
      <c r="J843" s="6"/>
      <c r="K843" s="51"/>
      <c r="L843" s="51"/>
      <c r="M843" s="51"/>
      <c r="N843" s="51"/>
      <c r="O843" s="51"/>
      <c r="P843" s="51"/>
      <c r="Q843" s="51"/>
      <c r="R843" s="51"/>
      <c r="S843" s="51"/>
      <c r="T843" s="51"/>
      <c r="U843" s="51"/>
      <c r="V843" s="51"/>
      <c r="W843" s="51"/>
      <c r="X843" s="51"/>
      <c r="Y843" s="51"/>
      <c r="Z843" s="51"/>
      <c r="AA843" s="51"/>
      <c r="AB843" s="51"/>
    </row>
    <row r="844" customFormat="false" ht="15.75" hidden="false" customHeight="false" outlineLevel="0" collapsed="false">
      <c r="A844" s="51"/>
      <c r="B844" s="51"/>
      <c r="C844" s="6"/>
      <c r="D844" s="49"/>
      <c r="E844" s="51"/>
      <c r="F844" s="6"/>
      <c r="G844" s="6"/>
      <c r="H844" s="6"/>
      <c r="I844" s="6"/>
      <c r="J844" s="6"/>
      <c r="K844" s="51"/>
      <c r="L844" s="51"/>
      <c r="M844" s="51"/>
      <c r="N844" s="51"/>
      <c r="O844" s="51"/>
      <c r="P844" s="51"/>
      <c r="Q844" s="51"/>
      <c r="R844" s="51"/>
      <c r="S844" s="51"/>
      <c r="T844" s="51"/>
      <c r="U844" s="51"/>
      <c r="V844" s="51"/>
      <c r="W844" s="51"/>
      <c r="X844" s="51"/>
      <c r="Y844" s="51"/>
      <c r="Z844" s="51"/>
      <c r="AA844" s="51"/>
      <c r="AB844" s="51"/>
    </row>
    <row r="845" customFormat="false" ht="15.75" hidden="false" customHeight="false" outlineLevel="0" collapsed="false">
      <c r="A845" s="51"/>
      <c r="B845" s="51"/>
      <c r="C845" s="6"/>
      <c r="D845" s="49"/>
      <c r="E845" s="51"/>
      <c r="F845" s="6"/>
      <c r="G845" s="6"/>
      <c r="H845" s="6"/>
      <c r="I845" s="6"/>
      <c r="J845" s="6"/>
      <c r="K845" s="51"/>
      <c r="L845" s="51"/>
      <c r="M845" s="51"/>
      <c r="N845" s="51"/>
      <c r="O845" s="51"/>
      <c r="P845" s="51"/>
      <c r="Q845" s="51"/>
      <c r="R845" s="51"/>
      <c r="S845" s="51"/>
      <c r="T845" s="51"/>
      <c r="U845" s="51"/>
      <c r="V845" s="51"/>
      <c r="W845" s="51"/>
      <c r="X845" s="51"/>
      <c r="Y845" s="51"/>
      <c r="Z845" s="51"/>
      <c r="AA845" s="51"/>
      <c r="AB845" s="51"/>
    </row>
    <row r="846" customFormat="false" ht="15.75" hidden="false" customHeight="false" outlineLevel="0" collapsed="false">
      <c r="A846" s="51"/>
      <c r="B846" s="51"/>
      <c r="C846" s="6"/>
      <c r="D846" s="49"/>
      <c r="E846" s="51"/>
      <c r="F846" s="6"/>
      <c r="G846" s="6"/>
      <c r="H846" s="6"/>
      <c r="I846" s="6"/>
      <c r="J846" s="6"/>
      <c r="K846" s="51"/>
      <c r="L846" s="51"/>
      <c r="M846" s="51"/>
      <c r="N846" s="51"/>
      <c r="O846" s="51"/>
      <c r="P846" s="51"/>
      <c r="Q846" s="51"/>
      <c r="R846" s="51"/>
      <c r="S846" s="51"/>
      <c r="T846" s="51"/>
      <c r="U846" s="51"/>
      <c r="V846" s="51"/>
      <c r="W846" s="51"/>
      <c r="X846" s="51"/>
      <c r="Y846" s="51"/>
      <c r="Z846" s="51"/>
      <c r="AA846" s="51"/>
      <c r="AB846" s="51"/>
    </row>
    <row r="847" customFormat="false" ht="15.75" hidden="false" customHeight="false" outlineLevel="0" collapsed="false">
      <c r="A847" s="51"/>
      <c r="B847" s="51"/>
      <c r="C847" s="6"/>
      <c r="D847" s="49"/>
      <c r="E847" s="51"/>
      <c r="F847" s="6"/>
      <c r="G847" s="6"/>
      <c r="H847" s="6"/>
      <c r="I847" s="6"/>
      <c r="J847" s="6"/>
      <c r="K847" s="51"/>
      <c r="L847" s="51"/>
      <c r="M847" s="51"/>
      <c r="N847" s="51"/>
      <c r="O847" s="51"/>
      <c r="P847" s="51"/>
      <c r="Q847" s="51"/>
      <c r="R847" s="51"/>
      <c r="S847" s="51"/>
      <c r="T847" s="51"/>
      <c r="U847" s="51"/>
      <c r="V847" s="51"/>
      <c r="W847" s="51"/>
      <c r="X847" s="51"/>
      <c r="Y847" s="51"/>
      <c r="Z847" s="51"/>
      <c r="AA847" s="51"/>
      <c r="AB847" s="51"/>
    </row>
    <row r="848" customFormat="false" ht="15.75" hidden="false" customHeight="false" outlineLevel="0" collapsed="false">
      <c r="A848" s="51"/>
      <c r="B848" s="51"/>
      <c r="C848" s="6"/>
      <c r="D848" s="49"/>
      <c r="E848" s="51"/>
      <c r="F848" s="6"/>
      <c r="G848" s="6"/>
      <c r="H848" s="6"/>
      <c r="I848" s="6"/>
      <c r="J848" s="6"/>
      <c r="K848" s="51"/>
      <c r="L848" s="51"/>
      <c r="M848" s="51"/>
      <c r="N848" s="51"/>
      <c r="O848" s="51"/>
      <c r="P848" s="51"/>
      <c r="Q848" s="51"/>
      <c r="R848" s="51"/>
      <c r="S848" s="51"/>
      <c r="T848" s="51"/>
      <c r="U848" s="51"/>
      <c r="V848" s="51"/>
      <c r="W848" s="51"/>
      <c r="X848" s="51"/>
      <c r="Y848" s="51"/>
      <c r="Z848" s="51"/>
      <c r="AA848" s="51"/>
      <c r="AB848" s="51"/>
    </row>
    <row r="849" customFormat="false" ht="15.75" hidden="false" customHeight="false" outlineLevel="0" collapsed="false">
      <c r="A849" s="51"/>
      <c r="B849" s="51"/>
      <c r="C849" s="6"/>
      <c r="D849" s="49"/>
      <c r="E849" s="51"/>
      <c r="F849" s="6"/>
      <c r="G849" s="6"/>
      <c r="H849" s="6"/>
      <c r="I849" s="6"/>
      <c r="J849" s="6"/>
      <c r="K849" s="51"/>
      <c r="L849" s="51"/>
      <c r="M849" s="51"/>
      <c r="N849" s="51"/>
      <c r="O849" s="51"/>
      <c r="P849" s="51"/>
      <c r="Q849" s="51"/>
      <c r="R849" s="51"/>
      <c r="S849" s="51"/>
      <c r="T849" s="51"/>
      <c r="U849" s="51"/>
      <c r="V849" s="51"/>
      <c r="W849" s="51"/>
      <c r="X849" s="51"/>
      <c r="Y849" s="51"/>
      <c r="Z849" s="51"/>
      <c r="AA849" s="51"/>
      <c r="AB849" s="51"/>
    </row>
    <row r="850" customFormat="false" ht="15.75" hidden="false" customHeight="false" outlineLevel="0" collapsed="false">
      <c r="A850" s="51"/>
      <c r="B850" s="51"/>
      <c r="C850" s="6"/>
      <c r="D850" s="49"/>
      <c r="E850" s="51"/>
      <c r="F850" s="6"/>
      <c r="G850" s="6"/>
      <c r="H850" s="6"/>
      <c r="I850" s="6"/>
      <c r="J850" s="6"/>
      <c r="K850" s="51"/>
      <c r="L850" s="51"/>
      <c r="M850" s="51"/>
      <c r="N850" s="51"/>
      <c r="O850" s="51"/>
      <c r="P850" s="51"/>
      <c r="Q850" s="51"/>
      <c r="R850" s="51"/>
      <c r="S850" s="51"/>
      <c r="T850" s="51"/>
      <c r="U850" s="51"/>
      <c r="V850" s="51"/>
      <c r="W850" s="51"/>
      <c r="X850" s="51"/>
      <c r="Y850" s="51"/>
      <c r="Z850" s="51"/>
      <c r="AA850" s="51"/>
      <c r="AB850" s="51"/>
    </row>
    <row r="851" customFormat="false" ht="15.75" hidden="false" customHeight="false" outlineLevel="0" collapsed="false">
      <c r="A851" s="51"/>
      <c r="B851" s="51"/>
      <c r="C851" s="6"/>
      <c r="D851" s="49"/>
      <c r="E851" s="51"/>
      <c r="F851" s="6"/>
      <c r="G851" s="6"/>
      <c r="H851" s="6"/>
      <c r="I851" s="6"/>
      <c r="J851" s="6"/>
      <c r="K851" s="51"/>
      <c r="L851" s="51"/>
      <c r="M851" s="51"/>
      <c r="N851" s="51"/>
      <c r="O851" s="51"/>
      <c r="P851" s="51"/>
      <c r="Q851" s="51"/>
      <c r="R851" s="51"/>
      <c r="S851" s="51"/>
      <c r="T851" s="51"/>
      <c r="U851" s="51"/>
      <c r="V851" s="51"/>
      <c r="W851" s="51"/>
      <c r="X851" s="51"/>
      <c r="Y851" s="51"/>
      <c r="Z851" s="51"/>
      <c r="AA851" s="51"/>
      <c r="AB851" s="51"/>
    </row>
    <row r="852" customFormat="false" ht="15.75" hidden="false" customHeight="false" outlineLevel="0" collapsed="false">
      <c r="A852" s="51"/>
      <c r="B852" s="51"/>
      <c r="C852" s="6"/>
      <c r="D852" s="49"/>
      <c r="E852" s="51"/>
      <c r="F852" s="6"/>
      <c r="G852" s="6"/>
      <c r="H852" s="6"/>
      <c r="I852" s="6"/>
      <c r="J852" s="6"/>
      <c r="K852" s="51"/>
      <c r="L852" s="51"/>
      <c r="M852" s="51"/>
      <c r="N852" s="51"/>
      <c r="O852" s="51"/>
      <c r="P852" s="51"/>
      <c r="Q852" s="51"/>
      <c r="R852" s="51"/>
      <c r="S852" s="51"/>
      <c r="T852" s="51"/>
      <c r="U852" s="51"/>
      <c r="V852" s="51"/>
      <c r="W852" s="51"/>
      <c r="X852" s="51"/>
      <c r="Y852" s="51"/>
      <c r="Z852" s="51"/>
      <c r="AA852" s="51"/>
      <c r="AB852" s="51"/>
    </row>
    <row r="853" customFormat="false" ht="15.75" hidden="false" customHeight="false" outlineLevel="0" collapsed="false">
      <c r="A853" s="51"/>
      <c r="B853" s="51"/>
      <c r="C853" s="6"/>
      <c r="D853" s="49"/>
      <c r="E853" s="51"/>
      <c r="F853" s="6"/>
      <c r="G853" s="6"/>
      <c r="H853" s="6"/>
      <c r="I853" s="6"/>
      <c r="J853" s="6"/>
      <c r="K853" s="51"/>
      <c r="L853" s="51"/>
      <c r="M853" s="51"/>
      <c r="N853" s="51"/>
      <c r="O853" s="51"/>
      <c r="P853" s="51"/>
      <c r="Q853" s="51"/>
      <c r="R853" s="51"/>
      <c r="S853" s="51"/>
      <c r="T853" s="51"/>
      <c r="U853" s="51"/>
      <c r="V853" s="51"/>
      <c r="W853" s="51"/>
      <c r="X853" s="51"/>
      <c r="Y853" s="51"/>
      <c r="Z853" s="51"/>
      <c r="AA853" s="51"/>
      <c r="AB853" s="51"/>
    </row>
    <row r="854" customFormat="false" ht="15.75" hidden="false" customHeight="false" outlineLevel="0" collapsed="false">
      <c r="A854" s="51"/>
      <c r="B854" s="51"/>
      <c r="C854" s="6"/>
      <c r="D854" s="49"/>
      <c r="E854" s="51"/>
      <c r="F854" s="6"/>
      <c r="G854" s="6"/>
      <c r="H854" s="6"/>
      <c r="I854" s="6"/>
      <c r="J854" s="6"/>
      <c r="K854" s="51"/>
      <c r="L854" s="51"/>
      <c r="M854" s="51"/>
      <c r="N854" s="51"/>
      <c r="O854" s="51"/>
      <c r="P854" s="51"/>
      <c r="Q854" s="51"/>
      <c r="R854" s="51"/>
      <c r="S854" s="51"/>
      <c r="T854" s="51"/>
      <c r="U854" s="51"/>
      <c r="V854" s="51"/>
      <c r="W854" s="51"/>
      <c r="X854" s="51"/>
      <c r="Y854" s="51"/>
      <c r="Z854" s="51"/>
      <c r="AA854" s="51"/>
      <c r="AB854" s="51"/>
    </row>
    <row r="855" customFormat="false" ht="15.75" hidden="false" customHeight="false" outlineLevel="0" collapsed="false">
      <c r="A855" s="51"/>
      <c r="B855" s="51"/>
      <c r="C855" s="6"/>
      <c r="D855" s="49"/>
      <c r="E855" s="51"/>
      <c r="F855" s="6"/>
      <c r="G855" s="6"/>
      <c r="H855" s="6"/>
      <c r="I855" s="6"/>
      <c r="J855" s="6"/>
      <c r="K855" s="51"/>
      <c r="L855" s="51"/>
      <c r="M855" s="51"/>
      <c r="N855" s="51"/>
      <c r="O855" s="51"/>
      <c r="P855" s="51"/>
      <c r="Q855" s="51"/>
      <c r="R855" s="51"/>
      <c r="S855" s="51"/>
      <c r="T855" s="51"/>
      <c r="U855" s="51"/>
      <c r="V855" s="51"/>
      <c r="W855" s="51"/>
      <c r="X855" s="51"/>
      <c r="Y855" s="51"/>
      <c r="Z855" s="51"/>
      <c r="AA855" s="51"/>
      <c r="AB855" s="51"/>
    </row>
    <row r="856" customFormat="false" ht="15.75" hidden="false" customHeight="false" outlineLevel="0" collapsed="false">
      <c r="A856" s="51"/>
      <c r="B856" s="51"/>
      <c r="C856" s="6"/>
      <c r="D856" s="49"/>
      <c r="E856" s="51"/>
      <c r="F856" s="6"/>
      <c r="G856" s="6"/>
      <c r="H856" s="6"/>
      <c r="I856" s="6"/>
      <c r="J856" s="6"/>
      <c r="K856" s="51"/>
      <c r="L856" s="51"/>
      <c r="M856" s="51"/>
      <c r="N856" s="51"/>
      <c r="O856" s="51"/>
      <c r="P856" s="51"/>
      <c r="Q856" s="51"/>
      <c r="R856" s="51"/>
      <c r="S856" s="51"/>
      <c r="T856" s="51"/>
      <c r="U856" s="51"/>
      <c r="V856" s="51"/>
      <c r="W856" s="51"/>
      <c r="X856" s="51"/>
      <c r="Y856" s="51"/>
      <c r="Z856" s="51"/>
      <c r="AA856" s="51"/>
      <c r="AB856" s="51"/>
    </row>
    <row r="857" customFormat="false" ht="15.75" hidden="false" customHeight="false" outlineLevel="0" collapsed="false">
      <c r="A857" s="51"/>
      <c r="B857" s="51"/>
      <c r="C857" s="6"/>
      <c r="D857" s="49"/>
      <c r="E857" s="51"/>
      <c r="F857" s="6"/>
      <c r="G857" s="6"/>
      <c r="H857" s="6"/>
      <c r="I857" s="6"/>
      <c r="J857" s="6"/>
      <c r="K857" s="51"/>
      <c r="L857" s="51"/>
      <c r="M857" s="51"/>
      <c r="N857" s="51"/>
      <c r="O857" s="51"/>
      <c r="P857" s="51"/>
      <c r="Q857" s="51"/>
      <c r="R857" s="51"/>
      <c r="S857" s="51"/>
      <c r="T857" s="51"/>
      <c r="U857" s="51"/>
      <c r="V857" s="51"/>
      <c r="W857" s="51"/>
      <c r="X857" s="51"/>
      <c r="Y857" s="51"/>
      <c r="Z857" s="51"/>
      <c r="AA857" s="51"/>
      <c r="AB857" s="51"/>
    </row>
    <row r="858" customFormat="false" ht="15.75" hidden="false" customHeight="false" outlineLevel="0" collapsed="false">
      <c r="A858" s="51"/>
      <c r="B858" s="51"/>
      <c r="C858" s="6"/>
      <c r="D858" s="49"/>
      <c r="E858" s="51"/>
      <c r="F858" s="6"/>
      <c r="G858" s="6"/>
      <c r="H858" s="6"/>
      <c r="I858" s="6"/>
      <c r="J858" s="6"/>
      <c r="K858" s="51"/>
      <c r="L858" s="51"/>
      <c r="M858" s="51"/>
      <c r="N858" s="51"/>
      <c r="O858" s="51"/>
      <c r="P858" s="51"/>
      <c r="Q858" s="51"/>
      <c r="R858" s="51"/>
      <c r="S858" s="51"/>
      <c r="T858" s="51"/>
      <c r="U858" s="51"/>
      <c r="V858" s="51"/>
      <c r="W858" s="51"/>
      <c r="X858" s="51"/>
      <c r="Y858" s="51"/>
      <c r="Z858" s="51"/>
      <c r="AA858" s="51"/>
      <c r="AB858" s="51"/>
    </row>
    <row r="859" customFormat="false" ht="15.75" hidden="false" customHeight="false" outlineLevel="0" collapsed="false">
      <c r="A859" s="51"/>
      <c r="B859" s="51"/>
      <c r="C859" s="6"/>
      <c r="D859" s="49"/>
      <c r="E859" s="51"/>
      <c r="F859" s="6"/>
      <c r="G859" s="6"/>
      <c r="H859" s="6"/>
      <c r="I859" s="6"/>
      <c r="J859" s="6"/>
      <c r="K859" s="51"/>
      <c r="L859" s="51"/>
      <c r="M859" s="51"/>
      <c r="N859" s="51"/>
      <c r="O859" s="51"/>
      <c r="P859" s="51"/>
      <c r="Q859" s="51"/>
      <c r="R859" s="51"/>
      <c r="S859" s="51"/>
      <c r="T859" s="51"/>
      <c r="U859" s="51"/>
      <c r="V859" s="51"/>
      <c r="W859" s="51"/>
      <c r="X859" s="51"/>
      <c r="Y859" s="51"/>
      <c r="Z859" s="51"/>
      <c r="AA859" s="51"/>
      <c r="AB859" s="51"/>
    </row>
    <row r="860" customFormat="false" ht="15.75" hidden="false" customHeight="false" outlineLevel="0" collapsed="false">
      <c r="A860" s="51"/>
      <c r="B860" s="51"/>
      <c r="C860" s="6"/>
      <c r="D860" s="49"/>
      <c r="E860" s="51"/>
      <c r="F860" s="6"/>
      <c r="G860" s="6"/>
      <c r="H860" s="6"/>
      <c r="I860" s="6"/>
      <c r="J860" s="6"/>
      <c r="K860" s="51"/>
      <c r="L860" s="51"/>
      <c r="M860" s="51"/>
      <c r="N860" s="51"/>
      <c r="O860" s="51"/>
      <c r="P860" s="51"/>
      <c r="Q860" s="51"/>
      <c r="R860" s="51"/>
      <c r="S860" s="51"/>
      <c r="T860" s="51"/>
      <c r="U860" s="51"/>
      <c r="V860" s="51"/>
      <c r="W860" s="51"/>
      <c r="X860" s="51"/>
      <c r="Y860" s="51"/>
      <c r="Z860" s="51"/>
      <c r="AA860" s="51"/>
      <c r="AB860" s="51"/>
    </row>
    <row r="861" customFormat="false" ht="15.75" hidden="false" customHeight="false" outlineLevel="0" collapsed="false">
      <c r="A861" s="51"/>
      <c r="B861" s="51"/>
      <c r="C861" s="6"/>
      <c r="D861" s="49"/>
      <c r="E861" s="51"/>
      <c r="F861" s="6"/>
      <c r="G861" s="6"/>
      <c r="H861" s="6"/>
      <c r="I861" s="6"/>
      <c r="J861" s="6"/>
      <c r="K861" s="51"/>
      <c r="L861" s="51"/>
      <c r="M861" s="51"/>
      <c r="N861" s="51"/>
      <c r="O861" s="51"/>
      <c r="P861" s="51"/>
      <c r="Q861" s="51"/>
      <c r="R861" s="51"/>
      <c r="S861" s="51"/>
      <c r="T861" s="51"/>
      <c r="U861" s="51"/>
      <c r="V861" s="51"/>
      <c r="W861" s="51"/>
      <c r="X861" s="51"/>
      <c r="Y861" s="51"/>
      <c r="Z861" s="51"/>
      <c r="AA861" s="51"/>
      <c r="AB861" s="51"/>
    </row>
    <row r="862" customFormat="false" ht="15.75" hidden="false" customHeight="false" outlineLevel="0" collapsed="false">
      <c r="A862" s="51"/>
      <c r="B862" s="51"/>
      <c r="C862" s="6"/>
      <c r="D862" s="49"/>
      <c r="E862" s="51"/>
      <c r="F862" s="6"/>
      <c r="G862" s="6"/>
      <c r="H862" s="6"/>
      <c r="I862" s="6"/>
      <c r="J862" s="6"/>
      <c r="K862" s="51"/>
      <c r="L862" s="51"/>
      <c r="M862" s="51"/>
      <c r="N862" s="51"/>
      <c r="O862" s="51"/>
      <c r="P862" s="51"/>
      <c r="Q862" s="51"/>
      <c r="R862" s="51"/>
      <c r="S862" s="51"/>
      <c r="T862" s="51"/>
      <c r="U862" s="51"/>
      <c r="V862" s="51"/>
      <c r="W862" s="51"/>
      <c r="X862" s="51"/>
      <c r="Y862" s="51"/>
      <c r="Z862" s="51"/>
      <c r="AA862" s="51"/>
      <c r="AB862" s="51"/>
    </row>
    <row r="863" customFormat="false" ht="15.75" hidden="false" customHeight="false" outlineLevel="0" collapsed="false">
      <c r="A863" s="51"/>
      <c r="B863" s="51"/>
      <c r="C863" s="6"/>
      <c r="D863" s="49"/>
      <c r="E863" s="51"/>
      <c r="F863" s="6"/>
      <c r="G863" s="6"/>
      <c r="H863" s="6"/>
      <c r="I863" s="6"/>
      <c r="J863" s="6"/>
      <c r="K863" s="51"/>
      <c r="L863" s="51"/>
      <c r="M863" s="51"/>
      <c r="N863" s="51"/>
      <c r="O863" s="51"/>
      <c r="P863" s="51"/>
      <c r="Q863" s="51"/>
      <c r="R863" s="51"/>
      <c r="S863" s="51"/>
      <c r="T863" s="51"/>
      <c r="U863" s="51"/>
      <c r="V863" s="51"/>
      <c r="W863" s="51"/>
      <c r="X863" s="51"/>
      <c r="Y863" s="51"/>
      <c r="Z863" s="51"/>
      <c r="AA863" s="51"/>
      <c r="AB863" s="51"/>
    </row>
    <row r="864" customFormat="false" ht="15.75" hidden="false" customHeight="false" outlineLevel="0" collapsed="false">
      <c r="A864" s="51"/>
      <c r="B864" s="51"/>
      <c r="C864" s="6"/>
      <c r="D864" s="49"/>
      <c r="E864" s="51"/>
      <c r="F864" s="6"/>
      <c r="G864" s="6"/>
      <c r="H864" s="6"/>
      <c r="I864" s="6"/>
      <c r="J864" s="6"/>
      <c r="K864" s="51"/>
      <c r="L864" s="51"/>
      <c r="M864" s="51"/>
      <c r="N864" s="51"/>
      <c r="O864" s="51"/>
      <c r="P864" s="51"/>
      <c r="Q864" s="51"/>
      <c r="R864" s="51"/>
      <c r="S864" s="51"/>
      <c r="T864" s="51"/>
      <c r="U864" s="51"/>
      <c r="V864" s="51"/>
      <c r="W864" s="51"/>
      <c r="X864" s="51"/>
      <c r="Y864" s="51"/>
      <c r="Z864" s="51"/>
      <c r="AA864" s="51"/>
      <c r="AB864" s="51"/>
    </row>
    <row r="865" customFormat="false" ht="15.75" hidden="false" customHeight="false" outlineLevel="0" collapsed="false">
      <c r="A865" s="51"/>
      <c r="B865" s="51"/>
      <c r="C865" s="6"/>
      <c r="D865" s="49"/>
      <c r="E865" s="51"/>
      <c r="F865" s="6"/>
      <c r="G865" s="6"/>
      <c r="H865" s="6"/>
      <c r="I865" s="6"/>
      <c r="J865" s="6"/>
      <c r="K865" s="51"/>
      <c r="L865" s="51"/>
      <c r="M865" s="51"/>
      <c r="N865" s="51"/>
      <c r="O865" s="51"/>
      <c r="P865" s="51"/>
      <c r="Q865" s="51"/>
      <c r="R865" s="51"/>
      <c r="S865" s="51"/>
      <c r="T865" s="51"/>
      <c r="U865" s="51"/>
      <c r="V865" s="51"/>
      <c r="W865" s="51"/>
      <c r="X865" s="51"/>
      <c r="Y865" s="51"/>
      <c r="Z865" s="51"/>
      <c r="AA865" s="51"/>
      <c r="AB865" s="51"/>
    </row>
    <row r="866" customFormat="false" ht="15.75" hidden="false" customHeight="false" outlineLevel="0" collapsed="false">
      <c r="A866" s="51"/>
      <c r="B866" s="51"/>
      <c r="C866" s="6"/>
      <c r="D866" s="49"/>
      <c r="E866" s="51"/>
      <c r="F866" s="6"/>
      <c r="G866" s="6"/>
      <c r="H866" s="6"/>
      <c r="I866" s="6"/>
      <c r="J866" s="6"/>
      <c r="K866" s="51"/>
      <c r="L866" s="51"/>
      <c r="M866" s="51"/>
      <c r="N866" s="51"/>
      <c r="O866" s="51"/>
      <c r="P866" s="51"/>
      <c r="Q866" s="51"/>
      <c r="R866" s="51"/>
      <c r="S866" s="51"/>
      <c r="T866" s="51"/>
      <c r="U866" s="51"/>
      <c r="V866" s="51"/>
      <c r="W866" s="51"/>
      <c r="X866" s="51"/>
      <c r="Y866" s="51"/>
      <c r="Z866" s="51"/>
      <c r="AA866" s="51"/>
      <c r="AB866" s="51"/>
    </row>
    <row r="867" customFormat="false" ht="15.75" hidden="false" customHeight="false" outlineLevel="0" collapsed="false">
      <c r="A867" s="51"/>
      <c r="B867" s="51"/>
      <c r="C867" s="6"/>
      <c r="D867" s="49"/>
      <c r="E867" s="51"/>
      <c r="F867" s="6"/>
      <c r="G867" s="6"/>
      <c r="H867" s="6"/>
      <c r="I867" s="6"/>
      <c r="J867" s="6"/>
      <c r="K867" s="51"/>
      <c r="L867" s="51"/>
      <c r="M867" s="51"/>
      <c r="N867" s="51"/>
      <c r="O867" s="51"/>
      <c r="P867" s="51"/>
      <c r="Q867" s="51"/>
      <c r="R867" s="51"/>
      <c r="S867" s="51"/>
      <c r="T867" s="51"/>
      <c r="U867" s="51"/>
      <c r="V867" s="51"/>
      <c r="W867" s="51"/>
      <c r="X867" s="51"/>
      <c r="Y867" s="51"/>
      <c r="Z867" s="51"/>
      <c r="AA867" s="51"/>
      <c r="AB867" s="51"/>
    </row>
    <row r="868" customFormat="false" ht="15.75" hidden="false" customHeight="false" outlineLevel="0" collapsed="false">
      <c r="A868" s="51"/>
      <c r="B868" s="51"/>
      <c r="C868" s="6"/>
      <c r="D868" s="49"/>
      <c r="E868" s="51"/>
      <c r="F868" s="6"/>
      <c r="G868" s="6"/>
      <c r="H868" s="6"/>
      <c r="I868" s="6"/>
      <c r="J868" s="6"/>
      <c r="K868" s="51"/>
      <c r="L868" s="51"/>
      <c r="M868" s="51"/>
      <c r="N868" s="51"/>
      <c r="O868" s="51"/>
      <c r="P868" s="51"/>
      <c r="Q868" s="51"/>
      <c r="R868" s="51"/>
      <c r="S868" s="51"/>
      <c r="T868" s="51"/>
      <c r="U868" s="51"/>
      <c r="V868" s="51"/>
      <c r="W868" s="51"/>
      <c r="X868" s="51"/>
      <c r="Y868" s="51"/>
      <c r="Z868" s="51"/>
      <c r="AA868" s="51"/>
      <c r="AB868" s="51"/>
    </row>
    <row r="869" customFormat="false" ht="15.75" hidden="false" customHeight="false" outlineLevel="0" collapsed="false">
      <c r="A869" s="51"/>
      <c r="B869" s="51"/>
      <c r="C869" s="6"/>
      <c r="D869" s="49"/>
      <c r="E869" s="51"/>
      <c r="F869" s="6"/>
      <c r="G869" s="6"/>
      <c r="H869" s="6"/>
      <c r="I869" s="6"/>
      <c r="J869" s="6"/>
      <c r="K869" s="51"/>
      <c r="L869" s="51"/>
      <c r="M869" s="51"/>
      <c r="N869" s="51"/>
      <c r="O869" s="51"/>
      <c r="P869" s="51"/>
      <c r="Q869" s="51"/>
      <c r="R869" s="51"/>
      <c r="S869" s="51"/>
      <c r="T869" s="51"/>
      <c r="U869" s="51"/>
      <c r="V869" s="51"/>
      <c r="W869" s="51"/>
      <c r="X869" s="51"/>
      <c r="Y869" s="51"/>
      <c r="Z869" s="51"/>
      <c r="AA869" s="51"/>
      <c r="AB869" s="51"/>
    </row>
    <row r="870" customFormat="false" ht="15.75" hidden="false" customHeight="false" outlineLevel="0" collapsed="false">
      <c r="A870" s="51"/>
      <c r="B870" s="51"/>
      <c r="C870" s="6"/>
      <c r="D870" s="49"/>
      <c r="E870" s="51"/>
      <c r="F870" s="6"/>
      <c r="G870" s="6"/>
      <c r="H870" s="6"/>
      <c r="I870" s="6"/>
      <c r="J870" s="6"/>
      <c r="K870" s="51"/>
      <c r="L870" s="51"/>
      <c r="M870" s="51"/>
      <c r="N870" s="51"/>
      <c r="O870" s="51"/>
      <c r="P870" s="51"/>
      <c r="Q870" s="51"/>
      <c r="R870" s="51"/>
      <c r="S870" s="51"/>
      <c r="T870" s="51"/>
      <c r="U870" s="51"/>
      <c r="V870" s="51"/>
      <c r="W870" s="51"/>
      <c r="X870" s="51"/>
      <c r="Y870" s="51"/>
      <c r="Z870" s="51"/>
      <c r="AA870" s="51"/>
      <c r="AB870" s="51"/>
    </row>
    <row r="871" customFormat="false" ht="15.75" hidden="false" customHeight="false" outlineLevel="0" collapsed="false">
      <c r="A871" s="51"/>
      <c r="B871" s="51"/>
      <c r="C871" s="6"/>
      <c r="D871" s="49"/>
      <c r="E871" s="51"/>
      <c r="F871" s="6"/>
      <c r="G871" s="6"/>
      <c r="H871" s="6"/>
      <c r="I871" s="6"/>
      <c r="J871" s="6"/>
      <c r="K871" s="51"/>
      <c r="L871" s="51"/>
      <c r="M871" s="51"/>
      <c r="N871" s="51"/>
      <c r="O871" s="51"/>
      <c r="P871" s="51"/>
      <c r="Q871" s="51"/>
      <c r="R871" s="51"/>
      <c r="S871" s="51"/>
      <c r="T871" s="51"/>
      <c r="U871" s="51"/>
      <c r="V871" s="51"/>
      <c r="W871" s="51"/>
      <c r="X871" s="51"/>
      <c r="Y871" s="51"/>
      <c r="Z871" s="51"/>
      <c r="AA871" s="51"/>
      <c r="AB871" s="51"/>
    </row>
    <row r="872" customFormat="false" ht="15.75" hidden="false" customHeight="false" outlineLevel="0" collapsed="false">
      <c r="A872" s="51"/>
      <c r="B872" s="51"/>
      <c r="C872" s="6"/>
      <c r="D872" s="49"/>
      <c r="E872" s="51"/>
      <c r="F872" s="6"/>
      <c r="G872" s="6"/>
      <c r="H872" s="6"/>
      <c r="I872" s="6"/>
      <c r="J872" s="6"/>
      <c r="K872" s="51"/>
      <c r="L872" s="51"/>
      <c r="M872" s="51"/>
      <c r="N872" s="51"/>
      <c r="O872" s="51"/>
      <c r="P872" s="51"/>
      <c r="Q872" s="51"/>
      <c r="R872" s="51"/>
      <c r="S872" s="51"/>
      <c r="T872" s="51"/>
      <c r="U872" s="51"/>
      <c r="V872" s="51"/>
      <c r="W872" s="51"/>
      <c r="X872" s="51"/>
      <c r="Y872" s="51"/>
      <c r="Z872" s="51"/>
      <c r="AA872" s="51"/>
      <c r="AB872" s="51"/>
    </row>
    <row r="873" customFormat="false" ht="15.75" hidden="false" customHeight="false" outlineLevel="0" collapsed="false">
      <c r="A873" s="51"/>
      <c r="B873" s="51"/>
      <c r="C873" s="6"/>
      <c r="D873" s="49"/>
      <c r="E873" s="51"/>
      <c r="F873" s="6"/>
      <c r="G873" s="6"/>
      <c r="H873" s="6"/>
      <c r="I873" s="6"/>
      <c r="J873" s="6"/>
      <c r="K873" s="51"/>
      <c r="L873" s="51"/>
      <c r="M873" s="51"/>
      <c r="N873" s="51"/>
      <c r="O873" s="51"/>
      <c r="P873" s="51"/>
      <c r="Q873" s="51"/>
      <c r="R873" s="51"/>
      <c r="S873" s="51"/>
      <c r="T873" s="51"/>
      <c r="U873" s="51"/>
      <c r="V873" s="51"/>
      <c r="W873" s="51"/>
      <c r="X873" s="51"/>
      <c r="Y873" s="51"/>
      <c r="Z873" s="51"/>
      <c r="AA873" s="51"/>
      <c r="AB873" s="51"/>
    </row>
    <row r="874" customFormat="false" ht="15.75" hidden="false" customHeight="false" outlineLevel="0" collapsed="false">
      <c r="A874" s="51"/>
      <c r="B874" s="51"/>
      <c r="C874" s="6"/>
      <c r="D874" s="49"/>
      <c r="E874" s="51"/>
      <c r="F874" s="6"/>
      <c r="G874" s="6"/>
      <c r="H874" s="6"/>
      <c r="I874" s="6"/>
      <c r="J874" s="6"/>
      <c r="K874" s="51"/>
      <c r="L874" s="51"/>
      <c r="M874" s="51"/>
      <c r="N874" s="51"/>
      <c r="O874" s="51"/>
      <c r="P874" s="51"/>
      <c r="Q874" s="51"/>
      <c r="R874" s="51"/>
      <c r="S874" s="51"/>
      <c r="T874" s="51"/>
      <c r="U874" s="51"/>
      <c r="V874" s="51"/>
      <c r="W874" s="51"/>
      <c r="X874" s="51"/>
      <c r="Y874" s="51"/>
      <c r="Z874" s="51"/>
      <c r="AA874" s="51"/>
      <c r="AB874" s="51"/>
    </row>
    <row r="875" customFormat="false" ht="15.75" hidden="false" customHeight="false" outlineLevel="0" collapsed="false">
      <c r="A875" s="51"/>
      <c r="B875" s="51"/>
      <c r="C875" s="6"/>
      <c r="D875" s="49"/>
      <c r="E875" s="51"/>
      <c r="F875" s="6"/>
      <c r="G875" s="6"/>
      <c r="H875" s="6"/>
      <c r="I875" s="6"/>
      <c r="J875" s="6"/>
      <c r="K875" s="51"/>
      <c r="L875" s="51"/>
      <c r="M875" s="51"/>
      <c r="N875" s="51"/>
      <c r="O875" s="51"/>
      <c r="P875" s="51"/>
      <c r="Q875" s="51"/>
      <c r="R875" s="51"/>
      <c r="S875" s="51"/>
      <c r="T875" s="51"/>
      <c r="U875" s="51"/>
      <c r="V875" s="51"/>
      <c r="W875" s="51"/>
      <c r="X875" s="51"/>
      <c r="Y875" s="51"/>
      <c r="Z875" s="51"/>
      <c r="AA875" s="51"/>
      <c r="AB875" s="51"/>
    </row>
    <row r="876" customFormat="false" ht="15.75" hidden="false" customHeight="false" outlineLevel="0" collapsed="false">
      <c r="A876" s="51"/>
      <c r="B876" s="51"/>
      <c r="C876" s="6"/>
      <c r="D876" s="49"/>
      <c r="E876" s="51"/>
      <c r="F876" s="6"/>
      <c r="G876" s="6"/>
      <c r="H876" s="6"/>
      <c r="I876" s="6"/>
      <c r="J876" s="6"/>
      <c r="K876" s="51"/>
      <c r="L876" s="51"/>
      <c r="M876" s="51"/>
      <c r="N876" s="51"/>
      <c r="O876" s="51"/>
      <c r="P876" s="51"/>
      <c r="Q876" s="51"/>
      <c r="R876" s="51"/>
      <c r="S876" s="51"/>
      <c r="T876" s="51"/>
      <c r="U876" s="51"/>
      <c r="V876" s="51"/>
      <c r="W876" s="51"/>
      <c r="X876" s="51"/>
      <c r="Y876" s="51"/>
      <c r="Z876" s="51"/>
      <c r="AA876" s="51"/>
      <c r="AB876" s="51"/>
    </row>
    <row r="877" customFormat="false" ht="15.75" hidden="false" customHeight="false" outlineLevel="0" collapsed="false">
      <c r="A877" s="51"/>
      <c r="B877" s="51"/>
      <c r="C877" s="6"/>
      <c r="D877" s="49"/>
      <c r="E877" s="51"/>
      <c r="F877" s="6"/>
      <c r="G877" s="6"/>
      <c r="H877" s="6"/>
      <c r="I877" s="6"/>
      <c r="J877" s="6"/>
      <c r="K877" s="51"/>
      <c r="L877" s="51"/>
      <c r="M877" s="51"/>
      <c r="N877" s="51"/>
      <c r="O877" s="51"/>
      <c r="P877" s="51"/>
      <c r="Q877" s="51"/>
      <c r="R877" s="51"/>
      <c r="S877" s="51"/>
      <c r="T877" s="51"/>
      <c r="U877" s="51"/>
      <c r="V877" s="51"/>
      <c r="W877" s="51"/>
      <c r="X877" s="51"/>
      <c r="Y877" s="51"/>
      <c r="Z877" s="51"/>
      <c r="AA877" s="51"/>
      <c r="AB877" s="51"/>
    </row>
    <row r="878" customFormat="false" ht="15.75" hidden="false" customHeight="false" outlineLevel="0" collapsed="false">
      <c r="A878" s="51"/>
      <c r="B878" s="51"/>
      <c r="C878" s="6"/>
      <c r="D878" s="49"/>
      <c r="E878" s="51"/>
      <c r="F878" s="6"/>
      <c r="G878" s="6"/>
      <c r="H878" s="6"/>
      <c r="I878" s="6"/>
      <c r="J878" s="6"/>
      <c r="K878" s="51"/>
      <c r="L878" s="51"/>
      <c r="M878" s="51"/>
      <c r="N878" s="51"/>
      <c r="O878" s="51"/>
      <c r="P878" s="51"/>
      <c r="Q878" s="51"/>
      <c r="R878" s="51"/>
      <c r="S878" s="51"/>
      <c r="T878" s="51"/>
      <c r="U878" s="51"/>
      <c r="V878" s="51"/>
      <c r="W878" s="51"/>
      <c r="X878" s="51"/>
      <c r="Y878" s="51"/>
      <c r="Z878" s="51"/>
      <c r="AA878" s="51"/>
      <c r="AB878" s="51"/>
    </row>
    <row r="879" customFormat="false" ht="15.75" hidden="false" customHeight="false" outlineLevel="0" collapsed="false">
      <c r="A879" s="51"/>
      <c r="B879" s="51"/>
      <c r="C879" s="6"/>
      <c r="D879" s="49"/>
      <c r="E879" s="51"/>
      <c r="F879" s="6"/>
      <c r="G879" s="6"/>
      <c r="H879" s="6"/>
      <c r="I879" s="6"/>
      <c r="J879" s="6"/>
      <c r="K879" s="51"/>
      <c r="L879" s="51"/>
      <c r="M879" s="51"/>
      <c r="N879" s="51"/>
      <c r="O879" s="51"/>
      <c r="P879" s="51"/>
      <c r="Q879" s="51"/>
      <c r="R879" s="51"/>
      <c r="S879" s="51"/>
      <c r="T879" s="51"/>
      <c r="U879" s="51"/>
      <c r="V879" s="51"/>
      <c r="W879" s="51"/>
      <c r="X879" s="51"/>
      <c r="Y879" s="51"/>
      <c r="Z879" s="51"/>
      <c r="AA879" s="51"/>
      <c r="AB879" s="51"/>
    </row>
    <row r="880" customFormat="false" ht="15.75" hidden="false" customHeight="false" outlineLevel="0" collapsed="false">
      <c r="A880" s="51"/>
      <c r="B880" s="51"/>
      <c r="C880" s="6"/>
      <c r="D880" s="49"/>
      <c r="E880" s="51"/>
      <c r="F880" s="6"/>
      <c r="G880" s="6"/>
      <c r="H880" s="6"/>
      <c r="I880" s="6"/>
      <c r="J880" s="6"/>
      <c r="K880" s="51"/>
      <c r="L880" s="51"/>
      <c r="M880" s="51"/>
      <c r="N880" s="51"/>
      <c r="O880" s="51"/>
      <c r="P880" s="51"/>
      <c r="Q880" s="51"/>
      <c r="R880" s="51"/>
      <c r="S880" s="51"/>
      <c r="T880" s="51"/>
      <c r="U880" s="51"/>
      <c r="V880" s="51"/>
      <c r="W880" s="51"/>
      <c r="X880" s="51"/>
      <c r="Y880" s="51"/>
      <c r="Z880" s="51"/>
      <c r="AA880" s="51"/>
      <c r="AB880" s="51"/>
    </row>
    <row r="881" customFormat="false" ht="15.75" hidden="false" customHeight="false" outlineLevel="0" collapsed="false">
      <c r="A881" s="51"/>
      <c r="B881" s="51"/>
      <c r="C881" s="6"/>
      <c r="D881" s="49"/>
      <c r="E881" s="51"/>
      <c r="F881" s="6"/>
      <c r="G881" s="6"/>
      <c r="H881" s="6"/>
      <c r="I881" s="6"/>
      <c r="J881" s="6"/>
      <c r="K881" s="51"/>
      <c r="L881" s="51"/>
      <c r="M881" s="51"/>
      <c r="N881" s="51"/>
      <c r="O881" s="51"/>
      <c r="P881" s="51"/>
      <c r="Q881" s="51"/>
      <c r="R881" s="51"/>
      <c r="S881" s="51"/>
      <c r="T881" s="51"/>
      <c r="U881" s="51"/>
      <c r="V881" s="51"/>
      <c r="W881" s="51"/>
      <c r="X881" s="51"/>
      <c r="Y881" s="51"/>
      <c r="Z881" s="51"/>
      <c r="AA881" s="51"/>
      <c r="AB881" s="51"/>
    </row>
    <row r="882" customFormat="false" ht="15.75" hidden="false" customHeight="false" outlineLevel="0" collapsed="false">
      <c r="A882" s="51"/>
      <c r="B882" s="51"/>
      <c r="C882" s="6"/>
      <c r="D882" s="49"/>
      <c r="E882" s="51"/>
      <c r="F882" s="6"/>
      <c r="G882" s="6"/>
      <c r="H882" s="6"/>
      <c r="I882" s="6"/>
      <c r="J882" s="6"/>
      <c r="K882" s="51"/>
      <c r="L882" s="51"/>
      <c r="M882" s="51"/>
      <c r="N882" s="51"/>
      <c r="O882" s="51"/>
      <c r="P882" s="51"/>
      <c r="Q882" s="51"/>
      <c r="R882" s="51"/>
      <c r="S882" s="51"/>
      <c r="T882" s="51"/>
      <c r="U882" s="51"/>
      <c r="V882" s="51"/>
      <c r="W882" s="51"/>
      <c r="X882" s="51"/>
      <c r="Y882" s="51"/>
      <c r="Z882" s="51"/>
      <c r="AA882" s="51"/>
      <c r="AB882" s="51"/>
    </row>
    <row r="883" customFormat="false" ht="15.75" hidden="false" customHeight="false" outlineLevel="0" collapsed="false">
      <c r="A883" s="51"/>
      <c r="B883" s="51"/>
      <c r="C883" s="6"/>
      <c r="D883" s="49"/>
      <c r="E883" s="51"/>
      <c r="F883" s="6"/>
      <c r="G883" s="6"/>
      <c r="H883" s="6"/>
      <c r="I883" s="6"/>
      <c r="J883" s="6"/>
      <c r="K883" s="51"/>
      <c r="L883" s="51"/>
      <c r="M883" s="51"/>
      <c r="N883" s="51"/>
      <c r="O883" s="51"/>
      <c r="P883" s="51"/>
      <c r="Q883" s="51"/>
      <c r="R883" s="51"/>
      <c r="S883" s="51"/>
      <c r="T883" s="51"/>
      <c r="U883" s="51"/>
      <c r="V883" s="51"/>
      <c r="W883" s="51"/>
      <c r="X883" s="51"/>
      <c r="Y883" s="51"/>
      <c r="Z883" s="51"/>
      <c r="AA883" s="51"/>
      <c r="AB883" s="51"/>
    </row>
    <row r="884" customFormat="false" ht="15.75" hidden="false" customHeight="false" outlineLevel="0" collapsed="false">
      <c r="A884" s="51"/>
      <c r="B884" s="51"/>
      <c r="C884" s="6"/>
      <c r="D884" s="49"/>
      <c r="E884" s="51"/>
      <c r="F884" s="6"/>
      <c r="G884" s="6"/>
      <c r="H884" s="6"/>
      <c r="I884" s="6"/>
      <c r="J884" s="6"/>
      <c r="K884" s="51"/>
      <c r="L884" s="51"/>
      <c r="M884" s="51"/>
      <c r="N884" s="51"/>
      <c r="O884" s="51"/>
      <c r="P884" s="51"/>
      <c r="Q884" s="51"/>
      <c r="R884" s="51"/>
      <c r="S884" s="51"/>
      <c r="T884" s="51"/>
      <c r="U884" s="51"/>
      <c r="V884" s="51"/>
      <c r="W884" s="51"/>
      <c r="X884" s="51"/>
      <c r="Y884" s="51"/>
      <c r="Z884" s="51"/>
      <c r="AA884" s="51"/>
      <c r="AB884" s="51"/>
    </row>
    <row r="885" customFormat="false" ht="15.75" hidden="false" customHeight="false" outlineLevel="0" collapsed="false">
      <c r="A885" s="51"/>
      <c r="B885" s="51"/>
      <c r="C885" s="6"/>
      <c r="D885" s="49"/>
      <c r="E885" s="51"/>
      <c r="F885" s="6"/>
      <c r="G885" s="6"/>
      <c r="H885" s="6"/>
      <c r="I885" s="6"/>
      <c r="J885" s="6"/>
      <c r="K885" s="51"/>
      <c r="L885" s="51"/>
      <c r="M885" s="51"/>
      <c r="N885" s="51"/>
      <c r="O885" s="51"/>
      <c r="P885" s="51"/>
      <c r="Q885" s="51"/>
      <c r="R885" s="51"/>
      <c r="S885" s="51"/>
      <c r="T885" s="51"/>
      <c r="U885" s="51"/>
      <c r="V885" s="51"/>
      <c r="W885" s="51"/>
      <c r="X885" s="51"/>
      <c r="Y885" s="51"/>
      <c r="Z885" s="51"/>
      <c r="AA885" s="51"/>
      <c r="AB885" s="51"/>
    </row>
    <row r="886" customFormat="false" ht="15.75" hidden="false" customHeight="false" outlineLevel="0" collapsed="false">
      <c r="A886" s="51"/>
      <c r="B886" s="51"/>
      <c r="C886" s="6"/>
      <c r="D886" s="49"/>
      <c r="E886" s="51"/>
      <c r="F886" s="6"/>
      <c r="G886" s="6"/>
      <c r="H886" s="6"/>
      <c r="I886" s="6"/>
      <c r="J886" s="6"/>
      <c r="K886" s="51"/>
      <c r="L886" s="51"/>
      <c r="M886" s="51"/>
      <c r="N886" s="51"/>
      <c r="O886" s="51"/>
      <c r="P886" s="51"/>
      <c r="Q886" s="51"/>
      <c r="R886" s="51"/>
      <c r="S886" s="51"/>
      <c r="T886" s="51"/>
      <c r="U886" s="51"/>
      <c r="V886" s="51"/>
      <c r="W886" s="51"/>
      <c r="X886" s="51"/>
      <c r="Y886" s="51"/>
      <c r="Z886" s="51"/>
      <c r="AA886" s="51"/>
      <c r="AB886" s="51"/>
    </row>
    <row r="887" customFormat="false" ht="15.75" hidden="false" customHeight="false" outlineLevel="0" collapsed="false">
      <c r="A887" s="51"/>
      <c r="B887" s="51"/>
      <c r="C887" s="6"/>
      <c r="D887" s="49"/>
      <c r="E887" s="51"/>
      <c r="F887" s="6"/>
      <c r="G887" s="6"/>
      <c r="H887" s="6"/>
      <c r="I887" s="6"/>
      <c r="J887" s="6"/>
      <c r="K887" s="51"/>
      <c r="L887" s="51"/>
      <c r="M887" s="51"/>
      <c r="N887" s="51"/>
      <c r="O887" s="51"/>
      <c r="P887" s="51"/>
      <c r="Q887" s="51"/>
      <c r="R887" s="51"/>
      <c r="S887" s="51"/>
      <c r="T887" s="51"/>
      <c r="U887" s="51"/>
      <c r="V887" s="51"/>
      <c r="W887" s="51"/>
      <c r="X887" s="51"/>
      <c r="Y887" s="51"/>
      <c r="Z887" s="51"/>
      <c r="AA887" s="51"/>
      <c r="AB887" s="51"/>
    </row>
    <row r="888" customFormat="false" ht="15.75" hidden="false" customHeight="false" outlineLevel="0" collapsed="false">
      <c r="A888" s="51"/>
      <c r="B888" s="51"/>
      <c r="C888" s="6"/>
      <c r="D888" s="49"/>
      <c r="E888" s="51"/>
      <c r="F888" s="6"/>
      <c r="G888" s="6"/>
      <c r="H888" s="6"/>
      <c r="I888" s="6"/>
      <c r="J888" s="6"/>
      <c r="K888" s="51"/>
      <c r="L888" s="51"/>
      <c r="M888" s="51"/>
      <c r="N888" s="51"/>
      <c r="O888" s="51"/>
      <c r="P888" s="51"/>
      <c r="Q888" s="51"/>
      <c r="R888" s="51"/>
      <c r="S888" s="51"/>
      <c r="T888" s="51"/>
      <c r="U888" s="51"/>
      <c r="V888" s="51"/>
      <c r="W888" s="51"/>
      <c r="X888" s="51"/>
      <c r="Y888" s="51"/>
      <c r="Z888" s="51"/>
      <c r="AA888" s="51"/>
      <c r="AB888" s="51"/>
    </row>
    <row r="889" customFormat="false" ht="15.75" hidden="false" customHeight="false" outlineLevel="0" collapsed="false">
      <c r="A889" s="51"/>
      <c r="B889" s="51"/>
      <c r="C889" s="6"/>
      <c r="D889" s="49"/>
      <c r="E889" s="51"/>
      <c r="F889" s="6"/>
      <c r="G889" s="6"/>
      <c r="H889" s="6"/>
      <c r="I889" s="6"/>
      <c r="J889" s="6"/>
      <c r="K889" s="51"/>
      <c r="L889" s="51"/>
      <c r="M889" s="51"/>
      <c r="N889" s="51"/>
      <c r="O889" s="51"/>
      <c r="P889" s="51"/>
      <c r="Q889" s="51"/>
      <c r="R889" s="51"/>
      <c r="S889" s="51"/>
      <c r="T889" s="51"/>
      <c r="U889" s="51"/>
      <c r="V889" s="51"/>
      <c r="W889" s="51"/>
      <c r="X889" s="51"/>
      <c r="Y889" s="51"/>
      <c r="Z889" s="51"/>
      <c r="AA889" s="51"/>
      <c r="AB889" s="51"/>
    </row>
    <row r="890" customFormat="false" ht="15.75" hidden="false" customHeight="false" outlineLevel="0" collapsed="false">
      <c r="A890" s="51"/>
      <c r="B890" s="51"/>
      <c r="C890" s="6"/>
      <c r="D890" s="49"/>
      <c r="E890" s="51"/>
      <c r="F890" s="6"/>
      <c r="G890" s="6"/>
      <c r="H890" s="6"/>
      <c r="I890" s="6"/>
      <c r="J890" s="6"/>
      <c r="K890" s="51"/>
      <c r="L890" s="51"/>
      <c r="M890" s="51"/>
      <c r="N890" s="51"/>
      <c r="O890" s="51"/>
      <c r="P890" s="51"/>
      <c r="Q890" s="51"/>
      <c r="R890" s="51"/>
      <c r="S890" s="51"/>
      <c r="T890" s="51"/>
      <c r="U890" s="51"/>
      <c r="V890" s="51"/>
      <c r="W890" s="51"/>
      <c r="X890" s="51"/>
      <c r="Y890" s="51"/>
      <c r="Z890" s="51"/>
      <c r="AA890" s="51"/>
      <c r="AB890" s="51"/>
    </row>
    <row r="891" customFormat="false" ht="15.75" hidden="false" customHeight="false" outlineLevel="0" collapsed="false">
      <c r="A891" s="51"/>
      <c r="B891" s="51"/>
      <c r="C891" s="6"/>
      <c r="D891" s="49"/>
      <c r="E891" s="51"/>
      <c r="F891" s="6"/>
      <c r="G891" s="6"/>
      <c r="H891" s="6"/>
      <c r="I891" s="6"/>
      <c r="J891" s="6"/>
      <c r="K891" s="51"/>
      <c r="L891" s="51"/>
      <c r="M891" s="51"/>
      <c r="N891" s="51"/>
      <c r="O891" s="51"/>
      <c r="P891" s="51"/>
      <c r="Q891" s="51"/>
      <c r="R891" s="51"/>
      <c r="S891" s="51"/>
      <c r="T891" s="51"/>
      <c r="U891" s="51"/>
      <c r="V891" s="51"/>
      <c r="W891" s="51"/>
      <c r="X891" s="51"/>
      <c r="Y891" s="51"/>
      <c r="Z891" s="51"/>
      <c r="AA891" s="51"/>
      <c r="AB891" s="51"/>
    </row>
    <row r="892" customFormat="false" ht="15.75" hidden="false" customHeight="false" outlineLevel="0" collapsed="false">
      <c r="A892" s="51"/>
      <c r="B892" s="51"/>
      <c r="C892" s="6"/>
      <c r="D892" s="49"/>
      <c r="E892" s="51"/>
      <c r="F892" s="6"/>
      <c r="G892" s="6"/>
      <c r="H892" s="6"/>
      <c r="I892" s="6"/>
      <c r="J892" s="6"/>
      <c r="K892" s="51"/>
      <c r="L892" s="51"/>
      <c r="M892" s="51"/>
      <c r="N892" s="51"/>
      <c r="O892" s="51"/>
      <c r="P892" s="51"/>
      <c r="Q892" s="51"/>
      <c r="R892" s="51"/>
      <c r="S892" s="51"/>
      <c r="T892" s="51"/>
      <c r="U892" s="51"/>
      <c r="V892" s="51"/>
      <c r="W892" s="51"/>
      <c r="X892" s="51"/>
      <c r="Y892" s="51"/>
      <c r="Z892" s="51"/>
      <c r="AA892" s="51"/>
      <c r="AB892" s="51"/>
    </row>
    <row r="893" customFormat="false" ht="15.75" hidden="false" customHeight="false" outlineLevel="0" collapsed="false">
      <c r="A893" s="51"/>
      <c r="B893" s="51"/>
      <c r="C893" s="6"/>
      <c r="D893" s="49"/>
      <c r="E893" s="51"/>
      <c r="F893" s="6"/>
      <c r="G893" s="6"/>
      <c r="H893" s="6"/>
      <c r="I893" s="6"/>
      <c r="J893" s="6"/>
      <c r="K893" s="51"/>
      <c r="L893" s="51"/>
      <c r="M893" s="51"/>
      <c r="N893" s="51"/>
      <c r="O893" s="51"/>
      <c r="P893" s="51"/>
      <c r="Q893" s="51"/>
      <c r="R893" s="51"/>
      <c r="S893" s="51"/>
      <c r="T893" s="51"/>
      <c r="U893" s="51"/>
      <c r="V893" s="51"/>
      <c r="W893" s="51"/>
      <c r="X893" s="51"/>
      <c r="Y893" s="51"/>
      <c r="Z893" s="51"/>
      <c r="AA893" s="51"/>
      <c r="AB893" s="51"/>
    </row>
    <row r="894" customFormat="false" ht="15.75" hidden="false" customHeight="false" outlineLevel="0" collapsed="false">
      <c r="A894" s="51"/>
      <c r="B894" s="51"/>
      <c r="C894" s="6"/>
      <c r="D894" s="49"/>
      <c r="E894" s="51"/>
      <c r="F894" s="6"/>
      <c r="G894" s="6"/>
      <c r="H894" s="6"/>
      <c r="I894" s="6"/>
      <c r="J894" s="6"/>
      <c r="K894" s="51"/>
      <c r="L894" s="51"/>
      <c r="M894" s="51"/>
      <c r="N894" s="51"/>
      <c r="O894" s="51"/>
      <c r="P894" s="51"/>
      <c r="Q894" s="51"/>
      <c r="R894" s="51"/>
      <c r="S894" s="51"/>
      <c r="T894" s="51"/>
      <c r="U894" s="51"/>
      <c r="V894" s="51"/>
      <c r="W894" s="51"/>
      <c r="X894" s="51"/>
      <c r="Y894" s="51"/>
      <c r="Z894" s="51"/>
      <c r="AA894" s="51"/>
      <c r="AB894" s="51"/>
    </row>
    <row r="895" customFormat="false" ht="15.75" hidden="false" customHeight="false" outlineLevel="0" collapsed="false">
      <c r="A895" s="51"/>
      <c r="B895" s="51"/>
      <c r="C895" s="6"/>
      <c r="D895" s="49"/>
      <c r="E895" s="51"/>
      <c r="F895" s="6"/>
      <c r="G895" s="6"/>
      <c r="H895" s="6"/>
      <c r="I895" s="6"/>
      <c r="J895" s="6"/>
      <c r="K895" s="51"/>
      <c r="L895" s="51"/>
      <c r="M895" s="51"/>
      <c r="N895" s="51"/>
      <c r="O895" s="51"/>
      <c r="P895" s="51"/>
      <c r="Q895" s="51"/>
      <c r="R895" s="51"/>
      <c r="S895" s="51"/>
      <c r="T895" s="51"/>
      <c r="U895" s="51"/>
      <c r="V895" s="51"/>
      <c r="W895" s="51"/>
      <c r="X895" s="51"/>
      <c r="Y895" s="51"/>
      <c r="Z895" s="51"/>
      <c r="AA895" s="51"/>
      <c r="AB895" s="51"/>
    </row>
    <row r="896" customFormat="false" ht="15.75" hidden="false" customHeight="false" outlineLevel="0" collapsed="false">
      <c r="A896" s="51"/>
      <c r="B896" s="51"/>
      <c r="C896" s="6"/>
      <c r="D896" s="49"/>
      <c r="E896" s="51"/>
      <c r="F896" s="6"/>
      <c r="G896" s="6"/>
      <c r="H896" s="6"/>
      <c r="I896" s="6"/>
      <c r="J896" s="6"/>
      <c r="K896" s="51"/>
      <c r="L896" s="51"/>
      <c r="M896" s="51"/>
      <c r="N896" s="51"/>
      <c r="O896" s="51"/>
      <c r="P896" s="51"/>
      <c r="Q896" s="51"/>
      <c r="R896" s="51"/>
      <c r="S896" s="51"/>
      <c r="T896" s="51"/>
      <c r="U896" s="51"/>
      <c r="V896" s="51"/>
      <c r="W896" s="51"/>
      <c r="X896" s="51"/>
      <c r="Y896" s="51"/>
      <c r="Z896" s="51"/>
      <c r="AA896" s="51"/>
      <c r="AB896" s="51"/>
    </row>
    <row r="897" customFormat="false" ht="15.75" hidden="false" customHeight="false" outlineLevel="0" collapsed="false">
      <c r="A897" s="51"/>
      <c r="B897" s="51"/>
      <c r="C897" s="6"/>
      <c r="D897" s="49"/>
      <c r="E897" s="51"/>
      <c r="F897" s="6"/>
      <c r="G897" s="6"/>
      <c r="H897" s="6"/>
      <c r="I897" s="6"/>
      <c r="J897" s="6"/>
      <c r="K897" s="51"/>
      <c r="L897" s="51"/>
      <c r="M897" s="51"/>
      <c r="N897" s="51"/>
      <c r="O897" s="51"/>
      <c r="P897" s="51"/>
      <c r="Q897" s="51"/>
      <c r="R897" s="51"/>
      <c r="S897" s="51"/>
      <c r="T897" s="51"/>
      <c r="U897" s="51"/>
      <c r="V897" s="51"/>
      <c r="W897" s="51"/>
      <c r="X897" s="51"/>
      <c r="Y897" s="51"/>
      <c r="Z897" s="51"/>
      <c r="AA897" s="51"/>
      <c r="AB897" s="51"/>
    </row>
    <row r="898" customFormat="false" ht="15.75" hidden="false" customHeight="false" outlineLevel="0" collapsed="false">
      <c r="A898" s="51"/>
      <c r="B898" s="51"/>
      <c r="C898" s="6"/>
      <c r="D898" s="49"/>
      <c r="E898" s="51"/>
      <c r="F898" s="6"/>
      <c r="G898" s="6"/>
      <c r="H898" s="6"/>
      <c r="I898" s="6"/>
      <c r="J898" s="6"/>
      <c r="K898" s="51"/>
      <c r="L898" s="51"/>
      <c r="M898" s="51"/>
      <c r="N898" s="51"/>
      <c r="O898" s="51"/>
      <c r="P898" s="51"/>
      <c r="Q898" s="51"/>
      <c r="R898" s="51"/>
      <c r="S898" s="51"/>
      <c r="T898" s="51"/>
      <c r="U898" s="51"/>
      <c r="V898" s="51"/>
      <c r="W898" s="51"/>
      <c r="X898" s="51"/>
      <c r="Y898" s="51"/>
      <c r="Z898" s="51"/>
      <c r="AA898" s="51"/>
      <c r="AB898" s="51"/>
    </row>
    <row r="899" customFormat="false" ht="15.75" hidden="false" customHeight="false" outlineLevel="0" collapsed="false">
      <c r="A899" s="51"/>
      <c r="B899" s="51"/>
      <c r="C899" s="6"/>
      <c r="D899" s="49"/>
      <c r="E899" s="51"/>
      <c r="F899" s="6"/>
      <c r="G899" s="6"/>
      <c r="H899" s="6"/>
      <c r="I899" s="6"/>
      <c r="J899" s="6"/>
      <c r="K899" s="51"/>
      <c r="L899" s="51"/>
      <c r="M899" s="51"/>
      <c r="N899" s="51"/>
      <c r="O899" s="51"/>
      <c r="P899" s="51"/>
      <c r="Q899" s="51"/>
      <c r="R899" s="51"/>
      <c r="S899" s="51"/>
      <c r="T899" s="51"/>
      <c r="U899" s="51"/>
      <c r="V899" s="51"/>
      <c r="W899" s="51"/>
      <c r="X899" s="51"/>
      <c r="Y899" s="51"/>
      <c r="Z899" s="51"/>
      <c r="AA899" s="51"/>
      <c r="AB899" s="51"/>
    </row>
    <row r="900" customFormat="false" ht="15.75" hidden="false" customHeight="false" outlineLevel="0" collapsed="false">
      <c r="A900" s="51"/>
      <c r="B900" s="51"/>
      <c r="C900" s="6"/>
      <c r="D900" s="49"/>
      <c r="E900" s="51"/>
      <c r="F900" s="6"/>
      <c r="G900" s="6"/>
      <c r="H900" s="6"/>
      <c r="I900" s="6"/>
      <c r="J900" s="6"/>
      <c r="K900" s="51"/>
      <c r="L900" s="51"/>
      <c r="M900" s="51"/>
      <c r="N900" s="51"/>
      <c r="O900" s="51"/>
      <c r="P900" s="51"/>
      <c r="Q900" s="51"/>
      <c r="R900" s="51"/>
      <c r="S900" s="51"/>
      <c r="T900" s="51"/>
      <c r="U900" s="51"/>
      <c r="V900" s="51"/>
      <c r="W900" s="51"/>
      <c r="X900" s="51"/>
      <c r="Y900" s="51"/>
      <c r="Z900" s="51"/>
      <c r="AA900" s="51"/>
      <c r="AB900" s="51"/>
    </row>
    <row r="901" customFormat="false" ht="15.75" hidden="false" customHeight="false" outlineLevel="0" collapsed="false">
      <c r="A901" s="51"/>
      <c r="B901" s="51"/>
      <c r="C901" s="6"/>
      <c r="D901" s="49"/>
      <c r="E901" s="51"/>
      <c r="F901" s="6"/>
      <c r="G901" s="6"/>
      <c r="H901" s="6"/>
      <c r="I901" s="6"/>
      <c r="J901" s="6"/>
      <c r="K901" s="51"/>
      <c r="L901" s="51"/>
      <c r="M901" s="51"/>
      <c r="N901" s="51"/>
      <c r="O901" s="51"/>
      <c r="P901" s="51"/>
      <c r="Q901" s="51"/>
      <c r="R901" s="51"/>
      <c r="S901" s="51"/>
      <c r="T901" s="51"/>
      <c r="U901" s="51"/>
      <c r="V901" s="51"/>
      <c r="W901" s="51"/>
      <c r="X901" s="51"/>
      <c r="Y901" s="51"/>
      <c r="Z901" s="51"/>
      <c r="AA901" s="51"/>
      <c r="AB901" s="51"/>
    </row>
    <row r="902" customFormat="false" ht="15.75" hidden="false" customHeight="false" outlineLevel="0" collapsed="false">
      <c r="A902" s="51"/>
      <c r="B902" s="51"/>
      <c r="C902" s="6"/>
      <c r="D902" s="49"/>
      <c r="E902" s="51"/>
      <c r="F902" s="6"/>
      <c r="G902" s="6"/>
      <c r="H902" s="6"/>
      <c r="I902" s="6"/>
      <c r="J902" s="6"/>
      <c r="K902" s="51"/>
      <c r="L902" s="51"/>
      <c r="M902" s="51"/>
      <c r="N902" s="51"/>
      <c r="O902" s="51"/>
      <c r="P902" s="51"/>
      <c r="Q902" s="51"/>
      <c r="R902" s="51"/>
      <c r="S902" s="51"/>
      <c r="T902" s="51"/>
      <c r="U902" s="51"/>
      <c r="V902" s="51"/>
      <c r="W902" s="51"/>
      <c r="X902" s="51"/>
      <c r="Y902" s="51"/>
      <c r="Z902" s="51"/>
      <c r="AA902" s="51"/>
      <c r="AB902" s="51"/>
    </row>
    <row r="903" customFormat="false" ht="15.75" hidden="false" customHeight="false" outlineLevel="0" collapsed="false">
      <c r="A903" s="51"/>
      <c r="B903" s="51"/>
      <c r="C903" s="6"/>
      <c r="D903" s="49"/>
      <c r="E903" s="51"/>
      <c r="F903" s="6"/>
      <c r="G903" s="6"/>
      <c r="H903" s="6"/>
      <c r="I903" s="6"/>
      <c r="J903" s="6"/>
      <c r="K903" s="51"/>
      <c r="L903" s="51"/>
      <c r="M903" s="51"/>
      <c r="N903" s="51"/>
      <c r="O903" s="51"/>
      <c r="P903" s="51"/>
      <c r="Q903" s="51"/>
      <c r="R903" s="51"/>
      <c r="S903" s="51"/>
      <c r="T903" s="51"/>
      <c r="U903" s="51"/>
      <c r="V903" s="51"/>
      <c r="W903" s="51"/>
      <c r="X903" s="51"/>
      <c r="Y903" s="51"/>
      <c r="Z903" s="51"/>
      <c r="AA903" s="51"/>
      <c r="AB903" s="51"/>
    </row>
    <row r="904" customFormat="false" ht="15.75" hidden="false" customHeight="false" outlineLevel="0" collapsed="false">
      <c r="A904" s="51"/>
      <c r="B904" s="51"/>
      <c r="C904" s="6"/>
      <c r="D904" s="49"/>
      <c r="E904" s="51"/>
      <c r="F904" s="6"/>
      <c r="G904" s="6"/>
      <c r="H904" s="6"/>
      <c r="I904" s="6"/>
      <c r="J904" s="6"/>
      <c r="K904" s="51"/>
      <c r="L904" s="51"/>
      <c r="M904" s="51"/>
      <c r="N904" s="51"/>
      <c r="O904" s="51"/>
      <c r="P904" s="51"/>
      <c r="Q904" s="51"/>
      <c r="R904" s="51"/>
      <c r="S904" s="51"/>
      <c r="T904" s="51"/>
      <c r="U904" s="51"/>
      <c r="V904" s="51"/>
      <c r="W904" s="51"/>
      <c r="X904" s="51"/>
      <c r="Y904" s="51"/>
      <c r="Z904" s="51"/>
      <c r="AA904" s="51"/>
      <c r="AB904" s="51"/>
    </row>
    <row r="905" customFormat="false" ht="15.75" hidden="false" customHeight="false" outlineLevel="0" collapsed="false">
      <c r="A905" s="51"/>
      <c r="B905" s="51"/>
      <c r="C905" s="6"/>
      <c r="D905" s="49"/>
      <c r="E905" s="51"/>
      <c r="F905" s="6"/>
      <c r="G905" s="6"/>
      <c r="H905" s="6"/>
      <c r="I905" s="6"/>
      <c r="J905" s="6"/>
      <c r="K905" s="51"/>
      <c r="L905" s="51"/>
      <c r="M905" s="51"/>
      <c r="N905" s="51"/>
      <c r="O905" s="51"/>
      <c r="P905" s="51"/>
      <c r="Q905" s="51"/>
      <c r="R905" s="51"/>
      <c r="S905" s="51"/>
      <c r="T905" s="51"/>
      <c r="U905" s="51"/>
      <c r="V905" s="51"/>
      <c r="W905" s="51"/>
      <c r="X905" s="51"/>
      <c r="Y905" s="51"/>
      <c r="Z905" s="51"/>
      <c r="AA905" s="51"/>
      <c r="AB905" s="51"/>
    </row>
    <row r="906" customFormat="false" ht="15.75" hidden="false" customHeight="false" outlineLevel="0" collapsed="false">
      <c r="A906" s="51"/>
      <c r="B906" s="51"/>
      <c r="C906" s="6"/>
      <c r="D906" s="49"/>
      <c r="E906" s="51"/>
      <c r="F906" s="6"/>
      <c r="G906" s="6"/>
      <c r="H906" s="6"/>
      <c r="I906" s="6"/>
      <c r="J906" s="6"/>
      <c r="K906" s="51"/>
      <c r="L906" s="51"/>
      <c r="M906" s="51"/>
      <c r="N906" s="51"/>
      <c r="O906" s="51"/>
      <c r="P906" s="51"/>
      <c r="Q906" s="51"/>
      <c r="R906" s="51"/>
      <c r="S906" s="51"/>
      <c r="T906" s="51"/>
      <c r="U906" s="51"/>
      <c r="V906" s="51"/>
      <c r="W906" s="51"/>
      <c r="X906" s="51"/>
      <c r="Y906" s="51"/>
      <c r="Z906" s="51"/>
      <c r="AA906" s="51"/>
      <c r="AB906" s="51"/>
    </row>
    <row r="907" customFormat="false" ht="15.75" hidden="false" customHeight="false" outlineLevel="0" collapsed="false">
      <c r="A907" s="51"/>
      <c r="B907" s="51"/>
      <c r="C907" s="6"/>
      <c r="D907" s="49"/>
      <c r="E907" s="51"/>
      <c r="F907" s="6"/>
      <c r="G907" s="6"/>
      <c r="H907" s="6"/>
      <c r="I907" s="6"/>
      <c r="J907" s="6"/>
      <c r="K907" s="51"/>
      <c r="L907" s="51"/>
      <c r="M907" s="51"/>
      <c r="N907" s="51"/>
      <c r="O907" s="51"/>
      <c r="P907" s="51"/>
      <c r="Q907" s="51"/>
      <c r="R907" s="51"/>
      <c r="S907" s="51"/>
      <c r="T907" s="51"/>
      <c r="U907" s="51"/>
      <c r="V907" s="51"/>
      <c r="W907" s="51"/>
      <c r="X907" s="51"/>
      <c r="Y907" s="51"/>
      <c r="Z907" s="51"/>
      <c r="AA907" s="51"/>
      <c r="AB907" s="51"/>
    </row>
    <row r="908" customFormat="false" ht="15.75" hidden="false" customHeight="false" outlineLevel="0" collapsed="false">
      <c r="A908" s="51"/>
      <c r="B908" s="51"/>
      <c r="C908" s="6"/>
      <c r="D908" s="49"/>
      <c r="E908" s="51"/>
      <c r="F908" s="6"/>
      <c r="G908" s="6"/>
      <c r="H908" s="6"/>
      <c r="I908" s="6"/>
      <c r="J908" s="6"/>
      <c r="K908" s="51"/>
      <c r="L908" s="51"/>
      <c r="M908" s="51"/>
      <c r="N908" s="51"/>
      <c r="O908" s="51"/>
      <c r="P908" s="51"/>
      <c r="Q908" s="51"/>
      <c r="R908" s="51"/>
      <c r="S908" s="51"/>
      <c r="T908" s="51"/>
      <c r="U908" s="51"/>
      <c r="V908" s="51"/>
      <c r="W908" s="51"/>
      <c r="X908" s="51"/>
      <c r="Y908" s="51"/>
      <c r="Z908" s="51"/>
      <c r="AA908" s="51"/>
      <c r="AB908" s="51"/>
    </row>
    <row r="909" customFormat="false" ht="15.75" hidden="false" customHeight="false" outlineLevel="0" collapsed="false">
      <c r="A909" s="51"/>
      <c r="B909" s="51"/>
      <c r="C909" s="6"/>
      <c r="D909" s="49"/>
      <c r="E909" s="51"/>
      <c r="F909" s="6"/>
      <c r="G909" s="6"/>
      <c r="H909" s="6"/>
      <c r="I909" s="6"/>
      <c r="J909" s="6"/>
      <c r="K909" s="51"/>
      <c r="L909" s="51"/>
      <c r="M909" s="51"/>
      <c r="N909" s="51"/>
      <c r="O909" s="51"/>
      <c r="P909" s="51"/>
      <c r="Q909" s="51"/>
      <c r="R909" s="51"/>
      <c r="S909" s="51"/>
      <c r="T909" s="51"/>
      <c r="U909" s="51"/>
      <c r="V909" s="51"/>
      <c r="W909" s="51"/>
      <c r="X909" s="51"/>
      <c r="Y909" s="51"/>
      <c r="Z909" s="51"/>
      <c r="AA909" s="51"/>
      <c r="AB909" s="51"/>
    </row>
    <row r="910" customFormat="false" ht="15.75" hidden="false" customHeight="false" outlineLevel="0" collapsed="false">
      <c r="A910" s="51"/>
      <c r="B910" s="51"/>
      <c r="C910" s="6"/>
      <c r="D910" s="49"/>
      <c r="E910" s="51"/>
      <c r="F910" s="6"/>
      <c r="G910" s="6"/>
      <c r="H910" s="6"/>
      <c r="I910" s="6"/>
      <c r="J910" s="6"/>
      <c r="K910" s="51"/>
      <c r="L910" s="51"/>
      <c r="M910" s="51"/>
      <c r="N910" s="51"/>
      <c r="O910" s="51"/>
      <c r="P910" s="51"/>
      <c r="Q910" s="51"/>
      <c r="R910" s="51"/>
      <c r="S910" s="51"/>
      <c r="T910" s="51"/>
      <c r="U910" s="51"/>
      <c r="V910" s="51"/>
      <c r="W910" s="51"/>
      <c r="X910" s="51"/>
      <c r="Y910" s="51"/>
      <c r="Z910" s="51"/>
      <c r="AA910" s="51"/>
      <c r="AB910" s="51"/>
    </row>
    <row r="911" customFormat="false" ht="15.75" hidden="false" customHeight="false" outlineLevel="0" collapsed="false">
      <c r="A911" s="51"/>
      <c r="B911" s="51"/>
      <c r="C911" s="6"/>
      <c r="D911" s="49"/>
      <c r="E911" s="51"/>
      <c r="F911" s="6"/>
      <c r="G911" s="6"/>
      <c r="H911" s="6"/>
      <c r="I911" s="6"/>
      <c r="J911" s="6"/>
      <c r="K911" s="51"/>
      <c r="L911" s="51"/>
      <c r="M911" s="51"/>
      <c r="N911" s="51"/>
      <c r="O911" s="51"/>
      <c r="P911" s="51"/>
      <c r="Q911" s="51"/>
      <c r="R911" s="51"/>
      <c r="S911" s="51"/>
      <c r="T911" s="51"/>
      <c r="U911" s="51"/>
      <c r="V911" s="51"/>
      <c r="W911" s="51"/>
      <c r="X911" s="51"/>
      <c r="Y911" s="51"/>
      <c r="Z911" s="51"/>
      <c r="AA911" s="51"/>
      <c r="AB911" s="51"/>
    </row>
    <row r="912" customFormat="false" ht="15.75" hidden="false" customHeight="false" outlineLevel="0" collapsed="false">
      <c r="A912" s="51"/>
      <c r="B912" s="51"/>
      <c r="C912" s="6"/>
      <c r="D912" s="49"/>
      <c r="E912" s="51"/>
      <c r="F912" s="6"/>
      <c r="G912" s="6"/>
      <c r="H912" s="6"/>
      <c r="I912" s="6"/>
      <c r="J912" s="6"/>
      <c r="K912" s="51"/>
      <c r="L912" s="51"/>
      <c r="M912" s="51"/>
      <c r="N912" s="51"/>
      <c r="O912" s="51"/>
      <c r="P912" s="51"/>
      <c r="Q912" s="51"/>
      <c r="R912" s="51"/>
      <c r="S912" s="51"/>
      <c r="T912" s="51"/>
      <c r="U912" s="51"/>
      <c r="V912" s="51"/>
      <c r="W912" s="51"/>
      <c r="X912" s="51"/>
      <c r="Y912" s="51"/>
      <c r="Z912" s="51"/>
      <c r="AA912" s="51"/>
      <c r="AB912" s="51"/>
    </row>
    <row r="913" customFormat="false" ht="15.75" hidden="false" customHeight="false" outlineLevel="0" collapsed="false">
      <c r="A913" s="51"/>
      <c r="B913" s="51"/>
      <c r="C913" s="6"/>
      <c r="D913" s="49"/>
      <c r="E913" s="51"/>
      <c r="F913" s="6"/>
      <c r="G913" s="6"/>
      <c r="H913" s="6"/>
      <c r="I913" s="6"/>
      <c r="J913" s="6"/>
      <c r="K913" s="51"/>
      <c r="L913" s="51"/>
      <c r="M913" s="51"/>
      <c r="N913" s="51"/>
      <c r="O913" s="51"/>
      <c r="P913" s="51"/>
      <c r="Q913" s="51"/>
      <c r="R913" s="51"/>
      <c r="S913" s="51"/>
      <c r="T913" s="51"/>
      <c r="U913" s="51"/>
      <c r="V913" s="51"/>
      <c r="W913" s="51"/>
      <c r="X913" s="51"/>
      <c r="Y913" s="51"/>
      <c r="Z913" s="51"/>
      <c r="AA913" s="51"/>
      <c r="AB913" s="51"/>
    </row>
    <row r="914" customFormat="false" ht="15.75" hidden="false" customHeight="false" outlineLevel="0" collapsed="false">
      <c r="A914" s="51"/>
      <c r="B914" s="51"/>
      <c r="C914" s="6"/>
      <c r="D914" s="49"/>
      <c r="E914" s="51"/>
      <c r="F914" s="6"/>
      <c r="G914" s="6"/>
      <c r="H914" s="6"/>
      <c r="I914" s="6"/>
      <c r="J914" s="6"/>
      <c r="K914" s="51"/>
      <c r="L914" s="51"/>
      <c r="M914" s="51"/>
      <c r="N914" s="51"/>
      <c r="O914" s="51"/>
      <c r="P914" s="51"/>
      <c r="Q914" s="51"/>
      <c r="R914" s="51"/>
      <c r="S914" s="51"/>
      <c r="T914" s="51"/>
      <c r="U914" s="51"/>
      <c r="V914" s="51"/>
      <c r="W914" s="51"/>
      <c r="X914" s="51"/>
      <c r="Y914" s="51"/>
      <c r="Z914" s="51"/>
      <c r="AA914" s="51"/>
      <c r="AB914" s="51"/>
    </row>
    <row r="915" customFormat="false" ht="15.75" hidden="false" customHeight="false" outlineLevel="0" collapsed="false">
      <c r="A915" s="51"/>
      <c r="B915" s="51"/>
      <c r="C915" s="6"/>
      <c r="D915" s="49"/>
      <c r="E915" s="51"/>
      <c r="F915" s="6"/>
      <c r="G915" s="6"/>
      <c r="H915" s="6"/>
      <c r="I915" s="6"/>
      <c r="J915" s="6"/>
      <c r="K915" s="51"/>
      <c r="L915" s="51"/>
      <c r="M915" s="51"/>
      <c r="N915" s="51"/>
      <c r="O915" s="51"/>
      <c r="P915" s="51"/>
      <c r="Q915" s="51"/>
      <c r="R915" s="51"/>
      <c r="S915" s="51"/>
      <c r="T915" s="51"/>
      <c r="U915" s="51"/>
      <c r="V915" s="51"/>
      <c r="W915" s="51"/>
      <c r="X915" s="51"/>
      <c r="Y915" s="51"/>
      <c r="Z915" s="51"/>
      <c r="AA915" s="51"/>
      <c r="AB915" s="51"/>
    </row>
    <row r="916" customFormat="false" ht="15.75" hidden="false" customHeight="false" outlineLevel="0" collapsed="false">
      <c r="A916" s="51"/>
      <c r="B916" s="51"/>
      <c r="C916" s="6"/>
      <c r="D916" s="49"/>
      <c r="E916" s="51"/>
      <c r="F916" s="6"/>
      <c r="G916" s="6"/>
      <c r="H916" s="6"/>
      <c r="I916" s="6"/>
      <c r="J916" s="6"/>
      <c r="K916" s="51"/>
      <c r="L916" s="51"/>
      <c r="M916" s="51"/>
      <c r="N916" s="51"/>
      <c r="O916" s="51"/>
      <c r="P916" s="51"/>
      <c r="Q916" s="51"/>
      <c r="R916" s="51"/>
      <c r="S916" s="51"/>
      <c r="T916" s="51"/>
      <c r="U916" s="51"/>
      <c r="V916" s="51"/>
      <c r="W916" s="51"/>
      <c r="X916" s="51"/>
      <c r="Y916" s="51"/>
      <c r="Z916" s="51"/>
      <c r="AA916" s="51"/>
      <c r="AB916" s="51"/>
    </row>
    <row r="917" customFormat="false" ht="15.75" hidden="false" customHeight="false" outlineLevel="0" collapsed="false">
      <c r="A917" s="51"/>
      <c r="B917" s="51"/>
      <c r="C917" s="6"/>
      <c r="D917" s="49"/>
      <c r="E917" s="51"/>
      <c r="F917" s="6"/>
      <c r="G917" s="6"/>
      <c r="H917" s="6"/>
      <c r="I917" s="6"/>
      <c r="J917" s="6"/>
      <c r="K917" s="51"/>
      <c r="L917" s="51"/>
      <c r="M917" s="51"/>
      <c r="N917" s="51"/>
      <c r="O917" s="51"/>
      <c r="P917" s="51"/>
      <c r="Q917" s="51"/>
      <c r="R917" s="51"/>
      <c r="S917" s="51"/>
      <c r="T917" s="51"/>
      <c r="U917" s="51"/>
      <c r="V917" s="51"/>
      <c r="W917" s="51"/>
      <c r="X917" s="51"/>
      <c r="Y917" s="51"/>
      <c r="Z917" s="51"/>
      <c r="AA917" s="51"/>
      <c r="AB917" s="51"/>
    </row>
    <row r="918" customFormat="false" ht="15.75" hidden="false" customHeight="false" outlineLevel="0" collapsed="false">
      <c r="A918" s="51"/>
      <c r="B918" s="51"/>
      <c r="C918" s="6"/>
      <c r="D918" s="49"/>
      <c r="E918" s="51"/>
      <c r="F918" s="6"/>
      <c r="G918" s="6"/>
      <c r="H918" s="6"/>
      <c r="I918" s="6"/>
      <c r="J918" s="6"/>
      <c r="K918" s="51"/>
      <c r="L918" s="51"/>
      <c r="M918" s="51"/>
      <c r="N918" s="51"/>
      <c r="O918" s="51"/>
      <c r="P918" s="51"/>
      <c r="Q918" s="51"/>
      <c r="R918" s="51"/>
      <c r="S918" s="51"/>
      <c r="T918" s="51"/>
      <c r="U918" s="51"/>
      <c r="V918" s="51"/>
      <c r="W918" s="51"/>
      <c r="X918" s="51"/>
      <c r="Y918" s="51"/>
      <c r="Z918" s="51"/>
      <c r="AA918" s="51"/>
      <c r="AB918" s="51"/>
    </row>
    <row r="919" customFormat="false" ht="15.75" hidden="false" customHeight="false" outlineLevel="0" collapsed="false">
      <c r="A919" s="51"/>
      <c r="B919" s="51"/>
      <c r="C919" s="6"/>
      <c r="D919" s="49"/>
      <c r="E919" s="51"/>
      <c r="F919" s="6"/>
      <c r="G919" s="6"/>
      <c r="H919" s="6"/>
      <c r="I919" s="6"/>
      <c r="J919" s="6"/>
      <c r="K919" s="51"/>
      <c r="L919" s="51"/>
      <c r="M919" s="51"/>
      <c r="N919" s="51"/>
      <c r="O919" s="51"/>
      <c r="P919" s="51"/>
      <c r="Q919" s="51"/>
      <c r="R919" s="51"/>
      <c r="S919" s="51"/>
      <c r="T919" s="51"/>
      <c r="U919" s="51"/>
      <c r="V919" s="51"/>
      <c r="W919" s="51"/>
      <c r="X919" s="51"/>
      <c r="Y919" s="51"/>
      <c r="Z919" s="51"/>
      <c r="AA919" s="51"/>
      <c r="AB919" s="51"/>
    </row>
    <row r="920" customFormat="false" ht="15.75" hidden="false" customHeight="false" outlineLevel="0" collapsed="false">
      <c r="A920" s="51"/>
      <c r="B920" s="51"/>
      <c r="C920" s="6"/>
      <c r="D920" s="49"/>
      <c r="E920" s="51"/>
      <c r="F920" s="6"/>
      <c r="G920" s="6"/>
      <c r="H920" s="6"/>
      <c r="I920" s="6"/>
      <c r="J920" s="6"/>
      <c r="K920" s="51"/>
      <c r="L920" s="51"/>
      <c r="M920" s="51"/>
      <c r="N920" s="51"/>
      <c r="O920" s="51"/>
      <c r="P920" s="51"/>
      <c r="Q920" s="51"/>
      <c r="R920" s="51"/>
      <c r="S920" s="51"/>
      <c r="T920" s="51"/>
      <c r="U920" s="51"/>
      <c r="V920" s="51"/>
      <c r="W920" s="51"/>
      <c r="X920" s="51"/>
      <c r="Y920" s="51"/>
      <c r="Z920" s="51"/>
      <c r="AA920" s="51"/>
      <c r="AB920" s="51"/>
    </row>
    <row r="921" customFormat="false" ht="15.75" hidden="false" customHeight="false" outlineLevel="0" collapsed="false">
      <c r="A921" s="51"/>
      <c r="B921" s="51"/>
      <c r="C921" s="6"/>
      <c r="D921" s="49"/>
      <c r="E921" s="51"/>
      <c r="F921" s="6"/>
      <c r="G921" s="6"/>
      <c r="H921" s="6"/>
      <c r="I921" s="6"/>
      <c r="J921" s="6"/>
      <c r="K921" s="51"/>
      <c r="L921" s="51"/>
      <c r="M921" s="51"/>
      <c r="N921" s="51"/>
      <c r="O921" s="51"/>
      <c r="P921" s="51"/>
      <c r="Q921" s="51"/>
      <c r="R921" s="51"/>
      <c r="S921" s="51"/>
      <c r="T921" s="51"/>
      <c r="U921" s="51"/>
      <c r="V921" s="51"/>
      <c r="W921" s="51"/>
      <c r="X921" s="51"/>
      <c r="Y921" s="51"/>
      <c r="Z921" s="51"/>
      <c r="AA921" s="51"/>
      <c r="AB921" s="51"/>
    </row>
    <row r="922" customFormat="false" ht="15.75" hidden="false" customHeight="false" outlineLevel="0" collapsed="false">
      <c r="A922" s="51"/>
      <c r="B922" s="51"/>
      <c r="C922" s="6"/>
      <c r="D922" s="49"/>
      <c r="E922" s="51"/>
      <c r="F922" s="6"/>
      <c r="G922" s="6"/>
      <c r="H922" s="6"/>
      <c r="I922" s="6"/>
      <c r="J922" s="6"/>
      <c r="K922" s="51"/>
      <c r="L922" s="51"/>
      <c r="M922" s="51"/>
      <c r="N922" s="51"/>
      <c r="O922" s="51"/>
      <c r="P922" s="51"/>
      <c r="Q922" s="51"/>
      <c r="R922" s="51"/>
      <c r="S922" s="51"/>
      <c r="T922" s="51"/>
      <c r="U922" s="51"/>
      <c r="V922" s="51"/>
      <c r="W922" s="51"/>
      <c r="X922" s="51"/>
      <c r="Y922" s="51"/>
      <c r="Z922" s="51"/>
      <c r="AA922" s="51"/>
      <c r="AB922" s="51"/>
    </row>
    <row r="923" customFormat="false" ht="15.75" hidden="false" customHeight="false" outlineLevel="0" collapsed="false">
      <c r="A923" s="51"/>
      <c r="B923" s="51"/>
      <c r="C923" s="6"/>
      <c r="D923" s="49"/>
      <c r="E923" s="51"/>
      <c r="F923" s="6"/>
      <c r="G923" s="6"/>
      <c r="H923" s="6"/>
      <c r="I923" s="6"/>
      <c r="J923" s="6"/>
      <c r="K923" s="51"/>
      <c r="L923" s="51"/>
      <c r="M923" s="51"/>
      <c r="N923" s="51"/>
      <c r="O923" s="51"/>
      <c r="P923" s="51"/>
      <c r="Q923" s="51"/>
      <c r="R923" s="51"/>
      <c r="S923" s="51"/>
      <c r="T923" s="51"/>
      <c r="U923" s="51"/>
      <c r="V923" s="51"/>
      <c r="W923" s="51"/>
      <c r="X923" s="51"/>
      <c r="Y923" s="51"/>
      <c r="Z923" s="51"/>
      <c r="AA923" s="51"/>
      <c r="AB923" s="51"/>
    </row>
    <row r="924" customFormat="false" ht="15.75" hidden="false" customHeight="false" outlineLevel="0" collapsed="false">
      <c r="A924" s="51"/>
      <c r="B924" s="51"/>
      <c r="C924" s="6"/>
      <c r="D924" s="49"/>
      <c r="E924" s="51"/>
      <c r="F924" s="6"/>
      <c r="G924" s="6"/>
      <c r="H924" s="6"/>
      <c r="I924" s="6"/>
      <c r="J924" s="6"/>
      <c r="K924" s="51"/>
      <c r="L924" s="51"/>
      <c r="M924" s="51"/>
      <c r="N924" s="51"/>
      <c r="O924" s="51"/>
      <c r="P924" s="51"/>
      <c r="Q924" s="51"/>
      <c r="R924" s="51"/>
      <c r="S924" s="51"/>
      <c r="T924" s="51"/>
      <c r="U924" s="51"/>
      <c r="V924" s="51"/>
      <c r="W924" s="51"/>
      <c r="X924" s="51"/>
      <c r="Y924" s="51"/>
      <c r="Z924" s="51"/>
      <c r="AA924" s="51"/>
      <c r="AB924" s="51"/>
    </row>
    <row r="925" customFormat="false" ht="15.75" hidden="false" customHeight="false" outlineLevel="0" collapsed="false">
      <c r="A925" s="51"/>
      <c r="B925" s="51"/>
      <c r="C925" s="6"/>
      <c r="D925" s="49"/>
      <c r="E925" s="51"/>
      <c r="F925" s="6"/>
      <c r="G925" s="6"/>
      <c r="H925" s="6"/>
      <c r="I925" s="6"/>
      <c r="J925" s="6"/>
      <c r="K925" s="51"/>
      <c r="L925" s="51"/>
      <c r="M925" s="51"/>
      <c r="N925" s="51"/>
      <c r="O925" s="51"/>
      <c r="P925" s="51"/>
      <c r="Q925" s="51"/>
      <c r="R925" s="51"/>
      <c r="S925" s="51"/>
      <c r="T925" s="51"/>
      <c r="U925" s="51"/>
      <c r="V925" s="51"/>
      <c r="W925" s="51"/>
      <c r="X925" s="51"/>
      <c r="Y925" s="51"/>
      <c r="Z925" s="51"/>
      <c r="AA925" s="51"/>
      <c r="AB925" s="51"/>
    </row>
    <row r="926" customFormat="false" ht="15.75" hidden="false" customHeight="false" outlineLevel="0" collapsed="false">
      <c r="A926" s="51"/>
      <c r="B926" s="51"/>
      <c r="C926" s="6"/>
      <c r="D926" s="49"/>
      <c r="E926" s="51"/>
      <c r="F926" s="6"/>
      <c r="G926" s="6"/>
      <c r="H926" s="6"/>
      <c r="I926" s="6"/>
      <c r="J926" s="6"/>
      <c r="K926" s="51"/>
      <c r="L926" s="51"/>
      <c r="M926" s="51"/>
      <c r="N926" s="51"/>
      <c r="O926" s="51"/>
      <c r="P926" s="51"/>
      <c r="Q926" s="51"/>
      <c r="R926" s="51"/>
      <c r="S926" s="51"/>
      <c r="T926" s="51"/>
      <c r="U926" s="51"/>
      <c r="V926" s="51"/>
      <c r="W926" s="51"/>
      <c r="X926" s="51"/>
      <c r="Y926" s="51"/>
      <c r="Z926" s="51"/>
      <c r="AA926" s="51"/>
      <c r="AB926" s="51"/>
    </row>
    <row r="927" customFormat="false" ht="15.75" hidden="false" customHeight="false" outlineLevel="0" collapsed="false">
      <c r="A927" s="51"/>
      <c r="B927" s="51"/>
      <c r="C927" s="6"/>
      <c r="D927" s="49"/>
      <c r="E927" s="51"/>
      <c r="F927" s="6"/>
      <c r="G927" s="6"/>
      <c r="H927" s="6"/>
      <c r="I927" s="6"/>
      <c r="J927" s="6"/>
      <c r="K927" s="51"/>
      <c r="L927" s="51"/>
      <c r="M927" s="51"/>
      <c r="N927" s="51"/>
      <c r="O927" s="51"/>
      <c r="P927" s="51"/>
      <c r="Q927" s="51"/>
      <c r="R927" s="51"/>
      <c r="S927" s="51"/>
      <c r="T927" s="51"/>
      <c r="U927" s="51"/>
      <c r="V927" s="51"/>
      <c r="W927" s="51"/>
      <c r="X927" s="51"/>
      <c r="Y927" s="51"/>
      <c r="Z927" s="51"/>
      <c r="AA927" s="51"/>
      <c r="AB927" s="51"/>
    </row>
    <row r="928" customFormat="false" ht="15.75" hidden="false" customHeight="false" outlineLevel="0" collapsed="false">
      <c r="A928" s="51"/>
      <c r="B928" s="51"/>
      <c r="C928" s="6"/>
      <c r="D928" s="49"/>
      <c r="E928" s="51"/>
      <c r="F928" s="6"/>
      <c r="G928" s="6"/>
      <c r="H928" s="6"/>
      <c r="I928" s="6"/>
      <c r="J928" s="6"/>
      <c r="K928" s="51"/>
      <c r="L928" s="51"/>
      <c r="M928" s="51"/>
      <c r="N928" s="51"/>
      <c r="O928" s="51"/>
      <c r="P928" s="51"/>
      <c r="Q928" s="51"/>
      <c r="R928" s="51"/>
      <c r="S928" s="51"/>
      <c r="T928" s="51"/>
      <c r="U928" s="51"/>
      <c r="V928" s="51"/>
      <c r="W928" s="51"/>
      <c r="X928" s="51"/>
      <c r="Y928" s="51"/>
      <c r="Z928" s="51"/>
      <c r="AA928" s="51"/>
      <c r="AB928" s="51"/>
    </row>
    <row r="929" customFormat="false" ht="15.75" hidden="false" customHeight="false" outlineLevel="0" collapsed="false">
      <c r="A929" s="51"/>
      <c r="B929" s="51"/>
      <c r="C929" s="6"/>
      <c r="D929" s="49"/>
      <c r="E929" s="51"/>
      <c r="F929" s="6"/>
      <c r="G929" s="6"/>
      <c r="H929" s="6"/>
      <c r="I929" s="6"/>
      <c r="J929" s="6"/>
      <c r="K929" s="51"/>
      <c r="L929" s="51"/>
      <c r="M929" s="51"/>
      <c r="N929" s="51"/>
      <c r="O929" s="51"/>
      <c r="P929" s="51"/>
      <c r="Q929" s="51"/>
      <c r="R929" s="51"/>
      <c r="S929" s="51"/>
      <c r="T929" s="51"/>
      <c r="U929" s="51"/>
      <c r="V929" s="51"/>
      <c r="W929" s="51"/>
      <c r="X929" s="51"/>
      <c r="Y929" s="51"/>
      <c r="Z929" s="51"/>
      <c r="AA929" s="51"/>
      <c r="AB929" s="51"/>
    </row>
    <row r="930" customFormat="false" ht="15.75" hidden="false" customHeight="false" outlineLevel="0" collapsed="false">
      <c r="A930" s="51"/>
      <c r="B930" s="51"/>
      <c r="C930" s="6"/>
      <c r="D930" s="49"/>
      <c r="E930" s="51"/>
      <c r="F930" s="6"/>
      <c r="G930" s="6"/>
      <c r="H930" s="6"/>
      <c r="I930" s="6"/>
      <c r="J930" s="6"/>
      <c r="K930" s="51"/>
      <c r="L930" s="51"/>
      <c r="M930" s="51"/>
      <c r="N930" s="51"/>
      <c r="O930" s="51"/>
      <c r="P930" s="51"/>
      <c r="Q930" s="51"/>
      <c r="R930" s="51"/>
      <c r="S930" s="51"/>
      <c r="T930" s="51"/>
      <c r="U930" s="51"/>
      <c r="V930" s="51"/>
      <c r="W930" s="51"/>
      <c r="X930" s="51"/>
      <c r="Y930" s="51"/>
      <c r="Z930" s="51"/>
      <c r="AA930" s="51"/>
      <c r="AB930" s="51"/>
    </row>
    <row r="931" customFormat="false" ht="15.75" hidden="false" customHeight="false" outlineLevel="0" collapsed="false">
      <c r="A931" s="51"/>
      <c r="B931" s="51"/>
      <c r="C931" s="6"/>
      <c r="D931" s="49"/>
      <c r="E931" s="51"/>
      <c r="F931" s="6"/>
      <c r="G931" s="6"/>
      <c r="H931" s="6"/>
      <c r="I931" s="6"/>
      <c r="J931" s="6"/>
      <c r="K931" s="51"/>
      <c r="L931" s="51"/>
      <c r="M931" s="51"/>
      <c r="N931" s="51"/>
      <c r="O931" s="51"/>
      <c r="P931" s="51"/>
      <c r="Q931" s="51"/>
      <c r="R931" s="51"/>
      <c r="S931" s="51"/>
      <c r="T931" s="51"/>
      <c r="U931" s="51"/>
      <c r="V931" s="51"/>
      <c r="W931" s="51"/>
      <c r="X931" s="51"/>
      <c r="Y931" s="51"/>
      <c r="Z931" s="51"/>
      <c r="AA931" s="51"/>
      <c r="AB931" s="51"/>
    </row>
    <row r="932" customFormat="false" ht="15.75" hidden="false" customHeight="false" outlineLevel="0" collapsed="false">
      <c r="A932" s="51"/>
      <c r="B932" s="51"/>
      <c r="C932" s="6"/>
      <c r="D932" s="49"/>
      <c r="E932" s="51"/>
      <c r="F932" s="6"/>
      <c r="G932" s="6"/>
      <c r="H932" s="6"/>
      <c r="I932" s="6"/>
      <c r="J932" s="6"/>
      <c r="K932" s="51"/>
      <c r="L932" s="51"/>
      <c r="M932" s="51"/>
      <c r="N932" s="51"/>
      <c r="O932" s="51"/>
      <c r="P932" s="51"/>
      <c r="Q932" s="51"/>
      <c r="R932" s="51"/>
      <c r="S932" s="51"/>
      <c r="T932" s="51"/>
      <c r="U932" s="51"/>
      <c r="V932" s="51"/>
      <c r="W932" s="51"/>
      <c r="X932" s="51"/>
      <c r="Y932" s="51"/>
      <c r="Z932" s="51"/>
      <c r="AA932" s="51"/>
      <c r="AB932" s="51"/>
    </row>
    <row r="933" customFormat="false" ht="15.75" hidden="false" customHeight="false" outlineLevel="0" collapsed="false">
      <c r="A933" s="51"/>
      <c r="B933" s="51"/>
      <c r="C933" s="6"/>
      <c r="D933" s="49"/>
      <c r="E933" s="51"/>
      <c r="F933" s="6"/>
      <c r="G933" s="6"/>
      <c r="H933" s="6"/>
      <c r="I933" s="6"/>
      <c r="J933" s="6"/>
      <c r="K933" s="51"/>
      <c r="L933" s="51"/>
      <c r="M933" s="51"/>
      <c r="N933" s="51"/>
      <c r="O933" s="51"/>
      <c r="P933" s="51"/>
      <c r="Q933" s="51"/>
      <c r="R933" s="51"/>
      <c r="S933" s="51"/>
      <c r="T933" s="51"/>
      <c r="U933" s="51"/>
      <c r="V933" s="51"/>
      <c r="W933" s="51"/>
      <c r="X933" s="51"/>
      <c r="Y933" s="51"/>
      <c r="Z933" s="51"/>
      <c r="AA933" s="51"/>
      <c r="AB933" s="51"/>
    </row>
    <row r="934" customFormat="false" ht="15.75" hidden="false" customHeight="false" outlineLevel="0" collapsed="false">
      <c r="A934" s="51"/>
      <c r="B934" s="51"/>
      <c r="C934" s="6"/>
      <c r="D934" s="49"/>
      <c r="E934" s="51"/>
      <c r="F934" s="6"/>
      <c r="G934" s="6"/>
      <c r="H934" s="6"/>
      <c r="I934" s="6"/>
      <c r="J934" s="6"/>
      <c r="K934" s="51"/>
      <c r="L934" s="51"/>
      <c r="M934" s="51"/>
      <c r="N934" s="51"/>
      <c r="O934" s="51"/>
      <c r="P934" s="51"/>
      <c r="Q934" s="51"/>
      <c r="R934" s="51"/>
      <c r="S934" s="51"/>
      <c r="T934" s="51"/>
      <c r="U934" s="51"/>
      <c r="V934" s="51"/>
      <c r="W934" s="51"/>
      <c r="X934" s="51"/>
      <c r="Y934" s="51"/>
      <c r="Z934" s="51"/>
      <c r="AA934" s="51"/>
      <c r="AB934" s="51"/>
    </row>
    <row r="935" customFormat="false" ht="15.75" hidden="false" customHeight="false" outlineLevel="0" collapsed="false">
      <c r="A935" s="51"/>
      <c r="B935" s="51"/>
      <c r="C935" s="6"/>
      <c r="D935" s="49"/>
      <c r="E935" s="51"/>
      <c r="F935" s="6"/>
      <c r="G935" s="6"/>
      <c r="H935" s="6"/>
      <c r="I935" s="6"/>
      <c r="J935" s="6"/>
      <c r="K935" s="51"/>
      <c r="L935" s="51"/>
      <c r="M935" s="51"/>
      <c r="N935" s="51"/>
      <c r="O935" s="51"/>
      <c r="P935" s="51"/>
      <c r="Q935" s="51"/>
      <c r="R935" s="51"/>
      <c r="S935" s="51"/>
      <c r="T935" s="51"/>
      <c r="U935" s="51"/>
      <c r="V935" s="51"/>
      <c r="W935" s="51"/>
      <c r="X935" s="51"/>
      <c r="Y935" s="51"/>
      <c r="Z935" s="51"/>
      <c r="AA935" s="51"/>
      <c r="AB935" s="51"/>
    </row>
    <row r="936" customFormat="false" ht="15.75" hidden="false" customHeight="false" outlineLevel="0" collapsed="false">
      <c r="A936" s="51"/>
      <c r="B936" s="51"/>
      <c r="C936" s="6"/>
      <c r="D936" s="49"/>
      <c r="E936" s="51"/>
      <c r="F936" s="6"/>
      <c r="G936" s="6"/>
      <c r="H936" s="6"/>
      <c r="I936" s="6"/>
      <c r="J936" s="6"/>
      <c r="K936" s="51"/>
      <c r="L936" s="51"/>
      <c r="M936" s="51"/>
      <c r="N936" s="51"/>
      <c r="O936" s="51"/>
      <c r="P936" s="51"/>
      <c r="Q936" s="51"/>
      <c r="R936" s="51"/>
      <c r="S936" s="51"/>
      <c r="T936" s="51"/>
      <c r="U936" s="51"/>
      <c r="V936" s="51"/>
      <c r="W936" s="51"/>
      <c r="X936" s="51"/>
      <c r="Y936" s="51"/>
      <c r="Z936" s="51"/>
      <c r="AA936" s="51"/>
      <c r="AB936" s="51"/>
    </row>
    <row r="937" customFormat="false" ht="15.75" hidden="false" customHeight="false" outlineLevel="0" collapsed="false">
      <c r="A937" s="51"/>
      <c r="B937" s="51"/>
      <c r="C937" s="6"/>
      <c r="D937" s="49"/>
      <c r="E937" s="51"/>
      <c r="F937" s="6"/>
      <c r="G937" s="6"/>
      <c r="H937" s="6"/>
      <c r="I937" s="6"/>
      <c r="J937" s="6"/>
      <c r="K937" s="51"/>
      <c r="L937" s="51"/>
      <c r="M937" s="51"/>
      <c r="N937" s="51"/>
      <c r="O937" s="51"/>
      <c r="P937" s="51"/>
      <c r="Q937" s="51"/>
      <c r="R937" s="51"/>
      <c r="S937" s="51"/>
      <c r="T937" s="51"/>
      <c r="U937" s="51"/>
      <c r="V937" s="51"/>
      <c r="W937" s="51"/>
      <c r="X937" s="51"/>
      <c r="Y937" s="51"/>
      <c r="Z937" s="51"/>
      <c r="AA937" s="51"/>
      <c r="AB937" s="51"/>
    </row>
    <row r="938" customFormat="false" ht="15.75" hidden="false" customHeight="false" outlineLevel="0" collapsed="false">
      <c r="A938" s="51"/>
      <c r="B938" s="51"/>
      <c r="C938" s="6"/>
      <c r="D938" s="49"/>
      <c r="E938" s="51"/>
      <c r="F938" s="6"/>
      <c r="G938" s="6"/>
      <c r="H938" s="6"/>
      <c r="I938" s="6"/>
      <c r="J938" s="6"/>
      <c r="K938" s="51"/>
      <c r="L938" s="51"/>
      <c r="M938" s="51"/>
      <c r="N938" s="51"/>
      <c r="O938" s="51"/>
      <c r="P938" s="51"/>
      <c r="Q938" s="51"/>
      <c r="R938" s="51"/>
      <c r="S938" s="51"/>
      <c r="T938" s="51"/>
      <c r="U938" s="51"/>
      <c r="V938" s="51"/>
      <c r="W938" s="51"/>
      <c r="X938" s="51"/>
      <c r="Y938" s="51"/>
      <c r="Z938" s="51"/>
      <c r="AA938" s="51"/>
      <c r="AB938" s="51"/>
    </row>
    <row r="939" customFormat="false" ht="15.75" hidden="false" customHeight="false" outlineLevel="0" collapsed="false">
      <c r="A939" s="51"/>
      <c r="B939" s="51"/>
      <c r="C939" s="6"/>
      <c r="D939" s="49"/>
      <c r="E939" s="51"/>
      <c r="F939" s="6"/>
      <c r="G939" s="6"/>
      <c r="H939" s="6"/>
      <c r="I939" s="6"/>
      <c r="J939" s="6"/>
      <c r="K939" s="51"/>
      <c r="L939" s="51"/>
      <c r="M939" s="51"/>
      <c r="N939" s="51"/>
      <c r="O939" s="51"/>
      <c r="P939" s="51"/>
      <c r="Q939" s="51"/>
      <c r="R939" s="51"/>
      <c r="S939" s="51"/>
      <c r="T939" s="51"/>
      <c r="U939" s="51"/>
      <c r="V939" s="51"/>
      <c r="W939" s="51"/>
      <c r="X939" s="51"/>
      <c r="Y939" s="51"/>
      <c r="Z939" s="51"/>
      <c r="AA939" s="51"/>
      <c r="AB939" s="51"/>
    </row>
    <row r="940" customFormat="false" ht="15.75" hidden="false" customHeight="false" outlineLevel="0" collapsed="false">
      <c r="A940" s="51"/>
      <c r="B940" s="51"/>
      <c r="C940" s="6"/>
      <c r="D940" s="49"/>
      <c r="E940" s="51"/>
      <c r="F940" s="6"/>
      <c r="G940" s="6"/>
      <c r="H940" s="6"/>
      <c r="I940" s="6"/>
      <c r="J940" s="6"/>
      <c r="K940" s="51"/>
      <c r="L940" s="51"/>
      <c r="M940" s="51"/>
      <c r="N940" s="51"/>
      <c r="O940" s="51"/>
      <c r="P940" s="51"/>
      <c r="Q940" s="51"/>
      <c r="R940" s="51"/>
      <c r="S940" s="51"/>
      <c r="T940" s="51"/>
      <c r="U940" s="51"/>
      <c r="V940" s="51"/>
      <c r="W940" s="51"/>
      <c r="X940" s="51"/>
      <c r="Y940" s="51"/>
      <c r="Z940" s="51"/>
      <c r="AA940" s="51"/>
      <c r="AB940" s="51"/>
    </row>
    <row r="941" customFormat="false" ht="15.75" hidden="false" customHeight="false" outlineLevel="0" collapsed="false">
      <c r="A941" s="51"/>
      <c r="B941" s="51"/>
      <c r="C941" s="6"/>
      <c r="D941" s="49"/>
      <c r="E941" s="51"/>
      <c r="F941" s="6"/>
      <c r="G941" s="6"/>
      <c r="H941" s="6"/>
      <c r="I941" s="6"/>
      <c r="J941" s="6"/>
      <c r="K941" s="51"/>
      <c r="L941" s="51"/>
      <c r="M941" s="51"/>
      <c r="N941" s="51"/>
      <c r="O941" s="51"/>
      <c r="P941" s="51"/>
      <c r="Q941" s="51"/>
      <c r="R941" s="51"/>
      <c r="S941" s="51"/>
      <c r="T941" s="51"/>
      <c r="U941" s="51"/>
      <c r="V941" s="51"/>
      <c r="W941" s="51"/>
      <c r="X941" s="51"/>
      <c r="Y941" s="51"/>
      <c r="Z941" s="51"/>
      <c r="AA941" s="51"/>
      <c r="AB941" s="51"/>
    </row>
    <row r="942" customFormat="false" ht="15.75" hidden="false" customHeight="false" outlineLevel="0" collapsed="false">
      <c r="A942" s="51"/>
      <c r="B942" s="51"/>
      <c r="C942" s="6"/>
      <c r="D942" s="49"/>
      <c r="E942" s="51"/>
      <c r="F942" s="6"/>
      <c r="G942" s="6"/>
      <c r="H942" s="6"/>
      <c r="I942" s="6"/>
      <c r="J942" s="6"/>
      <c r="K942" s="51"/>
      <c r="L942" s="51"/>
      <c r="M942" s="51"/>
      <c r="N942" s="51"/>
      <c r="O942" s="51"/>
      <c r="P942" s="51"/>
      <c r="Q942" s="51"/>
      <c r="R942" s="51"/>
      <c r="S942" s="51"/>
      <c r="T942" s="51"/>
      <c r="U942" s="51"/>
      <c r="V942" s="51"/>
      <c r="W942" s="51"/>
      <c r="X942" s="51"/>
      <c r="Y942" s="51"/>
      <c r="Z942" s="51"/>
      <c r="AA942" s="51"/>
      <c r="AB942" s="51"/>
    </row>
    <row r="943" customFormat="false" ht="15.75" hidden="false" customHeight="false" outlineLevel="0" collapsed="false">
      <c r="A943" s="51"/>
      <c r="B943" s="51"/>
      <c r="C943" s="6"/>
      <c r="D943" s="49"/>
      <c r="E943" s="51"/>
      <c r="F943" s="6"/>
      <c r="G943" s="6"/>
      <c r="H943" s="6"/>
      <c r="I943" s="6"/>
      <c r="J943" s="6"/>
      <c r="K943" s="51"/>
      <c r="L943" s="51"/>
      <c r="M943" s="51"/>
      <c r="N943" s="51"/>
      <c r="O943" s="51"/>
      <c r="P943" s="51"/>
      <c r="Q943" s="51"/>
      <c r="R943" s="51"/>
      <c r="S943" s="51"/>
      <c r="T943" s="51"/>
      <c r="U943" s="51"/>
      <c r="V943" s="51"/>
      <c r="W943" s="51"/>
      <c r="X943" s="51"/>
      <c r="Y943" s="51"/>
      <c r="Z943" s="51"/>
      <c r="AA943" s="51"/>
      <c r="AB943" s="51"/>
    </row>
    <row r="944" customFormat="false" ht="15.75" hidden="false" customHeight="false" outlineLevel="0" collapsed="false">
      <c r="A944" s="51"/>
      <c r="B944" s="51"/>
      <c r="C944" s="6"/>
      <c r="D944" s="49"/>
      <c r="E944" s="51"/>
      <c r="F944" s="6"/>
      <c r="G944" s="6"/>
      <c r="H944" s="6"/>
      <c r="I944" s="6"/>
      <c r="J944" s="6"/>
      <c r="K944" s="51"/>
      <c r="L944" s="51"/>
      <c r="M944" s="51"/>
      <c r="N944" s="51"/>
      <c r="O944" s="51"/>
      <c r="P944" s="51"/>
      <c r="Q944" s="51"/>
      <c r="R944" s="51"/>
      <c r="S944" s="51"/>
      <c r="T944" s="51"/>
      <c r="U944" s="51"/>
      <c r="V944" s="51"/>
      <c r="W944" s="51"/>
      <c r="X944" s="51"/>
      <c r="Y944" s="51"/>
      <c r="Z944" s="51"/>
      <c r="AA944" s="51"/>
      <c r="AB944" s="51"/>
    </row>
    <row r="945" customFormat="false" ht="15.75" hidden="false" customHeight="false" outlineLevel="0" collapsed="false">
      <c r="A945" s="51"/>
      <c r="B945" s="51"/>
      <c r="C945" s="6"/>
      <c r="D945" s="49"/>
      <c r="E945" s="51"/>
      <c r="F945" s="6"/>
      <c r="G945" s="6"/>
      <c r="H945" s="6"/>
      <c r="I945" s="6"/>
      <c r="J945" s="6"/>
      <c r="K945" s="51"/>
      <c r="L945" s="51"/>
      <c r="M945" s="51"/>
      <c r="N945" s="51"/>
      <c r="O945" s="51"/>
      <c r="P945" s="51"/>
      <c r="Q945" s="51"/>
      <c r="R945" s="51"/>
      <c r="S945" s="51"/>
      <c r="T945" s="51"/>
      <c r="U945" s="51"/>
      <c r="V945" s="51"/>
      <c r="W945" s="51"/>
      <c r="X945" s="51"/>
      <c r="Y945" s="51"/>
      <c r="Z945" s="51"/>
      <c r="AA945" s="51"/>
      <c r="AB945" s="51"/>
    </row>
    <row r="946" customFormat="false" ht="15.75" hidden="false" customHeight="false" outlineLevel="0" collapsed="false">
      <c r="A946" s="51"/>
      <c r="B946" s="51"/>
      <c r="C946" s="6"/>
      <c r="D946" s="49"/>
      <c r="E946" s="51"/>
      <c r="F946" s="6"/>
      <c r="G946" s="6"/>
      <c r="H946" s="6"/>
      <c r="I946" s="6"/>
      <c r="J946" s="6"/>
      <c r="K946" s="51"/>
      <c r="L946" s="51"/>
      <c r="M946" s="51"/>
      <c r="N946" s="51"/>
      <c r="O946" s="51"/>
      <c r="P946" s="51"/>
      <c r="Q946" s="51"/>
      <c r="R946" s="51"/>
      <c r="S946" s="51"/>
      <c r="T946" s="51"/>
      <c r="U946" s="51"/>
      <c r="V946" s="51"/>
      <c r="W946" s="51"/>
      <c r="X946" s="51"/>
      <c r="Y946" s="51"/>
      <c r="Z946" s="51"/>
      <c r="AA946" s="51"/>
      <c r="AB946" s="51"/>
    </row>
    <row r="947" customFormat="false" ht="15.75" hidden="false" customHeight="false" outlineLevel="0" collapsed="false">
      <c r="A947" s="51"/>
      <c r="B947" s="51"/>
      <c r="C947" s="6"/>
      <c r="D947" s="49"/>
      <c r="E947" s="51"/>
      <c r="F947" s="6"/>
      <c r="G947" s="6"/>
      <c r="H947" s="6"/>
      <c r="I947" s="6"/>
      <c r="J947" s="6"/>
      <c r="K947" s="51"/>
      <c r="L947" s="51"/>
      <c r="M947" s="51"/>
      <c r="N947" s="51"/>
      <c r="O947" s="51"/>
      <c r="P947" s="51"/>
      <c r="Q947" s="51"/>
      <c r="R947" s="51"/>
      <c r="S947" s="51"/>
      <c r="T947" s="51"/>
      <c r="U947" s="51"/>
      <c r="V947" s="51"/>
      <c r="W947" s="51"/>
      <c r="X947" s="51"/>
      <c r="Y947" s="51"/>
      <c r="Z947" s="51"/>
      <c r="AA947" s="51"/>
      <c r="AB947" s="51"/>
    </row>
    <row r="948" customFormat="false" ht="15.75" hidden="false" customHeight="false" outlineLevel="0" collapsed="false">
      <c r="A948" s="51"/>
      <c r="B948" s="51"/>
      <c r="C948" s="6"/>
      <c r="D948" s="49"/>
      <c r="E948" s="51"/>
      <c r="F948" s="6"/>
      <c r="G948" s="6"/>
      <c r="H948" s="6"/>
      <c r="I948" s="6"/>
      <c r="J948" s="6"/>
      <c r="K948" s="51"/>
      <c r="L948" s="51"/>
      <c r="M948" s="51"/>
      <c r="N948" s="51"/>
      <c r="O948" s="51"/>
      <c r="P948" s="51"/>
      <c r="Q948" s="51"/>
      <c r="R948" s="51"/>
      <c r="S948" s="51"/>
      <c r="T948" s="51"/>
      <c r="U948" s="51"/>
      <c r="V948" s="51"/>
      <c r="W948" s="51"/>
      <c r="X948" s="51"/>
      <c r="Y948" s="51"/>
      <c r="Z948" s="51"/>
      <c r="AA948" s="51"/>
      <c r="AB948" s="51"/>
    </row>
    <row r="949" customFormat="false" ht="15.75" hidden="false" customHeight="false" outlineLevel="0" collapsed="false">
      <c r="A949" s="51"/>
      <c r="B949" s="51"/>
      <c r="C949" s="6"/>
      <c r="D949" s="49"/>
      <c r="E949" s="51"/>
      <c r="F949" s="6"/>
      <c r="G949" s="6"/>
      <c r="H949" s="6"/>
      <c r="I949" s="6"/>
      <c r="J949" s="6"/>
      <c r="K949" s="51"/>
      <c r="L949" s="51"/>
      <c r="M949" s="51"/>
      <c r="N949" s="51"/>
      <c r="O949" s="51"/>
      <c r="P949" s="51"/>
      <c r="Q949" s="51"/>
      <c r="R949" s="51"/>
      <c r="S949" s="51"/>
      <c r="T949" s="51"/>
      <c r="U949" s="51"/>
      <c r="V949" s="51"/>
      <c r="W949" s="51"/>
      <c r="X949" s="51"/>
      <c r="Y949" s="51"/>
      <c r="Z949" s="51"/>
      <c r="AA949" s="51"/>
      <c r="AB949" s="51"/>
    </row>
    <row r="950" customFormat="false" ht="15.75" hidden="false" customHeight="false" outlineLevel="0" collapsed="false">
      <c r="A950" s="51"/>
      <c r="B950" s="51"/>
      <c r="C950" s="6"/>
      <c r="D950" s="49"/>
      <c r="E950" s="51"/>
      <c r="F950" s="6"/>
      <c r="G950" s="6"/>
      <c r="H950" s="6"/>
      <c r="I950" s="6"/>
      <c r="J950" s="6"/>
      <c r="K950" s="51"/>
      <c r="L950" s="51"/>
      <c r="M950" s="51"/>
      <c r="N950" s="51"/>
      <c r="O950" s="51"/>
      <c r="P950" s="51"/>
      <c r="Q950" s="51"/>
      <c r="R950" s="51"/>
      <c r="S950" s="51"/>
      <c r="T950" s="51"/>
      <c r="U950" s="51"/>
      <c r="V950" s="51"/>
      <c r="W950" s="51"/>
      <c r="X950" s="51"/>
      <c r="Y950" s="51"/>
      <c r="Z950" s="51"/>
      <c r="AA950" s="51"/>
      <c r="AB950" s="51"/>
    </row>
    <row r="951" customFormat="false" ht="15.75" hidden="false" customHeight="false" outlineLevel="0" collapsed="false">
      <c r="A951" s="51"/>
      <c r="B951" s="51"/>
      <c r="C951" s="6"/>
      <c r="D951" s="49"/>
      <c r="E951" s="51"/>
      <c r="F951" s="6"/>
      <c r="G951" s="6"/>
      <c r="H951" s="6"/>
      <c r="I951" s="6"/>
      <c r="J951" s="6"/>
      <c r="K951" s="51"/>
      <c r="L951" s="51"/>
      <c r="M951" s="51"/>
      <c r="N951" s="51"/>
      <c r="O951" s="51"/>
      <c r="P951" s="51"/>
      <c r="Q951" s="51"/>
      <c r="R951" s="51"/>
      <c r="S951" s="51"/>
      <c r="T951" s="51"/>
      <c r="U951" s="51"/>
      <c r="V951" s="51"/>
      <c r="W951" s="51"/>
      <c r="X951" s="51"/>
      <c r="Y951" s="51"/>
      <c r="Z951" s="51"/>
      <c r="AA951" s="51"/>
      <c r="AB951" s="51"/>
    </row>
    <row r="952" customFormat="false" ht="15.75" hidden="false" customHeight="false" outlineLevel="0" collapsed="false">
      <c r="A952" s="51"/>
      <c r="B952" s="51"/>
      <c r="C952" s="6"/>
      <c r="D952" s="49"/>
      <c r="E952" s="51"/>
      <c r="F952" s="6"/>
      <c r="G952" s="6"/>
      <c r="H952" s="6"/>
      <c r="I952" s="6"/>
      <c r="J952" s="6"/>
      <c r="K952" s="51"/>
      <c r="L952" s="51"/>
      <c r="M952" s="51"/>
      <c r="N952" s="51"/>
      <c r="O952" s="51"/>
      <c r="P952" s="51"/>
      <c r="Q952" s="51"/>
      <c r="R952" s="51"/>
      <c r="S952" s="51"/>
      <c r="T952" s="51"/>
      <c r="U952" s="51"/>
      <c r="V952" s="51"/>
      <c r="W952" s="51"/>
      <c r="X952" s="51"/>
      <c r="Y952" s="51"/>
      <c r="Z952" s="51"/>
      <c r="AA952" s="51"/>
      <c r="AB952" s="51"/>
    </row>
    <row r="953" customFormat="false" ht="15.75" hidden="false" customHeight="false" outlineLevel="0" collapsed="false">
      <c r="A953" s="51"/>
      <c r="B953" s="51"/>
      <c r="C953" s="6"/>
      <c r="D953" s="49"/>
      <c r="E953" s="51"/>
      <c r="F953" s="6"/>
      <c r="G953" s="6"/>
      <c r="H953" s="6"/>
      <c r="I953" s="6"/>
      <c r="J953" s="6"/>
      <c r="K953" s="51"/>
      <c r="L953" s="51"/>
      <c r="M953" s="51"/>
      <c r="N953" s="51"/>
      <c r="O953" s="51"/>
      <c r="P953" s="51"/>
      <c r="Q953" s="51"/>
      <c r="R953" s="51"/>
      <c r="S953" s="51"/>
      <c r="T953" s="51"/>
      <c r="U953" s="51"/>
      <c r="V953" s="51"/>
      <c r="W953" s="51"/>
      <c r="X953" s="51"/>
      <c r="Y953" s="51"/>
      <c r="Z953" s="51"/>
      <c r="AA953" s="51"/>
      <c r="AB953" s="51"/>
    </row>
    <row r="954" customFormat="false" ht="15.75" hidden="false" customHeight="false" outlineLevel="0" collapsed="false">
      <c r="A954" s="51"/>
      <c r="B954" s="51"/>
      <c r="C954" s="6"/>
      <c r="D954" s="49"/>
      <c r="E954" s="51"/>
      <c r="F954" s="6"/>
      <c r="G954" s="6"/>
      <c r="H954" s="6"/>
      <c r="I954" s="6"/>
      <c r="J954" s="6"/>
      <c r="K954" s="51"/>
      <c r="L954" s="51"/>
      <c r="M954" s="51"/>
      <c r="N954" s="51"/>
      <c r="O954" s="51"/>
      <c r="P954" s="51"/>
      <c r="Q954" s="51"/>
      <c r="R954" s="51"/>
      <c r="S954" s="51"/>
      <c r="T954" s="51"/>
      <c r="U954" s="51"/>
      <c r="V954" s="51"/>
      <c r="W954" s="51"/>
      <c r="X954" s="51"/>
      <c r="Y954" s="51"/>
      <c r="Z954" s="51"/>
      <c r="AA954" s="51"/>
      <c r="AB954" s="51"/>
    </row>
    <row r="955" customFormat="false" ht="15.75" hidden="false" customHeight="false" outlineLevel="0" collapsed="false">
      <c r="A955" s="51"/>
      <c r="B955" s="51"/>
      <c r="C955" s="6"/>
      <c r="D955" s="49"/>
      <c r="E955" s="51"/>
      <c r="F955" s="6"/>
      <c r="G955" s="6"/>
      <c r="H955" s="6"/>
      <c r="I955" s="6"/>
      <c r="J955" s="6"/>
      <c r="K955" s="51"/>
      <c r="L955" s="51"/>
      <c r="M955" s="51"/>
      <c r="N955" s="51"/>
      <c r="O955" s="51"/>
      <c r="P955" s="51"/>
      <c r="Q955" s="51"/>
      <c r="R955" s="51"/>
      <c r="S955" s="51"/>
      <c r="T955" s="51"/>
      <c r="U955" s="51"/>
      <c r="V955" s="51"/>
      <c r="W955" s="51"/>
      <c r="X955" s="51"/>
      <c r="Y955" s="51"/>
      <c r="Z955" s="51"/>
      <c r="AA955" s="51"/>
      <c r="AB955" s="51"/>
    </row>
    <row r="956" customFormat="false" ht="15.75" hidden="false" customHeight="false" outlineLevel="0" collapsed="false">
      <c r="A956" s="51"/>
      <c r="B956" s="51"/>
      <c r="C956" s="6"/>
      <c r="D956" s="49"/>
      <c r="E956" s="51"/>
      <c r="F956" s="6"/>
      <c r="G956" s="6"/>
      <c r="H956" s="6"/>
      <c r="I956" s="6"/>
      <c r="J956" s="6"/>
      <c r="K956" s="51"/>
      <c r="L956" s="51"/>
      <c r="M956" s="51"/>
      <c r="N956" s="51"/>
      <c r="O956" s="51"/>
      <c r="P956" s="51"/>
      <c r="Q956" s="51"/>
      <c r="R956" s="51"/>
      <c r="S956" s="51"/>
      <c r="T956" s="51"/>
      <c r="U956" s="51"/>
      <c r="V956" s="51"/>
      <c r="W956" s="51"/>
      <c r="X956" s="51"/>
      <c r="Y956" s="51"/>
      <c r="Z956" s="51"/>
      <c r="AA956" s="51"/>
      <c r="AB956" s="51"/>
    </row>
    <row r="957" customFormat="false" ht="15.75" hidden="false" customHeight="false" outlineLevel="0" collapsed="false">
      <c r="A957" s="51"/>
      <c r="B957" s="51"/>
      <c r="C957" s="6"/>
      <c r="D957" s="49"/>
      <c r="E957" s="51"/>
      <c r="F957" s="6"/>
      <c r="G957" s="6"/>
      <c r="H957" s="6"/>
      <c r="I957" s="6"/>
      <c r="J957" s="6"/>
      <c r="K957" s="51"/>
      <c r="L957" s="51"/>
      <c r="M957" s="51"/>
      <c r="N957" s="51"/>
      <c r="O957" s="51"/>
      <c r="P957" s="51"/>
      <c r="Q957" s="51"/>
      <c r="R957" s="51"/>
      <c r="S957" s="51"/>
      <c r="T957" s="51"/>
      <c r="U957" s="51"/>
      <c r="V957" s="51"/>
      <c r="W957" s="51"/>
      <c r="X957" s="51"/>
      <c r="Y957" s="51"/>
      <c r="Z957" s="51"/>
      <c r="AA957" s="51"/>
      <c r="AB957" s="51"/>
    </row>
    <row r="958" customFormat="false" ht="15.75" hidden="false" customHeight="false" outlineLevel="0" collapsed="false">
      <c r="A958" s="51"/>
      <c r="B958" s="51"/>
      <c r="C958" s="6"/>
      <c r="D958" s="49"/>
      <c r="E958" s="51"/>
      <c r="F958" s="6"/>
      <c r="G958" s="6"/>
      <c r="H958" s="6"/>
      <c r="I958" s="6"/>
      <c r="J958" s="6"/>
      <c r="K958" s="51"/>
      <c r="L958" s="51"/>
      <c r="M958" s="51"/>
      <c r="N958" s="51"/>
      <c r="O958" s="51"/>
      <c r="P958" s="51"/>
      <c r="Q958" s="51"/>
      <c r="R958" s="51"/>
      <c r="S958" s="51"/>
      <c r="T958" s="51"/>
      <c r="U958" s="51"/>
      <c r="V958" s="51"/>
      <c r="W958" s="51"/>
      <c r="X958" s="51"/>
      <c r="Y958" s="51"/>
      <c r="Z958" s="51"/>
      <c r="AA958" s="51"/>
      <c r="AB958" s="51"/>
    </row>
    <row r="959" customFormat="false" ht="15.75" hidden="false" customHeight="false" outlineLevel="0" collapsed="false">
      <c r="A959" s="51"/>
      <c r="B959" s="51"/>
      <c r="C959" s="6"/>
      <c r="D959" s="49"/>
      <c r="E959" s="51"/>
      <c r="F959" s="6"/>
      <c r="G959" s="6"/>
      <c r="H959" s="6"/>
      <c r="I959" s="6"/>
      <c r="J959" s="6"/>
      <c r="K959" s="51"/>
      <c r="L959" s="51"/>
      <c r="M959" s="51"/>
      <c r="N959" s="51"/>
      <c r="O959" s="51"/>
      <c r="P959" s="51"/>
      <c r="Q959" s="51"/>
      <c r="R959" s="51"/>
      <c r="S959" s="51"/>
      <c r="T959" s="51"/>
      <c r="U959" s="51"/>
      <c r="V959" s="51"/>
      <c r="W959" s="51"/>
      <c r="X959" s="51"/>
      <c r="Y959" s="51"/>
      <c r="Z959" s="51"/>
      <c r="AA959" s="51"/>
      <c r="AB959" s="51"/>
    </row>
    <row r="960" customFormat="false" ht="15.75" hidden="false" customHeight="false" outlineLevel="0" collapsed="false">
      <c r="A960" s="51"/>
      <c r="B960" s="51"/>
      <c r="C960" s="6"/>
      <c r="D960" s="49"/>
      <c r="E960" s="51"/>
      <c r="F960" s="6"/>
      <c r="G960" s="6"/>
      <c r="H960" s="6"/>
      <c r="I960" s="6"/>
      <c r="J960" s="6"/>
      <c r="K960" s="51"/>
      <c r="L960" s="51"/>
      <c r="M960" s="51"/>
      <c r="N960" s="51"/>
      <c r="O960" s="51"/>
      <c r="P960" s="51"/>
      <c r="Q960" s="51"/>
      <c r="R960" s="51"/>
      <c r="S960" s="51"/>
      <c r="T960" s="51"/>
      <c r="U960" s="51"/>
      <c r="V960" s="51"/>
      <c r="W960" s="51"/>
      <c r="X960" s="51"/>
      <c r="Y960" s="51"/>
      <c r="Z960" s="51"/>
      <c r="AA960" s="51"/>
      <c r="AB960" s="51"/>
    </row>
    <row r="961" customFormat="false" ht="15.75" hidden="false" customHeight="false" outlineLevel="0" collapsed="false">
      <c r="A961" s="51"/>
      <c r="B961" s="51"/>
      <c r="C961" s="6"/>
      <c r="D961" s="49"/>
      <c r="E961" s="51"/>
      <c r="F961" s="6"/>
      <c r="G961" s="6"/>
      <c r="H961" s="6"/>
      <c r="I961" s="6"/>
      <c r="J961" s="6"/>
      <c r="K961" s="51"/>
      <c r="L961" s="51"/>
      <c r="M961" s="51"/>
      <c r="N961" s="51"/>
      <c r="O961" s="51"/>
      <c r="P961" s="51"/>
      <c r="Q961" s="51"/>
      <c r="R961" s="51"/>
      <c r="S961" s="51"/>
      <c r="T961" s="51"/>
      <c r="U961" s="51"/>
      <c r="V961" s="51"/>
      <c r="W961" s="51"/>
      <c r="X961" s="51"/>
      <c r="Y961" s="51"/>
      <c r="Z961" s="51"/>
      <c r="AA961" s="51"/>
      <c r="AB961" s="51"/>
    </row>
    <row r="962" customFormat="false" ht="15.75" hidden="false" customHeight="false" outlineLevel="0" collapsed="false">
      <c r="A962" s="51"/>
      <c r="B962" s="51"/>
      <c r="C962" s="6"/>
      <c r="D962" s="49"/>
      <c r="E962" s="51"/>
      <c r="F962" s="6"/>
      <c r="G962" s="6"/>
      <c r="H962" s="6"/>
      <c r="I962" s="6"/>
      <c r="J962" s="6"/>
      <c r="K962" s="51"/>
      <c r="L962" s="51"/>
      <c r="M962" s="51"/>
      <c r="N962" s="51"/>
      <c r="O962" s="51"/>
      <c r="P962" s="51"/>
      <c r="Q962" s="51"/>
      <c r="R962" s="51"/>
      <c r="S962" s="51"/>
      <c r="T962" s="51"/>
      <c r="U962" s="51"/>
      <c r="V962" s="51"/>
      <c r="W962" s="51"/>
      <c r="X962" s="51"/>
      <c r="Y962" s="51"/>
      <c r="Z962" s="51"/>
      <c r="AA962" s="51"/>
      <c r="AB962" s="51"/>
    </row>
    <row r="963" customFormat="false" ht="15.75" hidden="false" customHeight="false" outlineLevel="0" collapsed="false">
      <c r="A963" s="51"/>
      <c r="B963" s="51"/>
      <c r="C963" s="6"/>
      <c r="D963" s="49"/>
      <c r="E963" s="51"/>
      <c r="F963" s="6"/>
      <c r="G963" s="6"/>
      <c r="H963" s="6"/>
      <c r="I963" s="6"/>
      <c r="J963" s="6"/>
      <c r="K963" s="51"/>
      <c r="L963" s="51"/>
      <c r="M963" s="51"/>
      <c r="N963" s="51"/>
      <c r="O963" s="51"/>
      <c r="P963" s="51"/>
      <c r="Q963" s="51"/>
      <c r="R963" s="51"/>
      <c r="S963" s="51"/>
      <c r="T963" s="51"/>
      <c r="U963" s="51"/>
      <c r="V963" s="51"/>
      <c r="W963" s="51"/>
      <c r="X963" s="51"/>
      <c r="Y963" s="51"/>
      <c r="Z963" s="51"/>
      <c r="AA963" s="51"/>
      <c r="AB963" s="51"/>
    </row>
    <row r="964" customFormat="false" ht="15.75" hidden="false" customHeight="false" outlineLevel="0" collapsed="false">
      <c r="A964" s="51"/>
      <c r="B964" s="51"/>
      <c r="C964" s="6"/>
      <c r="D964" s="49"/>
      <c r="E964" s="51"/>
      <c r="F964" s="6"/>
      <c r="G964" s="6"/>
      <c r="H964" s="6"/>
      <c r="I964" s="6"/>
      <c r="J964" s="6"/>
      <c r="K964" s="51"/>
      <c r="L964" s="51"/>
      <c r="M964" s="51"/>
      <c r="N964" s="51"/>
      <c r="O964" s="51"/>
      <c r="P964" s="51"/>
      <c r="Q964" s="51"/>
      <c r="R964" s="51"/>
      <c r="S964" s="51"/>
      <c r="T964" s="51"/>
      <c r="U964" s="51"/>
      <c r="V964" s="51"/>
      <c r="W964" s="51"/>
      <c r="X964" s="51"/>
      <c r="Y964" s="51"/>
      <c r="Z964" s="51"/>
      <c r="AA964" s="51"/>
      <c r="AB964" s="51"/>
    </row>
    <row r="965" customFormat="false" ht="15.75" hidden="false" customHeight="false" outlineLevel="0" collapsed="false">
      <c r="A965" s="51"/>
      <c r="B965" s="51"/>
      <c r="C965" s="6"/>
      <c r="D965" s="49"/>
      <c r="E965" s="51"/>
      <c r="F965" s="6"/>
      <c r="G965" s="6"/>
      <c r="H965" s="6"/>
      <c r="I965" s="6"/>
      <c r="J965" s="6"/>
      <c r="K965" s="51"/>
      <c r="L965" s="51"/>
      <c r="M965" s="51"/>
      <c r="N965" s="51"/>
      <c r="O965" s="51"/>
      <c r="P965" s="51"/>
      <c r="Q965" s="51"/>
      <c r="R965" s="51"/>
      <c r="S965" s="51"/>
      <c r="T965" s="51"/>
      <c r="U965" s="51"/>
      <c r="V965" s="51"/>
      <c r="W965" s="51"/>
      <c r="X965" s="51"/>
      <c r="Y965" s="51"/>
      <c r="Z965" s="51"/>
      <c r="AA965" s="51"/>
      <c r="AB965" s="51"/>
    </row>
    <row r="966" customFormat="false" ht="15.75" hidden="false" customHeight="false" outlineLevel="0" collapsed="false">
      <c r="A966" s="51"/>
      <c r="B966" s="51"/>
      <c r="C966" s="6"/>
      <c r="D966" s="49"/>
      <c r="E966" s="51"/>
      <c r="F966" s="6"/>
      <c r="G966" s="6"/>
      <c r="H966" s="6"/>
      <c r="I966" s="6"/>
      <c r="J966" s="6"/>
      <c r="K966" s="51"/>
      <c r="L966" s="51"/>
      <c r="M966" s="51"/>
      <c r="N966" s="51"/>
      <c r="O966" s="51"/>
      <c r="P966" s="51"/>
      <c r="Q966" s="51"/>
      <c r="R966" s="51"/>
      <c r="S966" s="51"/>
      <c r="T966" s="51"/>
      <c r="U966" s="51"/>
      <c r="V966" s="51"/>
      <c r="W966" s="51"/>
      <c r="X966" s="51"/>
      <c r="Y966" s="51"/>
      <c r="Z966" s="51"/>
      <c r="AA966" s="51"/>
      <c r="AB966" s="51"/>
    </row>
    <row r="967" customFormat="false" ht="15.75" hidden="false" customHeight="false" outlineLevel="0" collapsed="false">
      <c r="A967" s="51"/>
      <c r="B967" s="51"/>
      <c r="C967" s="6"/>
      <c r="D967" s="49"/>
      <c r="E967" s="51"/>
      <c r="F967" s="6"/>
      <c r="G967" s="6"/>
      <c r="H967" s="6"/>
      <c r="I967" s="6"/>
      <c r="J967" s="6"/>
      <c r="K967" s="51"/>
      <c r="L967" s="51"/>
      <c r="M967" s="51"/>
      <c r="N967" s="51"/>
      <c r="O967" s="51"/>
      <c r="P967" s="51"/>
      <c r="Q967" s="51"/>
      <c r="R967" s="51"/>
      <c r="S967" s="51"/>
      <c r="T967" s="51"/>
      <c r="U967" s="51"/>
      <c r="V967" s="51"/>
      <c r="W967" s="51"/>
      <c r="X967" s="51"/>
      <c r="Y967" s="51"/>
      <c r="Z967" s="51"/>
      <c r="AA967" s="51"/>
      <c r="AB967" s="51"/>
    </row>
    <row r="968" customFormat="false" ht="15.75" hidden="false" customHeight="false" outlineLevel="0" collapsed="false">
      <c r="A968" s="51"/>
      <c r="B968" s="51"/>
      <c r="C968" s="6"/>
      <c r="D968" s="49"/>
      <c r="E968" s="51"/>
      <c r="F968" s="6"/>
      <c r="G968" s="6"/>
      <c r="H968" s="6"/>
      <c r="I968" s="6"/>
      <c r="J968" s="6"/>
      <c r="K968" s="51"/>
      <c r="L968" s="51"/>
      <c r="M968" s="51"/>
      <c r="N968" s="51"/>
      <c r="O968" s="51"/>
      <c r="P968" s="51"/>
      <c r="Q968" s="51"/>
      <c r="R968" s="51"/>
      <c r="S968" s="51"/>
      <c r="T968" s="51"/>
      <c r="U968" s="51"/>
      <c r="V968" s="51"/>
      <c r="W968" s="51"/>
      <c r="X968" s="51"/>
      <c r="Y968" s="51"/>
      <c r="Z968" s="51"/>
      <c r="AA968" s="51"/>
      <c r="AB968" s="51"/>
    </row>
    <row r="969" customFormat="false" ht="15.75" hidden="false" customHeight="false" outlineLevel="0" collapsed="false">
      <c r="A969" s="51"/>
      <c r="B969" s="51"/>
      <c r="C969" s="6"/>
      <c r="D969" s="49"/>
      <c r="E969" s="51"/>
      <c r="F969" s="6"/>
      <c r="G969" s="6"/>
      <c r="H969" s="6"/>
      <c r="I969" s="6"/>
      <c r="J969" s="6"/>
      <c r="K969" s="51"/>
      <c r="L969" s="51"/>
      <c r="M969" s="51"/>
      <c r="N969" s="51"/>
      <c r="O969" s="51"/>
      <c r="P969" s="51"/>
      <c r="Q969" s="51"/>
      <c r="R969" s="51"/>
      <c r="S969" s="51"/>
      <c r="T969" s="51"/>
      <c r="U969" s="51"/>
      <c r="V969" s="51"/>
      <c r="W969" s="51"/>
      <c r="X969" s="51"/>
      <c r="Y969" s="51"/>
      <c r="Z969" s="51"/>
      <c r="AA969" s="51"/>
      <c r="AB969" s="51"/>
    </row>
    <row r="970" customFormat="false" ht="15.75" hidden="false" customHeight="false" outlineLevel="0" collapsed="false">
      <c r="A970" s="51"/>
      <c r="B970" s="51"/>
      <c r="C970" s="6"/>
      <c r="D970" s="49"/>
      <c r="E970" s="51"/>
      <c r="F970" s="6"/>
      <c r="G970" s="6"/>
      <c r="H970" s="6"/>
      <c r="I970" s="6"/>
      <c r="J970" s="6"/>
      <c r="K970" s="51"/>
      <c r="L970" s="51"/>
      <c r="M970" s="51"/>
      <c r="N970" s="51"/>
      <c r="O970" s="51"/>
      <c r="P970" s="51"/>
      <c r="Q970" s="51"/>
      <c r="R970" s="51"/>
      <c r="S970" s="51"/>
      <c r="T970" s="51"/>
      <c r="U970" s="51"/>
      <c r="V970" s="51"/>
      <c r="W970" s="51"/>
      <c r="X970" s="51"/>
      <c r="Y970" s="51"/>
      <c r="Z970" s="51"/>
      <c r="AA970" s="51"/>
      <c r="AB970" s="51"/>
    </row>
    <row r="971" customFormat="false" ht="15.75" hidden="false" customHeight="false" outlineLevel="0" collapsed="false">
      <c r="A971" s="51"/>
      <c r="B971" s="51"/>
      <c r="C971" s="6"/>
      <c r="D971" s="49"/>
      <c r="E971" s="51"/>
      <c r="F971" s="6"/>
      <c r="G971" s="6"/>
      <c r="H971" s="6"/>
      <c r="I971" s="6"/>
      <c r="J971" s="6"/>
      <c r="K971" s="51"/>
      <c r="L971" s="51"/>
      <c r="M971" s="51"/>
      <c r="N971" s="51"/>
      <c r="O971" s="51"/>
      <c r="P971" s="51"/>
      <c r="Q971" s="51"/>
      <c r="R971" s="51"/>
      <c r="S971" s="51"/>
      <c r="T971" s="51"/>
      <c r="U971" s="51"/>
      <c r="V971" s="51"/>
      <c r="W971" s="51"/>
      <c r="X971" s="51"/>
      <c r="Y971" s="51"/>
      <c r="Z971" s="51"/>
      <c r="AA971" s="51"/>
      <c r="AB971" s="51"/>
    </row>
    <row r="972" customFormat="false" ht="15.75" hidden="false" customHeight="false" outlineLevel="0" collapsed="false">
      <c r="A972" s="51"/>
      <c r="B972" s="51"/>
      <c r="C972" s="6"/>
      <c r="D972" s="49"/>
      <c r="E972" s="51"/>
      <c r="F972" s="6"/>
      <c r="G972" s="6"/>
      <c r="H972" s="6"/>
      <c r="I972" s="6"/>
      <c r="J972" s="6"/>
      <c r="K972" s="51"/>
      <c r="L972" s="51"/>
      <c r="M972" s="51"/>
      <c r="N972" s="51"/>
      <c r="O972" s="51"/>
      <c r="P972" s="51"/>
      <c r="Q972" s="51"/>
      <c r="R972" s="51"/>
      <c r="S972" s="51"/>
      <c r="T972" s="51"/>
      <c r="U972" s="51"/>
      <c r="V972" s="51"/>
      <c r="W972" s="51"/>
      <c r="X972" s="51"/>
      <c r="Y972" s="51"/>
      <c r="Z972" s="51"/>
      <c r="AA972" s="51"/>
      <c r="AB972" s="51"/>
    </row>
    <row r="973" customFormat="false" ht="15.75" hidden="false" customHeight="false" outlineLevel="0" collapsed="false">
      <c r="A973" s="51"/>
      <c r="B973" s="51"/>
      <c r="C973" s="6"/>
      <c r="D973" s="49"/>
      <c r="E973" s="51"/>
      <c r="F973" s="6"/>
      <c r="G973" s="6"/>
      <c r="H973" s="6"/>
      <c r="I973" s="6"/>
      <c r="J973" s="6"/>
      <c r="K973" s="51"/>
      <c r="L973" s="51"/>
      <c r="M973" s="51"/>
      <c r="N973" s="51"/>
      <c r="O973" s="51"/>
      <c r="P973" s="51"/>
      <c r="Q973" s="51"/>
      <c r="R973" s="51"/>
      <c r="S973" s="51"/>
      <c r="T973" s="51"/>
      <c r="U973" s="51"/>
      <c r="V973" s="51"/>
      <c r="W973" s="51"/>
      <c r="X973" s="51"/>
      <c r="Y973" s="51"/>
      <c r="Z973" s="51"/>
      <c r="AA973" s="51"/>
      <c r="AB973" s="51"/>
    </row>
    <row r="974" customFormat="false" ht="15.75" hidden="false" customHeight="false" outlineLevel="0" collapsed="false">
      <c r="A974" s="51"/>
      <c r="B974" s="51"/>
      <c r="C974" s="6"/>
      <c r="D974" s="49"/>
      <c r="E974" s="51"/>
      <c r="F974" s="6"/>
      <c r="G974" s="6"/>
      <c r="H974" s="6"/>
      <c r="I974" s="6"/>
      <c r="J974" s="6"/>
      <c r="K974" s="51"/>
      <c r="L974" s="51"/>
      <c r="M974" s="51"/>
      <c r="N974" s="51"/>
      <c r="O974" s="51"/>
      <c r="P974" s="51"/>
      <c r="Q974" s="51"/>
      <c r="R974" s="51"/>
      <c r="S974" s="51"/>
      <c r="T974" s="51"/>
      <c r="U974" s="51"/>
      <c r="V974" s="51"/>
      <c r="W974" s="51"/>
      <c r="X974" s="51"/>
      <c r="Y974" s="51"/>
      <c r="Z974" s="51"/>
      <c r="AA974" s="51"/>
      <c r="AB974" s="51"/>
    </row>
    <row r="975" customFormat="false" ht="15.75" hidden="false" customHeight="false" outlineLevel="0" collapsed="false">
      <c r="A975" s="51"/>
      <c r="B975" s="51"/>
      <c r="C975" s="6"/>
      <c r="D975" s="49"/>
      <c r="E975" s="51"/>
      <c r="F975" s="6"/>
      <c r="G975" s="6"/>
      <c r="H975" s="6"/>
      <c r="I975" s="6"/>
      <c r="J975" s="6"/>
      <c r="K975" s="51"/>
      <c r="L975" s="51"/>
      <c r="M975" s="51"/>
      <c r="N975" s="51"/>
      <c r="O975" s="51"/>
      <c r="P975" s="51"/>
      <c r="Q975" s="51"/>
      <c r="R975" s="51"/>
      <c r="S975" s="51"/>
      <c r="T975" s="51"/>
      <c r="U975" s="51"/>
      <c r="V975" s="51"/>
      <c r="W975" s="51"/>
      <c r="X975" s="51"/>
      <c r="Y975" s="51"/>
      <c r="Z975" s="51"/>
      <c r="AA975" s="51"/>
      <c r="AB975" s="51"/>
    </row>
    <row r="976" customFormat="false" ht="15.75" hidden="false" customHeight="false" outlineLevel="0" collapsed="false">
      <c r="A976" s="51"/>
      <c r="B976" s="51"/>
      <c r="C976" s="6"/>
      <c r="D976" s="49"/>
      <c r="E976" s="51"/>
      <c r="F976" s="6"/>
      <c r="G976" s="6"/>
      <c r="H976" s="6"/>
      <c r="I976" s="6"/>
      <c r="J976" s="6"/>
      <c r="K976" s="51"/>
      <c r="L976" s="51"/>
      <c r="M976" s="51"/>
      <c r="N976" s="51"/>
      <c r="O976" s="51"/>
      <c r="P976" s="51"/>
      <c r="Q976" s="51"/>
      <c r="R976" s="51"/>
      <c r="S976" s="51"/>
      <c r="T976" s="51"/>
      <c r="U976" s="51"/>
      <c r="V976" s="51"/>
      <c r="W976" s="51"/>
      <c r="X976" s="51"/>
      <c r="Y976" s="51"/>
      <c r="Z976" s="51"/>
      <c r="AA976" s="51"/>
      <c r="AB976" s="51"/>
    </row>
    <row r="977" customFormat="false" ht="15.75" hidden="false" customHeight="false" outlineLevel="0" collapsed="false">
      <c r="A977" s="51"/>
      <c r="B977" s="51"/>
      <c r="C977" s="6"/>
      <c r="D977" s="49"/>
      <c r="E977" s="51"/>
      <c r="F977" s="6"/>
      <c r="G977" s="6"/>
      <c r="H977" s="6"/>
      <c r="I977" s="6"/>
      <c r="J977" s="6"/>
      <c r="K977" s="51"/>
      <c r="L977" s="51"/>
      <c r="M977" s="51"/>
      <c r="N977" s="51"/>
      <c r="O977" s="51"/>
      <c r="P977" s="51"/>
      <c r="Q977" s="51"/>
      <c r="R977" s="51"/>
      <c r="S977" s="51"/>
      <c r="T977" s="51"/>
      <c r="U977" s="51"/>
      <c r="V977" s="51"/>
      <c r="W977" s="51"/>
      <c r="X977" s="51"/>
      <c r="Y977" s="51"/>
      <c r="Z977" s="51"/>
      <c r="AA977" s="51"/>
      <c r="AB977" s="51"/>
    </row>
    <row r="978" customFormat="false" ht="15.75" hidden="false" customHeight="false" outlineLevel="0" collapsed="false">
      <c r="A978" s="51"/>
      <c r="B978" s="51"/>
      <c r="C978" s="6"/>
      <c r="D978" s="49"/>
      <c r="E978" s="51"/>
      <c r="F978" s="6"/>
      <c r="G978" s="6"/>
      <c r="H978" s="6"/>
      <c r="I978" s="6"/>
      <c r="J978" s="6"/>
      <c r="K978" s="51"/>
      <c r="L978" s="51"/>
      <c r="M978" s="51"/>
      <c r="N978" s="51"/>
      <c r="O978" s="51"/>
      <c r="P978" s="51"/>
      <c r="Q978" s="51"/>
      <c r="R978" s="51"/>
      <c r="S978" s="51"/>
      <c r="T978" s="51"/>
      <c r="U978" s="51"/>
      <c r="V978" s="51"/>
      <c r="W978" s="51"/>
      <c r="X978" s="51"/>
      <c r="Y978" s="51"/>
      <c r="Z978" s="51"/>
      <c r="AA978" s="51"/>
      <c r="AB978" s="51"/>
    </row>
    <row r="979" customFormat="false" ht="15.75" hidden="false" customHeight="false" outlineLevel="0" collapsed="false">
      <c r="A979" s="51"/>
      <c r="B979" s="51"/>
      <c r="C979" s="6"/>
      <c r="D979" s="49"/>
      <c r="E979" s="51"/>
      <c r="F979" s="6"/>
      <c r="G979" s="6"/>
      <c r="H979" s="6"/>
      <c r="I979" s="6"/>
      <c r="J979" s="6"/>
      <c r="K979" s="51"/>
      <c r="L979" s="51"/>
      <c r="M979" s="51"/>
      <c r="N979" s="51"/>
      <c r="O979" s="51"/>
      <c r="P979" s="51"/>
      <c r="Q979" s="51"/>
      <c r="R979" s="51"/>
      <c r="S979" s="51"/>
      <c r="T979" s="51"/>
      <c r="U979" s="51"/>
      <c r="V979" s="51"/>
      <c r="W979" s="51"/>
      <c r="X979" s="51"/>
      <c r="Y979" s="51"/>
      <c r="Z979" s="51"/>
      <c r="AA979" s="51"/>
      <c r="AB979" s="51"/>
    </row>
    <row r="980" customFormat="false" ht="15.75" hidden="false" customHeight="false" outlineLevel="0" collapsed="false">
      <c r="A980" s="51"/>
      <c r="B980" s="51"/>
      <c r="C980" s="6"/>
      <c r="D980" s="49"/>
      <c r="E980" s="51"/>
      <c r="F980" s="6"/>
      <c r="G980" s="6"/>
      <c r="H980" s="6"/>
      <c r="I980" s="6"/>
      <c r="J980" s="6"/>
      <c r="K980" s="51"/>
      <c r="L980" s="51"/>
      <c r="M980" s="51"/>
      <c r="N980" s="51"/>
      <c r="O980" s="51"/>
      <c r="P980" s="51"/>
      <c r="Q980" s="51"/>
      <c r="R980" s="51"/>
      <c r="S980" s="51"/>
      <c r="T980" s="51"/>
      <c r="U980" s="51"/>
      <c r="V980" s="51"/>
      <c r="W980" s="51"/>
      <c r="X980" s="51"/>
      <c r="Y980" s="51"/>
      <c r="Z980" s="51"/>
      <c r="AA980" s="51"/>
      <c r="AB980" s="51"/>
    </row>
    <row r="981" customFormat="false" ht="15.75" hidden="false" customHeight="false" outlineLevel="0" collapsed="false">
      <c r="A981" s="51"/>
      <c r="B981" s="51"/>
      <c r="C981" s="6"/>
      <c r="D981" s="49"/>
      <c r="E981" s="51"/>
      <c r="F981" s="6"/>
      <c r="G981" s="6"/>
      <c r="H981" s="6"/>
      <c r="I981" s="6"/>
      <c r="J981" s="6"/>
      <c r="K981" s="51"/>
      <c r="L981" s="51"/>
      <c r="M981" s="51"/>
      <c r="N981" s="51"/>
      <c r="O981" s="51"/>
      <c r="P981" s="51"/>
      <c r="Q981" s="51"/>
      <c r="R981" s="51"/>
      <c r="S981" s="51"/>
      <c r="T981" s="51"/>
      <c r="U981" s="51"/>
      <c r="V981" s="51"/>
      <c r="W981" s="51"/>
      <c r="X981" s="51"/>
      <c r="Y981" s="51"/>
      <c r="Z981" s="51"/>
      <c r="AA981" s="51"/>
      <c r="AB981" s="51"/>
    </row>
    <row r="982" customFormat="false" ht="15.75" hidden="false" customHeight="false" outlineLevel="0" collapsed="false">
      <c r="A982" s="51"/>
      <c r="B982" s="51"/>
      <c r="C982" s="6"/>
      <c r="D982" s="49"/>
      <c r="E982" s="51"/>
      <c r="F982" s="6"/>
      <c r="G982" s="6"/>
      <c r="H982" s="6"/>
      <c r="I982" s="6"/>
      <c r="J982" s="6"/>
      <c r="K982" s="51"/>
      <c r="L982" s="51"/>
      <c r="M982" s="51"/>
      <c r="N982" s="51"/>
      <c r="O982" s="51"/>
      <c r="P982" s="51"/>
      <c r="Q982" s="51"/>
      <c r="R982" s="51"/>
      <c r="S982" s="51"/>
      <c r="T982" s="51"/>
      <c r="U982" s="51"/>
      <c r="V982" s="51"/>
      <c r="W982" s="51"/>
      <c r="X982" s="51"/>
      <c r="Y982" s="51"/>
      <c r="Z982" s="51"/>
      <c r="AA982" s="51"/>
      <c r="AB982" s="51"/>
    </row>
    <row r="983" customFormat="false" ht="15.75" hidden="false" customHeight="false" outlineLevel="0" collapsed="false">
      <c r="A983" s="51"/>
      <c r="B983" s="51"/>
      <c r="C983" s="6"/>
      <c r="D983" s="49"/>
      <c r="E983" s="51"/>
      <c r="F983" s="6"/>
      <c r="G983" s="6"/>
      <c r="H983" s="6"/>
      <c r="I983" s="6"/>
      <c r="J983" s="6"/>
      <c r="K983" s="51"/>
      <c r="L983" s="51"/>
      <c r="M983" s="51"/>
      <c r="N983" s="51"/>
      <c r="O983" s="51"/>
      <c r="P983" s="51"/>
      <c r="Q983" s="51"/>
      <c r="R983" s="51"/>
      <c r="S983" s="51"/>
      <c r="T983" s="51"/>
      <c r="U983" s="51"/>
      <c r="V983" s="51"/>
      <c r="W983" s="51"/>
      <c r="X983" s="51"/>
      <c r="Y983" s="51"/>
      <c r="Z983" s="51"/>
      <c r="AA983" s="51"/>
      <c r="AB983" s="51"/>
    </row>
    <row r="984" customFormat="false" ht="15.75" hidden="false" customHeight="false" outlineLevel="0" collapsed="false">
      <c r="A984" s="51"/>
      <c r="B984" s="51"/>
      <c r="C984" s="6"/>
      <c r="D984" s="49"/>
      <c r="E984" s="51"/>
      <c r="F984" s="6"/>
      <c r="G984" s="6"/>
      <c r="H984" s="6"/>
      <c r="I984" s="6"/>
      <c r="J984" s="6"/>
      <c r="K984" s="51"/>
      <c r="L984" s="51"/>
      <c r="M984" s="51"/>
      <c r="N984" s="51"/>
      <c r="O984" s="51"/>
      <c r="P984" s="51"/>
      <c r="Q984" s="51"/>
      <c r="R984" s="51"/>
      <c r="S984" s="51"/>
      <c r="T984" s="51"/>
      <c r="U984" s="51"/>
      <c r="V984" s="51"/>
      <c r="W984" s="51"/>
      <c r="X984" s="51"/>
      <c r="Y984" s="51"/>
      <c r="Z984" s="51"/>
      <c r="AA984" s="51"/>
      <c r="AB984" s="51"/>
    </row>
    <row r="985" customFormat="false" ht="15.75" hidden="false" customHeight="false" outlineLevel="0" collapsed="false">
      <c r="A985" s="51"/>
      <c r="B985" s="51"/>
      <c r="C985" s="6"/>
      <c r="D985" s="49"/>
      <c r="E985" s="51"/>
      <c r="F985" s="6"/>
      <c r="G985" s="6"/>
      <c r="H985" s="6"/>
      <c r="I985" s="6"/>
      <c r="J985" s="6"/>
      <c r="K985" s="51"/>
      <c r="L985" s="51"/>
      <c r="M985" s="51"/>
      <c r="N985" s="51"/>
      <c r="O985" s="51"/>
      <c r="P985" s="51"/>
      <c r="Q985" s="51"/>
      <c r="R985" s="51"/>
      <c r="S985" s="51"/>
      <c r="T985" s="51"/>
      <c r="U985" s="51"/>
      <c r="V985" s="51"/>
      <c r="W985" s="51"/>
      <c r="X985" s="51"/>
      <c r="Y985" s="51"/>
      <c r="Z985" s="51"/>
      <c r="AA985" s="51"/>
      <c r="AB985" s="51"/>
    </row>
    <row r="986" customFormat="false" ht="15.75" hidden="false" customHeight="false" outlineLevel="0" collapsed="false">
      <c r="A986" s="51"/>
      <c r="B986" s="51"/>
      <c r="C986" s="6"/>
      <c r="D986" s="49"/>
      <c r="E986" s="51"/>
      <c r="F986" s="6"/>
      <c r="G986" s="6"/>
      <c r="H986" s="6"/>
      <c r="I986" s="6"/>
      <c r="J986" s="6"/>
      <c r="K986" s="51"/>
      <c r="L986" s="51"/>
      <c r="M986" s="51"/>
      <c r="N986" s="51"/>
      <c r="O986" s="51"/>
      <c r="P986" s="51"/>
      <c r="Q986" s="51"/>
      <c r="R986" s="51"/>
      <c r="S986" s="51"/>
      <c r="T986" s="51"/>
      <c r="U986" s="51"/>
      <c r="V986" s="51"/>
      <c r="W986" s="51"/>
      <c r="X986" s="51"/>
      <c r="Y986" s="51"/>
      <c r="Z986" s="51"/>
      <c r="AA986" s="51"/>
      <c r="AB986" s="51"/>
    </row>
    <row r="987" customFormat="false" ht="15.75" hidden="false" customHeight="false" outlineLevel="0" collapsed="false">
      <c r="A987" s="51"/>
      <c r="B987" s="51"/>
      <c r="C987" s="6"/>
      <c r="D987" s="49"/>
      <c r="E987" s="51"/>
      <c r="F987" s="6"/>
      <c r="G987" s="6"/>
      <c r="H987" s="6"/>
      <c r="I987" s="6"/>
      <c r="J987" s="6"/>
      <c r="K987" s="51"/>
      <c r="L987" s="51"/>
      <c r="M987" s="51"/>
      <c r="N987" s="51"/>
      <c r="O987" s="51"/>
      <c r="P987" s="51"/>
      <c r="Q987" s="51"/>
      <c r="R987" s="51"/>
      <c r="S987" s="51"/>
      <c r="T987" s="51"/>
      <c r="U987" s="51"/>
      <c r="V987" s="51"/>
      <c r="W987" s="51"/>
      <c r="X987" s="51"/>
      <c r="Y987" s="51"/>
      <c r="Z987" s="51"/>
      <c r="AA987" s="51"/>
      <c r="AB987" s="51"/>
    </row>
    <row r="988" customFormat="false" ht="15.75" hidden="false" customHeight="false" outlineLevel="0" collapsed="false">
      <c r="A988" s="51"/>
      <c r="B988" s="51"/>
      <c r="C988" s="6"/>
      <c r="D988" s="49"/>
      <c r="E988" s="51"/>
      <c r="F988" s="6"/>
      <c r="G988" s="6"/>
      <c r="H988" s="6"/>
      <c r="I988" s="6"/>
      <c r="J988" s="6"/>
      <c r="K988" s="51"/>
      <c r="L988" s="51"/>
      <c r="M988" s="51"/>
      <c r="N988" s="51"/>
      <c r="O988" s="51"/>
      <c r="P988" s="51"/>
      <c r="Q988" s="51"/>
      <c r="R988" s="51"/>
      <c r="S988" s="51"/>
      <c r="T988" s="51"/>
      <c r="U988" s="51"/>
      <c r="V988" s="51"/>
      <c r="W988" s="51"/>
      <c r="X988" s="51"/>
      <c r="Y988" s="51"/>
      <c r="Z988" s="51"/>
      <c r="AA988" s="51"/>
      <c r="AB988" s="51"/>
    </row>
    <row r="989" customFormat="false" ht="15.75" hidden="false" customHeight="false" outlineLevel="0" collapsed="false">
      <c r="A989" s="51"/>
      <c r="B989" s="51"/>
      <c r="C989" s="6"/>
      <c r="D989" s="49"/>
      <c r="E989" s="51"/>
      <c r="F989" s="6"/>
      <c r="G989" s="6"/>
      <c r="H989" s="6"/>
      <c r="I989" s="6"/>
      <c r="J989" s="6"/>
      <c r="K989" s="51"/>
      <c r="L989" s="51"/>
      <c r="M989" s="51"/>
      <c r="N989" s="51"/>
      <c r="O989" s="51"/>
      <c r="P989" s="51"/>
      <c r="Q989" s="51"/>
      <c r="R989" s="51"/>
      <c r="S989" s="51"/>
      <c r="T989" s="51"/>
      <c r="U989" s="51"/>
      <c r="V989" s="51"/>
      <c r="W989" s="51"/>
      <c r="X989" s="51"/>
      <c r="Y989" s="51"/>
      <c r="Z989" s="51"/>
      <c r="AA989" s="51"/>
      <c r="AB989" s="51"/>
    </row>
    <row r="990" customFormat="false" ht="15.75" hidden="false" customHeight="false" outlineLevel="0" collapsed="false">
      <c r="A990" s="51"/>
      <c r="B990" s="51"/>
      <c r="C990" s="6"/>
      <c r="D990" s="49"/>
      <c r="E990" s="51"/>
      <c r="F990" s="6"/>
      <c r="G990" s="6"/>
      <c r="H990" s="6"/>
      <c r="I990" s="6"/>
      <c r="J990" s="6"/>
      <c r="K990" s="51"/>
      <c r="L990" s="51"/>
      <c r="M990" s="51"/>
      <c r="N990" s="51"/>
      <c r="O990" s="51"/>
      <c r="P990" s="51"/>
      <c r="Q990" s="51"/>
      <c r="R990" s="51"/>
      <c r="S990" s="51"/>
      <c r="T990" s="51"/>
      <c r="U990" s="51"/>
      <c r="V990" s="51"/>
      <c r="W990" s="51"/>
      <c r="X990" s="51"/>
      <c r="Y990" s="51"/>
      <c r="Z990" s="51"/>
      <c r="AA990" s="51"/>
      <c r="AB990" s="51"/>
    </row>
    <row r="991" customFormat="false" ht="15.75" hidden="false" customHeight="false" outlineLevel="0" collapsed="false">
      <c r="A991" s="51"/>
      <c r="B991" s="51"/>
      <c r="C991" s="6"/>
      <c r="D991" s="49"/>
      <c r="E991" s="51"/>
      <c r="F991" s="6"/>
      <c r="G991" s="6"/>
      <c r="H991" s="6"/>
      <c r="I991" s="6"/>
      <c r="J991" s="6"/>
      <c r="K991" s="51"/>
      <c r="L991" s="51"/>
      <c r="M991" s="51"/>
      <c r="N991" s="51"/>
      <c r="O991" s="51"/>
      <c r="P991" s="51"/>
      <c r="Q991" s="51"/>
      <c r="R991" s="51"/>
      <c r="S991" s="51"/>
      <c r="T991" s="51"/>
      <c r="U991" s="51"/>
      <c r="V991" s="51"/>
      <c r="W991" s="51"/>
      <c r="X991" s="51"/>
      <c r="Y991" s="51"/>
      <c r="Z991" s="51"/>
      <c r="AA991" s="51"/>
      <c r="AB991" s="51"/>
    </row>
    <row r="992" customFormat="false" ht="15.75" hidden="false" customHeight="false" outlineLevel="0" collapsed="false">
      <c r="A992" s="51"/>
      <c r="B992" s="51"/>
      <c r="C992" s="6"/>
      <c r="D992" s="49"/>
      <c r="E992" s="51"/>
      <c r="F992" s="6"/>
      <c r="G992" s="6"/>
      <c r="H992" s="6"/>
      <c r="I992" s="6"/>
      <c r="J992" s="6"/>
      <c r="K992" s="51"/>
      <c r="L992" s="51"/>
      <c r="M992" s="51"/>
      <c r="N992" s="51"/>
      <c r="O992" s="51"/>
      <c r="P992" s="51"/>
      <c r="Q992" s="51"/>
      <c r="R992" s="51"/>
      <c r="S992" s="51"/>
      <c r="T992" s="51"/>
      <c r="U992" s="51"/>
      <c r="V992" s="51"/>
      <c r="W992" s="51"/>
      <c r="X992" s="51"/>
      <c r="Y992" s="51"/>
      <c r="Z992" s="51"/>
      <c r="AA992" s="51"/>
      <c r="AB992" s="51"/>
    </row>
    <row r="993" customFormat="false" ht="15.75" hidden="false" customHeight="false" outlineLevel="0" collapsed="false">
      <c r="A993" s="51"/>
      <c r="B993" s="51"/>
      <c r="C993" s="6"/>
      <c r="D993" s="49"/>
      <c r="E993" s="51"/>
      <c r="F993" s="6"/>
      <c r="G993" s="6"/>
      <c r="H993" s="6"/>
      <c r="I993" s="6"/>
      <c r="J993" s="6"/>
      <c r="K993" s="51"/>
      <c r="L993" s="51"/>
      <c r="M993" s="51"/>
      <c r="N993" s="51"/>
      <c r="O993" s="51"/>
      <c r="P993" s="51"/>
      <c r="Q993" s="51"/>
      <c r="R993" s="51"/>
      <c r="S993" s="51"/>
      <c r="T993" s="51"/>
      <c r="U993" s="51"/>
      <c r="V993" s="51"/>
      <c r="W993" s="51"/>
      <c r="X993" s="51"/>
      <c r="Y993" s="51"/>
      <c r="Z993" s="51"/>
      <c r="AA993" s="51"/>
      <c r="AB993" s="51"/>
    </row>
    <row r="994" customFormat="false" ht="15.75" hidden="false" customHeight="false" outlineLevel="0" collapsed="false">
      <c r="A994" s="51"/>
      <c r="B994" s="51"/>
      <c r="C994" s="6"/>
      <c r="D994" s="49"/>
      <c r="E994" s="51"/>
      <c r="F994" s="6"/>
      <c r="G994" s="6"/>
      <c r="H994" s="6"/>
      <c r="I994" s="6"/>
      <c r="J994" s="6"/>
      <c r="K994" s="51"/>
      <c r="L994" s="51"/>
      <c r="M994" s="51"/>
      <c r="N994" s="51"/>
      <c r="O994" s="51"/>
      <c r="P994" s="51"/>
      <c r="Q994" s="51"/>
      <c r="R994" s="51"/>
      <c r="S994" s="51"/>
      <c r="T994" s="51"/>
      <c r="U994" s="51"/>
      <c r="V994" s="51"/>
      <c r="W994" s="51"/>
      <c r="X994" s="51"/>
      <c r="Y994" s="51"/>
      <c r="Z994" s="51"/>
      <c r="AA994" s="51"/>
      <c r="AB994" s="51"/>
    </row>
    <row r="995" customFormat="false" ht="15.75" hidden="false" customHeight="false" outlineLevel="0" collapsed="false">
      <c r="A995" s="51"/>
      <c r="B995" s="51"/>
      <c r="C995" s="6"/>
      <c r="D995" s="49"/>
      <c r="E995" s="51"/>
      <c r="F995" s="6"/>
      <c r="G995" s="6"/>
      <c r="H995" s="6"/>
      <c r="I995" s="6"/>
      <c r="J995" s="6"/>
      <c r="K995" s="51"/>
      <c r="L995" s="51"/>
      <c r="M995" s="51"/>
      <c r="N995" s="51"/>
      <c r="O995" s="51"/>
      <c r="P995" s="51"/>
      <c r="Q995" s="51"/>
      <c r="R995" s="51"/>
      <c r="S995" s="51"/>
      <c r="T995" s="51"/>
      <c r="U995" s="51"/>
      <c r="V995" s="51"/>
      <c r="W995" s="51"/>
      <c r="X995" s="51"/>
      <c r="Y995" s="51"/>
      <c r="Z995" s="51"/>
      <c r="AA995" s="51"/>
      <c r="AB995" s="51"/>
    </row>
    <row r="996" customFormat="false" ht="15.75" hidden="false" customHeight="false" outlineLevel="0" collapsed="false">
      <c r="A996" s="51"/>
      <c r="B996" s="51"/>
      <c r="C996" s="6"/>
      <c r="D996" s="49"/>
      <c r="E996" s="51"/>
      <c r="F996" s="6"/>
      <c r="G996" s="6"/>
      <c r="H996" s="6"/>
      <c r="I996" s="6"/>
      <c r="J996" s="6"/>
      <c r="K996" s="51"/>
      <c r="L996" s="51"/>
      <c r="M996" s="51"/>
      <c r="N996" s="51"/>
      <c r="O996" s="51"/>
      <c r="P996" s="51"/>
      <c r="Q996" s="51"/>
      <c r="R996" s="51"/>
      <c r="S996" s="51"/>
      <c r="T996" s="51"/>
      <c r="U996" s="51"/>
      <c r="V996" s="51"/>
      <c r="W996" s="51"/>
      <c r="X996" s="51"/>
      <c r="Y996" s="51"/>
      <c r="Z996" s="51"/>
      <c r="AA996" s="51"/>
      <c r="AB996" s="51"/>
    </row>
    <row r="997" customFormat="false" ht="15.75" hidden="false" customHeight="false" outlineLevel="0" collapsed="false">
      <c r="A997" s="51"/>
      <c r="B997" s="51"/>
      <c r="C997" s="6"/>
      <c r="D997" s="49"/>
      <c r="E997" s="51"/>
      <c r="F997" s="6"/>
      <c r="G997" s="6"/>
      <c r="H997" s="6"/>
      <c r="I997" s="6"/>
      <c r="J997" s="6"/>
      <c r="K997" s="51"/>
      <c r="L997" s="51"/>
      <c r="M997" s="51"/>
      <c r="N997" s="51"/>
      <c r="O997" s="51"/>
      <c r="P997" s="51"/>
      <c r="Q997" s="51"/>
      <c r="R997" s="51"/>
      <c r="S997" s="51"/>
      <c r="T997" s="51"/>
      <c r="U997" s="51"/>
      <c r="V997" s="51"/>
      <c r="W997" s="51"/>
      <c r="X997" s="51"/>
      <c r="Y997" s="51"/>
      <c r="Z997" s="51"/>
      <c r="AA997" s="51"/>
      <c r="AB997" s="51"/>
    </row>
    <row r="998" customFormat="false" ht="15.75" hidden="false" customHeight="false" outlineLevel="0" collapsed="false">
      <c r="A998" s="51"/>
      <c r="B998" s="51"/>
      <c r="C998" s="6"/>
      <c r="D998" s="49"/>
      <c r="E998" s="51"/>
      <c r="F998" s="6"/>
      <c r="G998" s="6"/>
      <c r="H998" s="6"/>
      <c r="I998" s="6"/>
      <c r="J998" s="6"/>
      <c r="K998" s="51"/>
      <c r="L998" s="51"/>
      <c r="M998" s="51"/>
      <c r="N998" s="51"/>
      <c r="O998" s="51"/>
      <c r="P998" s="51"/>
      <c r="Q998" s="51"/>
      <c r="R998" s="51"/>
      <c r="S998" s="51"/>
      <c r="T998" s="51"/>
      <c r="U998" s="51"/>
      <c r="V998" s="51"/>
      <c r="W998" s="51"/>
      <c r="X998" s="51"/>
      <c r="Y998" s="51"/>
      <c r="Z998" s="51"/>
      <c r="AA998" s="51"/>
      <c r="AB998" s="51"/>
    </row>
    <row r="999" customFormat="false" ht="15.75" hidden="false" customHeight="false" outlineLevel="0" collapsed="false">
      <c r="A999" s="51"/>
      <c r="B999" s="51"/>
      <c r="C999" s="6"/>
      <c r="D999" s="49"/>
      <c r="E999" s="51"/>
      <c r="F999" s="6"/>
      <c r="G999" s="6"/>
      <c r="H999" s="6"/>
      <c r="I999" s="6"/>
      <c r="J999" s="6"/>
      <c r="K999" s="51"/>
      <c r="L999" s="51"/>
      <c r="M999" s="51"/>
      <c r="N999" s="51"/>
      <c r="O999" s="51"/>
      <c r="P999" s="51"/>
      <c r="Q999" s="51"/>
      <c r="R999" s="51"/>
      <c r="S999" s="51"/>
      <c r="T999" s="51"/>
      <c r="U999" s="51"/>
      <c r="V999" s="51"/>
      <c r="W999" s="51"/>
      <c r="X999" s="51"/>
      <c r="Y999" s="51"/>
      <c r="Z999" s="51"/>
      <c r="AA999" s="51"/>
      <c r="AB999" s="51"/>
    </row>
    <row r="1000" customFormat="false" ht="15.75" hidden="false" customHeight="false" outlineLevel="0" collapsed="false">
      <c r="A1000" s="51"/>
      <c r="B1000" s="51"/>
      <c r="C1000" s="6"/>
      <c r="D1000" s="49"/>
      <c r="E1000" s="51"/>
      <c r="F1000" s="6"/>
      <c r="G1000" s="6"/>
      <c r="H1000" s="6"/>
      <c r="I1000" s="6"/>
      <c r="J1000" s="6"/>
      <c r="K1000" s="51"/>
      <c r="L1000" s="51"/>
      <c r="M1000" s="51"/>
      <c r="N1000" s="51"/>
      <c r="O1000" s="51"/>
      <c r="P1000" s="51"/>
      <c r="Q1000" s="51"/>
      <c r="R1000" s="51"/>
      <c r="S1000" s="51"/>
      <c r="T1000" s="51"/>
      <c r="U1000" s="51"/>
      <c r="V1000" s="51"/>
      <c r="W1000" s="51"/>
      <c r="X1000" s="51"/>
      <c r="Y1000" s="51"/>
      <c r="Z1000" s="51"/>
      <c r="AA1000" s="51"/>
      <c r="AB1000" s="51"/>
    </row>
    <row r="1001" customFormat="false" ht="15.75" hidden="false" customHeight="false" outlineLevel="0" collapsed="false">
      <c r="A1001" s="51"/>
      <c r="B1001" s="51"/>
      <c r="C1001" s="6"/>
      <c r="D1001" s="49"/>
      <c r="E1001" s="51"/>
      <c r="F1001" s="6"/>
      <c r="G1001" s="6"/>
      <c r="H1001" s="6"/>
      <c r="I1001" s="6"/>
      <c r="J1001" s="6"/>
      <c r="K1001" s="51"/>
      <c r="L1001" s="51"/>
      <c r="M1001" s="51"/>
      <c r="N1001" s="51"/>
      <c r="O1001" s="51"/>
      <c r="P1001" s="51"/>
      <c r="Q1001" s="51"/>
      <c r="R1001" s="51"/>
      <c r="S1001" s="51"/>
      <c r="T1001" s="51"/>
      <c r="U1001" s="51"/>
      <c r="V1001" s="51"/>
      <c r="W1001" s="51"/>
      <c r="X1001" s="51"/>
      <c r="Y1001" s="51"/>
      <c r="Z1001" s="51"/>
      <c r="AA1001" s="51"/>
      <c r="AB1001" s="51"/>
    </row>
    <row r="1002" customFormat="false" ht="15.75" hidden="false" customHeight="false" outlineLevel="0" collapsed="false">
      <c r="A1002" s="51"/>
      <c r="B1002" s="51"/>
      <c r="C1002" s="6"/>
      <c r="D1002" s="49"/>
      <c r="E1002" s="51"/>
      <c r="F1002" s="6"/>
      <c r="G1002" s="6"/>
      <c r="H1002" s="6"/>
      <c r="I1002" s="6"/>
      <c r="J1002" s="6"/>
      <c r="K1002" s="51"/>
      <c r="L1002" s="51"/>
      <c r="M1002" s="51"/>
      <c r="N1002" s="51"/>
      <c r="O1002" s="51"/>
      <c r="P1002" s="51"/>
      <c r="Q1002" s="51"/>
      <c r="R1002" s="51"/>
      <c r="S1002" s="51"/>
      <c r="T1002" s="51"/>
      <c r="U1002" s="51"/>
      <c r="V1002" s="51"/>
      <c r="W1002" s="51"/>
      <c r="X1002" s="51"/>
      <c r="Y1002" s="51"/>
      <c r="Z1002" s="51"/>
      <c r="AA1002" s="51"/>
      <c r="AB1002" s="51"/>
    </row>
  </sheetData>
  <mergeCells count="66">
    <mergeCell ref="A2:A5"/>
    <mergeCell ref="B2:B5"/>
    <mergeCell ref="A7:A10"/>
    <mergeCell ref="B7:B10"/>
    <mergeCell ref="A12:A15"/>
    <mergeCell ref="B12:B15"/>
    <mergeCell ref="A17:A20"/>
    <mergeCell ref="B17:B20"/>
    <mergeCell ref="A22:A25"/>
    <mergeCell ref="B22:B25"/>
    <mergeCell ref="A27:A30"/>
    <mergeCell ref="B27:B30"/>
    <mergeCell ref="A32:A35"/>
    <mergeCell ref="B32:B35"/>
    <mergeCell ref="A37:A40"/>
    <mergeCell ref="B37:B40"/>
    <mergeCell ref="A42:A45"/>
    <mergeCell ref="B42:B45"/>
    <mergeCell ref="A47:A50"/>
    <mergeCell ref="B47:B50"/>
    <mergeCell ref="A52:A55"/>
    <mergeCell ref="B52:B55"/>
    <mergeCell ref="A57:A60"/>
    <mergeCell ref="B57:B60"/>
    <mergeCell ref="A62:A65"/>
    <mergeCell ref="B62:B65"/>
    <mergeCell ref="A67:A70"/>
    <mergeCell ref="B67:B70"/>
    <mergeCell ref="A72:A75"/>
    <mergeCell ref="B72:B75"/>
    <mergeCell ref="A77:A80"/>
    <mergeCell ref="B77:B80"/>
    <mergeCell ref="A82:A85"/>
    <mergeCell ref="B82:B85"/>
    <mergeCell ref="A87:A90"/>
    <mergeCell ref="B87:B90"/>
    <mergeCell ref="A92:A95"/>
    <mergeCell ref="B92:B95"/>
    <mergeCell ref="A97:A100"/>
    <mergeCell ref="B97:B100"/>
    <mergeCell ref="A102:A105"/>
    <mergeCell ref="B102:B105"/>
    <mergeCell ref="A107:A110"/>
    <mergeCell ref="B107:B110"/>
    <mergeCell ref="A112:A115"/>
    <mergeCell ref="B112:B115"/>
    <mergeCell ref="A117:A120"/>
    <mergeCell ref="B117:B120"/>
    <mergeCell ref="A122:A125"/>
    <mergeCell ref="B122:B125"/>
    <mergeCell ref="A127:A130"/>
    <mergeCell ref="B127:B130"/>
    <mergeCell ref="A132:A135"/>
    <mergeCell ref="B132:B135"/>
    <mergeCell ref="A137:A140"/>
    <mergeCell ref="B137:B140"/>
    <mergeCell ref="A142:A145"/>
    <mergeCell ref="B142:B145"/>
    <mergeCell ref="A147:A150"/>
    <mergeCell ref="B147:B150"/>
    <mergeCell ref="A152:A155"/>
    <mergeCell ref="B152:B155"/>
    <mergeCell ref="A157:A160"/>
    <mergeCell ref="B157:B160"/>
    <mergeCell ref="A162:A165"/>
    <mergeCell ref="B162:B165"/>
  </mergeCells>
  <conditionalFormatting sqref="E12:E15 E17:E20 E22:E25 E27:E50 E52:E165">
    <cfRule type="colorScale" priority="2">
      <colorScale>
        <cfvo type="formula" val="0"/>
        <cfvo type="formula" val="1"/>
        <color rgb="FFFFFFFF"/>
        <color rgb="FFE67C73"/>
      </colorScale>
    </cfRule>
  </conditionalFormatting>
  <conditionalFormatting sqref="E2:E1002">
    <cfRule type="colorScale" priority="3">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F2:J1002" type="list">
      <formula1>"1,2,3,4,5"</formula1>
      <formula2>0</formula2>
    </dataValidation>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type="list">
      <formula1>"5W1H,Base,CoT,tldr"</formula1>
      <formula2>0</formula2>
    </dataValidation>
  </dataValidations>
  <hyperlinks>
    <hyperlink ref="A2" r:id="rId2" display="https://www.berria.eus/ekonomia/urte-eta-erdiko-kartzela-zigorra-eta-30000-euroko-kalte-ordainak-zorroza-gestion-enpresan-hil-zen-langileagatik_2124960_102.html"/>
    <hyperlink ref="A7" r:id="rId3" display="https://www.berria.eus/kirola/hirutik-hiru-jaka-mariezkurrenarentzat_2117677_102.html"/>
    <hyperlink ref="A12" r:id="rId4" display="https://www.berria.eus/bizigiro/larreen-eta-larrabereen-balioaz_2126273_102.html"/>
    <hyperlink ref="A17" r:id="rId5" display="https://www.berria.eus/kirola/olatua-hartuta-parisera_2121856_102.html"/>
    <hyperlink ref="A22" r:id="rId6" display="https://www.berria.eus/bizigiro/badago-ezkutuan-dagoen-sektore-bat-sarietatik-kanpo-idazten-ari-dena_2119644_102.html"/>
    <hyperlink ref="A27" r:id="rId7" display="https://www.berria.eus/bizigiro/istorioak-irudien-bidez-kontatzen-ditut-oso-hizkuntza-unibertsala-da_2121576_102.html"/>
    <hyperlink ref="A32" r:id="rId8" display="https://www.berria.eus/euskal-herria/etxeko-atxiloaldia-ezarri-diote-labioko-hiltzaileari_2124515_102.html"/>
    <hyperlink ref="A37" r:id="rId9" display="https://www.berria.eus/ekonomia/sektore-eolikoa-eta-milaka-lanpostu-desagertzeko-arriskuaz-ohartarazi-du-elak_233844_102.html"/>
    <hyperlink ref="A42" r:id="rId10" display="https://www.berria.eus/kultura/mikroipuinak-txikiak-baina-ez-hutsalak_2121931_102.html"/>
    <hyperlink ref="A47" r:id="rId11" display="https://www.berria.eus/euskal-herria/guardia-zibilak-dio-europako-speed-laborategi-handiena-aurkitu-duela-euskal-herrian_2125543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10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3" activeCellId="0" sqref="D3"/>
    </sheetView>
  </sheetViews>
  <sheetFormatPr defaultColWidth="12.6328125" defaultRowHeight="15.75" zeroHeight="false" outlineLevelRow="0" outlineLevelCol="0"/>
  <cols>
    <col collapsed="false" customWidth="true" hidden="false" outlineLevel="0" max="1" min="1" style="1" width="3"/>
    <col collapsed="false" customWidth="true" hidden="false" outlineLevel="0" max="2" min="2" style="1" width="63.88"/>
    <col collapsed="false" customWidth="true" hidden="false" outlineLevel="0" max="4" min="4" style="1" width="77"/>
    <col collapsed="false" customWidth="true" hidden="false" outlineLevel="0" max="5" min="5" style="1" width="5.75"/>
  </cols>
  <sheetData>
    <row r="1" customFormat="false" ht="15.75" hidden="false" customHeight="false" outlineLevel="0" collapsed="false">
      <c r="A1" s="3" t="s">
        <v>0</v>
      </c>
      <c r="B1" s="3" t="s">
        <v>27</v>
      </c>
      <c r="C1" s="3" t="s">
        <v>2</v>
      </c>
      <c r="D1" s="45" t="s">
        <v>29</v>
      </c>
      <c r="E1" s="46" t="s">
        <v>3</v>
      </c>
      <c r="F1" s="3" t="s">
        <v>4</v>
      </c>
      <c r="G1" s="3" t="s">
        <v>5</v>
      </c>
      <c r="H1" s="3" t="s">
        <v>6</v>
      </c>
      <c r="I1" s="3" t="s">
        <v>7</v>
      </c>
      <c r="J1" s="3" t="s">
        <v>8</v>
      </c>
      <c r="K1" s="3"/>
      <c r="L1" s="3"/>
      <c r="M1" s="3"/>
      <c r="N1" s="3"/>
      <c r="O1" s="3"/>
      <c r="P1" s="3"/>
      <c r="Q1" s="3"/>
      <c r="R1" s="3"/>
      <c r="S1" s="3"/>
      <c r="T1" s="3"/>
      <c r="U1" s="3"/>
      <c r="V1" s="3"/>
      <c r="W1" s="3"/>
      <c r="X1" s="3"/>
      <c r="Y1" s="3"/>
      <c r="Z1" s="3"/>
      <c r="AA1" s="3"/>
      <c r="AB1" s="3"/>
    </row>
    <row r="2" customFormat="false" ht="225" hidden="false" customHeight="true" outlineLevel="0" collapsed="false">
      <c r="A2" s="47" t="s">
        <v>30</v>
      </c>
      <c r="B2" s="48" t="s">
        <v>31</v>
      </c>
      <c r="C2" s="6" t="s">
        <v>18</v>
      </c>
      <c r="D2" s="49" t="s">
        <v>231</v>
      </c>
      <c r="E2" s="76" t="n">
        <f aca="false">IFERROR(__xludf.dummyfunction("COUNTA(SPLIT(D2,"" ""))/COUNTA(SPLIT($B$2,"" ""))"),0.425641025641026)</f>
        <v>0.4256410256</v>
      </c>
      <c r="F2" s="6" t="n">
        <v>4</v>
      </c>
      <c r="G2" s="6" t="n">
        <v>5</v>
      </c>
      <c r="H2" s="6" t="n">
        <v>5</v>
      </c>
      <c r="I2" s="6" t="n">
        <v>5</v>
      </c>
      <c r="J2" s="6" t="n">
        <v>4</v>
      </c>
      <c r="K2" s="51"/>
      <c r="L2" s="51"/>
      <c r="M2" s="51"/>
      <c r="N2" s="51"/>
      <c r="O2" s="51"/>
      <c r="P2" s="51"/>
      <c r="Q2" s="51"/>
      <c r="R2" s="51"/>
      <c r="S2" s="51"/>
      <c r="T2" s="51"/>
      <c r="U2" s="51"/>
      <c r="V2" s="51"/>
      <c r="W2" s="51"/>
      <c r="X2" s="51"/>
      <c r="Y2" s="51"/>
      <c r="Z2" s="51"/>
      <c r="AA2" s="51"/>
      <c r="AB2" s="51"/>
    </row>
    <row r="3" customFormat="false" ht="225" hidden="false" customHeight="true" outlineLevel="0" collapsed="false">
      <c r="A3" s="47"/>
      <c r="B3" s="47"/>
      <c r="C3" s="6" t="s">
        <v>19</v>
      </c>
      <c r="D3" s="106" t="s">
        <v>232</v>
      </c>
      <c r="E3" s="78" t="n">
        <f aca="false">IFERROR(__xludf.dummyfunction("COUNTA(SPLIT(D3,"" ""))/COUNTA(SPLIT($B$2,"" ""))"),0.266666666666667)</f>
        <v>0.2666666667</v>
      </c>
      <c r="F3" s="6" t="n">
        <v>4</v>
      </c>
      <c r="G3" s="6" t="n">
        <v>5</v>
      </c>
      <c r="H3" s="6" t="n">
        <v>5</v>
      </c>
      <c r="I3" s="6" t="n">
        <v>4</v>
      </c>
      <c r="J3" s="6" t="n">
        <v>3</v>
      </c>
      <c r="K3" s="51"/>
      <c r="L3" s="51"/>
      <c r="M3" s="51"/>
      <c r="N3" s="51"/>
      <c r="O3" s="51"/>
      <c r="P3" s="51"/>
      <c r="Q3" s="51"/>
      <c r="R3" s="51"/>
      <c r="S3" s="51"/>
      <c r="T3" s="51"/>
      <c r="U3" s="51"/>
      <c r="V3" s="51"/>
      <c r="W3" s="51"/>
      <c r="X3" s="51"/>
      <c r="Y3" s="51"/>
      <c r="Z3" s="51"/>
      <c r="AA3" s="51"/>
      <c r="AB3" s="51"/>
    </row>
    <row r="4" customFormat="false" ht="225" hidden="false" customHeight="true" outlineLevel="0" collapsed="false">
      <c r="A4" s="47"/>
      <c r="B4" s="47"/>
      <c r="C4" s="6" t="s">
        <v>8</v>
      </c>
      <c r="D4" s="49" t="s">
        <v>233</v>
      </c>
      <c r="E4" s="79" t="n">
        <f aca="false">IFERROR(__xludf.dummyfunction("COUNTA(SPLIT(D4,"" ""))/COUNTA(SPLIT($B$2,"" ""))"),0.594871794871795)</f>
        <v>0.5948717949</v>
      </c>
      <c r="F4" s="6" t="n">
        <v>3</v>
      </c>
      <c r="G4" s="6" t="n">
        <v>4</v>
      </c>
      <c r="H4" s="6" t="n">
        <v>4</v>
      </c>
      <c r="I4" s="6" t="n">
        <v>3</v>
      </c>
      <c r="J4" s="6" t="n">
        <v>5</v>
      </c>
      <c r="K4" s="51"/>
      <c r="L4" s="51"/>
      <c r="M4" s="51"/>
      <c r="N4" s="51"/>
      <c r="O4" s="51"/>
      <c r="P4" s="51"/>
      <c r="Q4" s="51"/>
      <c r="R4" s="51"/>
      <c r="S4" s="51"/>
      <c r="T4" s="51"/>
      <c r="U4" s="51"/>
      <c r="V4" s="51"/>
      <c r="W4" s="51"/>
      <c r="X4" s="51"/>
      <c r="Y4" s="51"/>
      <c r="Z4" s="51"/>
      <c r="AA4" s="51"/>
      <c r="AB4" s="51"/>
    </row>
    <row r="5" customFormat="false" ht="225" hidden="false" customHeight="true" outlineLevel="0" collapsed="false">
      <c r="A5" s="47"/>
      <c r="B5" s="47"/>
      <c r="C5" s="6" t="s">
        <v>20</v>
      </c>
      <c r="D5" s="49" t="s">
        <v>234</v>
      </c>
      <c r="E5" s="80" t="n">
        <f aca="false">IFERROR(__xludf.dummyfunction("COUNTA(SPLIT(D5,"" ""))/COUNTA(SPLIT($B$2,"" ""))"),0.276923076923077)</f>
        <v>0.2769230769</v>
      </c>
      <c r="F5" s="6" t="n">
        <v>4</v>
      </c>
      <c r="G5" s="6" t="n">
        <v>5</v>
      </c>
      <c r="H5" s="6" t="n">
        <v>5</v>
      </c>
      <c r="I5" s="6" t="n">
        <v>5</v>
      </c>
      <c r="J5" s="6" t="n">
        <v>3</v>
      </c>
      <c r="K5" s="51"/>
      <c r="L5" s="51"/>
      <c r="M5" s="51"/>
      <c r="N5" s="51"/>
      <c r="O5" s="51"/>
      <c r="P5" s="51"/>
      <c r="Q5" s="51"/>
      <c r="R5" s="51"/>
      <c r="S5" s="51"/>
      <c r="T5" s="51"/>
      <c r="U5" s="51"/>
      <c r="V5" s="51"/>
      <c r="W5" s="51"/>
      <c r="X5" s="51"/>
      <c r="Y5" s="51"/>
      <c r="Z5" s="51"/>
      <c r="AA5" s="51"/>
      <c r="AB5" s="51"/>
    </row>
    <row r="6" customFormat="false" ht="15.75" hidden="false" customHeight="false" outlineLevel="0" collapsed="false">
      <c r="A6" s="51"/>
      <c r="B6" s="51"/>
      <c r="C6" s="6"/>
      <c r="D6" s="49"/>
      <c r="E6" s="53"/>
      <c r="F6" s="6"/>
      <c r="G6" s="6"/>
      <c r="H6" s="6"/>
      <c r="I6" s="6"/>
      <c r="J6" s="6"/>
      <c r="K6" s="51"/>
      <c r="L6" s="51"/>
      <c r="M6" s="51"/>
      <c r="N6" s="51"/>
      <c r="O6" s="51"/>
      <c r="P6" s="51"/>
      <c r="Q6" s="51"/>
      <c r="R6" s="51"/>
      <c r="S6" s="51"/>
      <c r="T6" s="51"/>
      <c r="U6" s="51"/>
      <c r="V6" s="51"/>
      <c r="W6" s="51"/>
      <c r="X6" s="51"/>
      <c r="Y6" s="51"/>
      <c r="Z6" s="51"/>
      <c r="AA6" s="51"/>
      <c r="AB6" s="51"/>
    </row>
    <row r="7" customFormat="false" ht="225" hidden="false" customHeight="true" outlineLevel="0" collapsed="false">
      <c r="A7" s="54" t="s">
        <v>35</v>
      </c>
      <c r="B7" s="55" t="s">
        <v>36</v>
      </c>
      <c r="C7" s="56" t="s">
        <v>18</v>
      </c>
      <c r="D7" s="57" t="s">
        <v>235</v>
      </c>
      <c r="E7" s="81" t="n">
        <f aca="false">IFERROR(__xludf.dummyfunction("COUNTA(SPLIT(D7,"" ""))/COUNTA(SPLIT($B$7,"" ""))"),0.363095238095238)</f>
        <v>0.3630952381</v>
      </c>
      <c r="F7" s="56" t="n">
        <v>5</v>
      </c>
      <c r="G7" s="56" t="n">
        <v>4</v>
      </c>
      <c r="H7" s="56" t="n">
        <v>5</v>
      </c>
      <c r="I7" s="56" t="n">
        <v>5</v>
      </c>
      <c r="J7" s="56" t="n">
        <v>5</v>
      </c>
      <c r="K7" s="59"/>
      <c r="L7" s="59"/>
      <c r="M7" s="59"/>
      <c r="N7" s="59"/>
      <c r="O7" s="59"/>
      <c r="P7" s="59"/>
      <c r="Q7" s="59"/>
      <c r="R7" s="59"/>
      <c r="S7" s="59"/>
      <c r="T7" s="59"/>
      <c r="U7" s="59"/>
      <c r="V7" s="59"/>
      <c r="W7" s="59"/>
      <c r="X7" s="59"/>
      <c r="Y7" s="59"/>
      <c r="Z7" s="59"/>
      <c r="AA7" s="59"/>
      <c r="AB7" s="59"/>
    </row>
    <row r="8" customFormat="false" ht="225" hidden="false" customHeight="true" outlineLevel="0" collapsed="false">
      <c r="A8" s="54"/>
      <c r="B8" s="54"/>
      <c r="C8" s="6" t="s">
        <v>19</v>
      </c>
      <c r="D8" s="77" t="s">
        <v>236</v>
      </c>
      <c r="E8" s="82" t="n">
        <f aca="false">IFERROR(__xludf.dummyfunction("COUNTA(SPLIT(D8,"" ""))/COUNTA(SPLIT($B$7,"" ""))"),0.458333333333333)</f>
        <v>0.4583333333</v>
      </c>
      <c r="F8" s="6" t="n">
        <v>3</v>
      </c>
      <c r="G8" s="6" t="n">
        <v>4</v>
      </c>
      <c r="H8" s="6" t="n">
        <v>3</v>
      </c>
      <c r="I8" s="6" t="n">
        <v>4</v>
      </c>
      <c r="J8" s="6" t="n">
        <v>3</v>
      </c>
      <c r="K8" s="51"/>
      <c r="L8" s="51"/>
      <c r="M8" s="51"/>
      <c r="N8" s="51"/>
      <c r="O8" s="51"/>
      <c r="P8" s="51"/>
      <c r="Q8" s="51"/>
      <c r="R8" s="51"/>
      <c r="S8" s="51"/>
      <c r="T8" s="51"/>
      <c r="U8" s="51"/>
      <c r="V8" s="51"/>
      <c r="W8" s="51"/>
      <c r="X8" s="51"/>
      <c r="Y8" s="51"/>
      <c r="Z8" s="51"/>
      <c r="AA8" s="51"/>
      <c r="AB8" s="51"/>
    </row>
    <row r="9" customFormat="false" ht="225" hidden="false" customHeight="true" outlineLevel="0" collapsed="false">
      <c r="A9" s="54"/>
      <c r="B9" s="54"/>
      <c r="C9" s="6" t="s">
        <v>8</v>
      </c>
      <c r="D9" s="77" t="s">
        <v>237</v>
      </c>
      <c r="E9" s="83" t="n">
        <f aca="false">IFERROR(__xludf.dummyfunction("COUNTA(SPLIT(D9,"" ""))/COUNTA(SPLIT($B$7,"" ""))"),0.726190476190476)</f>
        <v>0.7261904762</v>
      </c>
      <c r="F9" s="6" t="n">
        <v>2</v>
      </c>
      <c r="G9" s="6" t="n">
        <v>4</v>
      </c>
      <c r="H9" s="6" t="n">
        <v>4</v>
      </c>
      <c r="I9" s="6" t="n">
        <v>3</v>
      </c>
      <c r="J9" s="6" t="n">
        <v>3</v>
      </c>
      <c r="K9" s="51"/>
      <c r="L9" s="51"/>
      <c r="M9" s="51"/>
      <c r="N9" s="51"/>
      <c r="O9" s="51"/>
      <c r="P9" s="51"/>
      <c r="Q9" s="51"/>
      <c r="R9" s="51"/>
      <c r="S9" s="51"/>
      <c r="T9" s="51"/>
      <c r="U9" s="51"/>
      <c r="V9" s="51"/>
      <c r="W9" s="51"/>
      <c r="X9" s="51"/>
      <c r="Y9" s="51"/>
      <c r="Z9" s="51"/>
      <c r="AA9" s="51"/>
      <c r="AB9" s="51"/>
    </row>
    <row r="10" customFormat="false" ht="225" hidden="false" customHeight="true" outlineLevel="0" collapsed="false">
      <c r="A10" s="54"/>
      <c r="B10" s="54"/>
      <c r="C10" s="6" t="s">
        <v>20</v>
      </c>
      <c r="D10" s="49" t="s">
        <v>238</v>
      </c>
      <c r="E10" s="66" t="n">
        <f aca="false">IFERROR(__xludf.dummyfunction("COUNTA(SPLIT(D10,"" ""))/COUNTA(SPLIT($B$7,"" ""))"),0.31547619047619)</f>
        <v>0.3154761905</v>
      </c>
      <c r="F10" s="6" t="n">
        <v>4</v>
      </c>
      <c r="G10" s="6" t="n">
        <v>5</v>
      </c>
      <c r="H10" s="6" t="n">
        <v>4</v>
      </c>
      <c r="I10" s="6" t="n">
        <v>5</v>
      </c>
      <c r="J10" s="6" t="n">
        <v>3</v>
      </c>
      <c r="K10" s="51"/>
      <c r="L10" s="51"/>
      <c r="M10" s="51"/>
      <c r="N10" s="51"/>
      <c r="O10" s="51"/>
      <c r="P10" s="51"/>
      <c r="Q10" s="51"/>
      <c r="R10" s="51"/>
      <c r="S10" s="51"/>
      <c r="T10" s="51"/>
      <c r="U10" s="51"/>
      <c r="V10" s="51"/>
      <c r="W10" s="51"/>
      <c r="X10" s="51"/>
      <c r="Y10" s="51"/>
      <c r="Z10" s="51"/>
      <c r="AA10" s="51"/>
      <c r="AB10" s="51"/>
    </row>
    <row r="11" customFormat="false" ht="15.75" hidden="false" customHeight="false" outlineLevel="0" collapsed="false">
      <c r="A11" s="51"/>
      <c r="B11" s="51"/>
      <c r="C11" s="6"/>
      <c r="D11" s="49"/>
      <c r="E11" s="53"/>
      <c r="F11" s="6"/>
      <c r="G11" s="6"/>
      <c r="H11" s="6"/>
      <c r="I11" s="6"/>
      <c r="J11" s="6"/>
      <c r="K11" s="51"/>
      <c r="L11" s="51"/>
      <c r="M11" s="51"/>
      <c r="N11" s="51"/>
      <c r="O11" s="51"/>
      <c r="P11" s="51"/>
      <c r="Q11" s="51"/>
      <c r="R11" s="51"/>
      <c r="S11" s="51"/>
      <c r="T11" s="51"/>
      <c r="U11" s="51"/>
      <c r="V11" s="51"/>
      <c r="W11" s="51"/>
      <c r="X11" s="51"/>
      <c r="Y11" s="51"/>
      <c r="Z11" s="51"/>
      <c r="AA11" s="51"/>
      <c r="AB11" s="51"/>
    </row>
    <row r="12" customFormat="false" ht="225" hidden="false" customHeight="true" outlineLevel="0" collapsed="false">
      <c r="A12" s="54" t="s">
        <v>39</v>
      </c>
      <c r="B12" s="55" t="s">
        <v>40</v>
      </c>
      <c r="C12" s="56" t="s">
        <v>18</v>
      </c>
      <c r="D12" s="57" t="s">
        <v>239</v>
      </c>
      <c r="E12" s="84" t="n">
        <f aca="false">IFERROR(__xludf.dummyfunction("COUNTA(SPLIT(D12,"" ""))/COUNTA(SPLIT($B$12,"" ""))"),0.130434782608696)</f>
        <v>0.1304347826</v>
      </c>
      <c r="F12" s="56" t="n">
        <v>4</v>
      </c>
      <c r="G12" s="56" t="n">
        <v>4</v>
      </c>
      <c r="H12" s="56" t="n">
        <v>4</v>
      </c>
      <c r="I12" s="56" t="n">
        <v>4</v>
      </c>
      <c r="J12" s="56" t="n">
        <v>4</v>
      </c>
      <c r="K12" s="59"/>
      <c r="L12" s="59"/>
      <c r="M12" s="59"/>
      <c r="N12" s="59"/>
      <c r="O12" s="59"/>
      <c r="P12" s="59"/>
      <c r="Q12" s="59"/>
      <c r="R12" s="59"/>
      <c r="S12" s="59"/>
      <c r="T12" s="59"/>
      <c r="U12" s="59"/>
      <c r="V12" s="59"/>
      <c r="W12" s="59"/>
      <c r="X12" s="59"/>
      <c r="Y12" s="59"/>
      <c r="Z12" s="59"/>
      <c r="AA12" s="59"/>
      <c r="AB12" s="59"/>
    </row>
    <row r="13" customFormat="false" ht="225" hidden="false" customHeight="true" outlineLevel="0" collapsed="false">
      <c r="A13" s="54"/>
      <c r="B13" s="54"/>
      <c r="C13" s="6" t="s">
        <v>19</v>
      </c>
      <c r="D13" s="49" t="s">
        <v>240</v>
      </c>
      <c r="E13" s="84" t="n">
        <f aca="false">IFERROR(__xludf.dummyfunction("COUNTA(SPLIT(D13,"" ""))/COUNTA(SPLIT($B$12,"" ""))"),0.224256292906179)</f>
        <v>0.2242562929</v>
      </c>
      <c r="F13" s="6" t="n">
        <v>4</v>
      </c>
      <c r="G13" s="6" t="n">
        <v>4</v>
      </c>
      <c r="H13" s="6" t="n">
        <v>4</v>
      </c>
      <c r="I13" s="6" t="n">
        <v>3</v>
      </c>
      <c r="J13" s="6" t="n">
        <v>2</v>
      </c>
      <c r="K13" s="51"/>
      <c r="L13" s="51"/>
      <c r="M13" s="51"/>
      <c r="N13" s="51"/>
      <c r="O13" s="51"/>
      <c r="P13" s="51"/>
      <c r="Q13" s="51"/>
      <c r="R13" s="51"/>
      <c r="S13" s="51"/>
      <c r="T13" s="51"/>
      <c r="U13" s="51"/>
      <c r="V13" s="51"/>
      <c r="W13" s="51"/>
      <c r="X13" s="51"/>
      <c r="Y13" s="51"/>
      <c r="Z13" s="51"/>
      <c r="AA13" s="51"/>
      <c r="AB13" s="51"/>
    </row>
    <row r="14" customFormat="false" ht="225" hidden="false" customHeight="true" outlineLevel="0" collapsed="false">
      <c r="A14" s="54"/>
      <c r="B14" s="54"/>
      <c r="C14" s="6" t="s">
        <v>8</v>
      </c>
      <c r="D14" s="49" t="s">
        <v>241</v>
      </c>
      <c r="E14" s="85" t="n">
        <f aca="false">IFERROR(__xludf.dummyfunction("COUNTA(SPLIT(D14,"" ""))/COUNTA(SPLIT($B$12,"" ""))"),0.219679633867277)</f>
        <v>0.2196796339</v>
      </c>
      <c r="F14" s="6" t="n">
        <v>2</v>
      </c>
      <c r="G14" s="6" t="n">
        <v>4</v>
      </c>
      <c r="H14" s="6" t="n">
        <v>4</v>
      </c>
      <c r="I14" s="6" t="n">
        <v>4</v>
      </c>
      <c r="J14" s="6" t="n">
        <v>4</v>
      </c>
      <c r="K14" s="51"/>
      <c r="L14" s="51"/>
      <c r="M14" s="51"/>
      <c r="N14" s="51"/>
      <c r="O14" s="51"/>
      <c r="P14" s="51"/>
      <c r="Q14" s="51"/>
      <c r="R14" s="51"/>
      <c r="S14" s="51"/>
      <c r="T14" s="51"/>
      <c r="U14" s="51"/>
      <c r="V14" s="51"/>
      <c r="W14" s="51"/>
      <c r="X14" s="51"/>
      <c r="Y14" s="51"/>
      <c r="Z14" s="51"/>
      <c r="AA14" s="51"/>
      <c r="AB14" s="51"/>
    </row>
    <row r="15" customFormat="false" ht="225" hidden="false" customHeight="true" outlineLevel="0" collapsed="false">
      <c r="A15" s="54"/>
      <c r="B15" s="54"/>
      <c r="C15" s="6" t="s">
        <v>20</v>
      </c>
      <c r="D15" s="49" t="s">
        <v>242</v>
      </c>
      <c r="E15" s="86" t="n">
        <f aca="false">IFERROR(__xludf.dummyfunction("COUNTA(SPLIT(D15,"" ""))/COUNTA(SPLIT($B$12,"" ""))"),0.118993135011442)</f>
        <v>0.118993135</v>
      </c>
      <c r="F15" s="6" t="n">
        <v>4</v>
      </c>
      <c r="G15" s="6" t="n">
        <v>4</v>
      </c>
      <c r="H15" s="6" t="n">
        <v>4</v>
      </c>
      <c r="I15" s="6" t="n">
        <v>4</v>
      </c>
      <c r="J15" s="6" t="n">
        <v>3</v>
      </c>
      <c r="K15" s="51"/>
      <c r="L15" s="51"/>
      <c r="M15" s="51"/>
      <c r="N15" s="51"/>
      <c r="O15" s="51"/>
      <c r="P15" s="51"/>
      <c r="Q15" s="51"/>
      <c r="R15" s="51"/>
      <c r="S15" s="51"/>
      <c r="T15" s="51"/>
      <c r="U15" s="51"/>
      <c r="V15" s="51"/>
      <c r="W15" s="51"/>
      <c r="X15" s="51"/>
      <c r="Y15" s="51"/>
      <c r="Z15" s="51"/>
      <c r="AA15" s="51"/>
      <c r="AB15" s="51"/>
    </row>
    <row r="16" customFormat="false" ht="15.75" hidden="false" customHeight="false" outlineLevel="0" collapsed="false">
      <c r="A16" s="51"/>
      <c r="B16" s="51"/>
      <c r="C16" s="6"/>
      <c r="D16" s="49"/>
      <c r="E16" s="53"/>
      <c r="F16" s="6"/>
      <c r="G16" s="6"/>
      <c r="H16" s="6"/>
      <c r="I16" s="6"/>
      <c r="J16" s="6"/>
      <c r="K16" s="51"/>
      <c r="L16" s="51"/>
      <c r="M16" s="51"/>
      <c r="N16" s="51"/>
      <c r="O16" s="51"/>
      <c r="P16" s="51"/>
      <c r="Q16" s="51"/>
      <c r="R16" s="51"/>
      <c r="S16" s="51"/>
      <c r="T16" s="51"/>
      <c r="U16" s="51"/>
      <c r="V16" s="51"/>
      <c r="W16" s="51"/>
      <c r="X16" s="51"/>
      <c r="Y16" s="51"/>
      <c r="Z16" s="51"/>
      <c r="AA16" s="51"/>
      <c r="AB16" s="51"/>
    </row>
    <row r="17" customFormat="false" ht="225" hidden="false" customHeight="true" outlineLevel="0" collapsed="false">
      <c r="A17" s="54" t="s">
        <v>43</v>
      </c>
      <c r="B17" s="55" t="s">
        <v>44</v>
      </c>
      <c r="C17" s="56" t="s">
        <v>18</v>
      </c>
      <c r="D17" s="57" t="s">
        <v>243</v>
      </c>
      <c r="E17" s="87" t="n">
        <f aca="false">IFERROR(__xludf.dummyfunction("COUNTA(SPLIT(D17,"" ""))/COUNTA(SPLIT($B$17,"" ""))"),0.307106598984772)</f>
        <v>0.307106599</v>
      </c>
      <c r="F17" s="56" t="n">
        <v>3</v>
      </c>
      <c r="G17" s="56" t="n">
        <v>5</v>
      </c>
      <c r="H17" s="56" t="n">
        <v>4</v>
      </c>
      <c r="I17" s="56" t="n">
        <v>4</v>
      </c>
      <c r="J17" s="56" t="n">
        <v>5</v>
      </c>
      <c r="K17" s="59"/>
      <c r="L17" s="59"/>
      <c r="M17" s="59"/>
      <c r="N17" s="59"/>
      <c r="O17" s="59"/>
      <c r="P17" s="59"/>
      <c r="Q17" s="59"/>
      <c r="R17" s="59"/>
      <c r="S17" s="59"/>
      <c r="T17" s="59"/>
      <c r="U17" s="59"/>
      <c r="V17" s="59"/>
      <c r="W17" s="59"/>
      <c r="X17" s="59"/>
      <c r="Y17" s="59"/>
      <c r="Z17" s="59"/>
      <c r="AA17" s="59"/>
      <c r="AB17" s="59"/>
    </row>
    <row r="18" customFormat="false" ht="225" hidden="false" customHeight="true" outlineLevel="0" collapsed="false">
      <c r="A18" s="54"/>
      <c r="B18" s="54"/>
      <c r="C18" s="6" t="s">
        <v>19</v>
      </c>
      <c r="D18" s="49" t="s">
        <v>244</v>
      </c>
      <c r="E18" s="88" t="n">
        <f aca="false">IFERROR(__xludf.dummyfunction("COUNTA(SPLIT(D18,"" ""))/COUNTA(SPLIT($B$17,"" ""))"),0.195431472081218)</f>
        <v>0.1954314721</v>
      </c>
      <c r="F18" s="6" t="n">
        <v>4</v>
      </c>
      <c r="G18" s="6" t="n">
        <v>4</v>
      </c>
      <c r="H18" s="6" t="n">
        <v>4</v>
      </c>
      <c r="I18" s="6" t="n">
        <v>3</v>
      </c>
      <c r="J18" s="6" t="n">
        <v>2</v>
      </c>
      <c r="K18" s="51"/>
      <c r="L18" s="51"/>
      <c r="M18" s="51"/>
      <c r="N18" s="51"/>
      <c r="O18" s="51"/>
      <c r="P18" s="51"/>
      <c r="Q18" s="51"/>
      <c r="R18" s="51"/>
      <c r="S18" s="51"/>
      <c r="T18" s="51"/>
      <c r="U18" s="51"/>
      <c r="V18" s="51"/>
      <c r="W18" s="51"/>
      <c r="X18" s="51"/>
      <c r="Y18" s="51"/>
      <c r="Z18" s="51"/>
      <c r="AA18" s="51"/>
      <c r="AB18" s="51"/>
    </row>
    <row r="19" customFormat="false" ht="225" hidden="false" customHeight="true" outlineLevel="0" collapsed="false">
      <c r="A19" s="54"/>
      <c r="B19" s="54"/>
      <c r="C19" s="6" t="s">
        <v>8</v>
      </c>
      <c r="D19" s="49" t="s">
        <v>245</v>
      </c>
      <c r="E19" s="84" t="n">
        <f aca="false">IFERROR(__xludf.dummyfunction("COUNTA(SPLIT(D19,"" ""))/COUNTA(SPLIT($B$17,"" ""))"),0.238578680203046)</f>
        <v>0.2385786802</v>
      </c>
      <c r="F19" s="6" t="n">
        <v>3</v>
      </c>
      <c r="G19" s="6" t="n">
        <v>5</v>
      </c>
      <c r="H19" s="6" t="n">
        <v>4</v>
      </c>
      <c r="I19" s="6" t="n">
        <v>5</v>
      </c>
      <c r="J19" s="6" t="n">
        <v>3</v>
      </c>
      <c r="K19" s="51"/>
      <c r="L19" s="51"/>
      <c r="M19" s="51"/>
      <c r="N19" s="51"/>
      <c r="O19" s="51"/>
      <c r="P19" s="51"/>
      <c r="Q19" s="51"/>
      <c r="R19" s="51"/>
      <c r="S19" s="51"/>
      <c r="T19" s="51"/>
      <c r="U19" s="51"/>
      <c r="V19" s="51"/>
      <c r="W19" s="51"/>
      <c r="X19" s="51"/>
      <c r="Y19" s="51"/>
      <c r="Z19" s="51"/>
      <c r="AA19" s="51"/>
      <c r="AB19" s="51"/>
    </row>
    <row r="20" customFormat="false" ht="225" hidden="false" customHeight="true" outlineLevel="0" collapsed="false">
      <c r="A20" s="54"/>
      <c r="B20" s="54"/>
      <c r="C20" s="6" t="s">
        <v>20</v>
      </c>
      <c r="D20" s="49" t="s">
        <v>246</v>
      </c>
      <c r="E20" s="89" t="n">
        <f aca="false">IFERROR(__xludf.dummyfunction("COUNTA(SPLIT(D20,"" ""))/COUNTA(SPLIT($B$17,"" ""))"),0.149746192893401)</f>
        <v>0.1497461929</v>
      </c>
      <c r="F20" s="6" t="n">
        <v>4</v>
      </c>
      <c r="G20" s="6" t="n">
        <v>4</v>
      </c>
      <c r="H20" s="6" t="n">
        <v>3</v>
      </c>
      <c r="I20" s="6" t="n">
        <v>5</v>
      </c>
      <c r="J20" s="6" t="n">
        <v>4</v>
      </c>
      <c r="K20" s="51"/>
      <c r="L20" s="51"/>
      <c r="M20" s="51"/>
      <c r="N20" s="51"/>
      <c r="O20" s="51"/>
      <c r="P20" s="51"/>
      <c r="Q20" s="51"/>
      <c r="R20" s="51"/>
      <c r="S20" s="51"/>
      <c r="T20" s="51"/>
      <c r="U20" s="51"/>
      <c r="V20" s="51"/>
      <c r="W20" s="51"/>
      <c r="X20" s="51"/>
      <c r="Y20" s="51"/>
      <c r="Z20" s="51"/>
      <c r="AA20" s="51"/>
      <c r="AB20" s="51"/>
    </row>
    <row r="21" customFormat="false" ht="15.75" hidden="false" customHeight="false" outlineLevel="0" collapsed="false">
      <c r="A21" s="51"/>
      <c r="B21" s="51"/>
      <c r="C21" s="6"/>
      <c r="D21" s="49"/>
      <c r="E21" s="53"/>
      <c r="F21" s="6"/>
      <c r="G21" s="6"/>
      <c r="H21" s="6"/>
      <c r="I21" s="6"/>
      <c r="J21" s="6"/>
      <c r="K21" s="51"/>
      <c r="L21" s="51"/>
      <c r="M21" s="51"/>
      <c r="N21" s="51"/>
      <c r="O21" s="51"/>
      <c r="P21" s="51"/>
      <c r="Q21" s="51"/>
      <c r="R21" s="51"/>
      <c r="S21" s="51"/>
      <c r="T21" s="51"/>
      <c r="U21" s="51"/>
      <c r="V21" s="51"/>
      <c r="W21" s="51"/>
      <c r="X21" s="51"/>
      <c r="Y21" s="51"/>
      <c r="Z21" s="51"/>
      <c r="AA21" s="51"/>
      <c r="AB21" s="51"/>
    </row>
    <row r="22" customFormat="false" ht="225" hidden="false" customHeight="true" outlineLevel="0" collapsed="false">
      <c r="A22" s="54" t="s">
        <v>47</v>
      </c>
      <c r="B22" s="55" t="s">
        <v>48</v>
      </c>
      <c r="C22" s="56" t="s">
        <v>18</v>
      </c>
      <c r="D22" s="57" t="s">
        <v>247</v>
      </c>
      <c r="E22" s="90" t="n">
        <f aca="false">IFERROR(__xludf.dummyfunction("COUNTA(SPLIT(D22,"" ""))/COUNTA(SPLIT($B$22,"" ""))"),0.235955056179775)</f>
        <v>0.2359550562</v>
      </c>
      <c r="F22" s="56" t="n">
        <v>3</v>
      </c>
      <c r="G22" s="56" t="n">
        <v>4</v>
      </c>
      <c r="H22" s="56" t="n">
        <v>4</v>
      </c>
      <c r="I22" s="56" t="n">
        <v>4</v>
      </c>
      <c r="J22" s="56" t="n">
        <v>3</v>
      </c>
      <c r="K22" s="59"/>
      <c r="L22" s="59"/>
      <c r="M22" s="59"/>
      <c r="N22" s="59"/>
      <c r="O22" s="59"/>
      <c r="P22" s="59"/>
      <c r="Q22" s="59"/>
      <c r="R22" s="59"/>
      <c r="S22" s="59"/>
      <c r="T22" s="59"/>
      <c r="U22" s="59"/>
      <c r="V22" s="59"/>
      <c r="W22" s="59"/>
      <c r="X22" s="59"/>
      <c r="Y22" s="59"/>
      <c r="Z22" s="59"/>
      <c r="AA22" s="59"/>
      <c r="AB22" s="59"/>
    </row>
    <row r="23" customFormat="false" ht="225" hidden="false" customHeight="true" outlineLevel="0" collapsed="false">
      <c r="A23" s="54"/>
      <c r="B23" s="54"/>
      <c r="C23" s="6" t="s">
        <v>19</v>
      </c>
      <c r="D23" s="77" t="s">
        <v>248</v>
      </c>
      <c r="E23" s="91" t="n">
        <f aca="false">IFERROR(__xludf.dummyfunction("COUNTA(SPLIT(D23,"" ""))/COUNTA(SPLIT($B$22,"" ""))"),0.21123595505618)</f>
        <v>0.2112359551</v>
      </c>
      <c r="F23" s="6" t="n">
        <v>5</v>
      </c>
      <c r="G23" s="6" t="n">
        <v>4</v>
      </c>
      <c r="H23" s="6" t="n">
        <v>4</v>
      </c>
      <c r="I23" s="6" t="n">
        <v>3</v>
      </c>
      <c r="J23" s="6" t="n">
        <v>2</v>
      </c>
      <c r="K23" s="51"/>
      <c r="L23" s="51"/>
      <c r="M23" s="51"/>
      <c r="N23" s="51"/>
      <c r="O23" s="51"/>
      <c r="P23" s="51"/>
      <c r="Q23" s="51"/>
      <c r="R23" s="51"/>
      <c r="S23" s="51"/>
      <c r="T23" s="51"/>
      <c r="U23" s="51"/>
      <c r="V23" s="51"/>
      <c r="W23" s="51"/>
      <c r="X23" s="51"/>
      <c r="Y23" s="51"/>
      <c r="Z23" s="51"/>
      <c r="AA23" s="51"/>
      <c r="AB23" s="51"/>
    </row>
    <row r="24" customFormat="false" ht="225" hidden="false" customHeight="true" outlineLevel="0" collapsed="false">
      <c r="A24" s="54"/>
      <c r="B24" s="54"/>
      <c r="C24" s="6" t="s">
        <v>8</v>
      </c>
      <c r="D24" s="49" t="s">
        <v>249</v>
      </c>
      <c r="E24" s="92" t="n">
        <f aca="false">IFERROR(__xludf.dummyfunction("COUNTA(SPLIT(D24,"" ""))/COUNTA(SPLIT($B$22,"" ""))"),0.18876404494382)</f>
        <v>0.1887640449</v>
      </c>
      <c r="F24" s="6" t="n">
        <v>3</v>
      </c>
      <c r="G24" s="6" t="n">
        <v>4</v>
      </c>
      <c r="H24" s="6" t="n">
        <v>4</v>
      </c>
      <c r="I24" s="6" t="n">
        <v>3</v>
      </c>
      <c r="J24" s="6" t="n">
        <v>3</v>
      </c>
      <c r="K24" s="51"/>
      <c r="L24" s="51"/>
      <c r="M24" s="51"/>
      <c r="N24" s="51"/>
      <c r="O24" s="51"/>
      <c r="P24" s="51"/>
      <c r="Q24" s="51"/>
      <c r="R24" s="51"/>
      <c r="S24" s="51"/>
      <c r="T24" s="51"/>
      <c r="U24" s="51"/>
      <c r="V24" s="51"/>
      <c r="W24" s="51"/>
      <c r="X24" s="51"/>
      <c r="Y24" s="51"/>
      <c r="Z24" s="51"/>
      <c r="AA24" s="51"/>
      <c r="AB24" s="51"/>
    </row>
    <row r="25" customFormat="false" ht="225" hidden="false" customHeight="true" outlineLevel="0" collapsed="false">
      <c r="A25" s="54"/>
      <c r="B25" s="54"/>
      <c r="C25" s="6" t="s">
        <v>20</v>
      </c>
      <c r="D25" s="49" t="s">
        <v>250</v>
      </c>
      <c r="E25" s="69" t="n">
        <f aca="false">IFERROR(__xludf.dummyfunction("COUNTA(SPLIT(D25,"" ""))/COUNTA(SPLIT($B$22,"" ""))"),0.125842696629214)</f>
        <v>0.1258426966</v>
      </c>
      <c r="F25" s="6" t="n">
        <v>4</v>
      </c>
      <c r="G25" s="6" t="n">
        <v>3</v>
      </c>
      <c r="H25" s="6" t="n">
        <v>5</v>
      </c>
      <c r="I25" s="6" t="n">
        <v>5</v>
      </c>
      <c r="J25" s="6" t="n">
        <v>3</v>
      </c>
      <c r="K25" s="51"/>
      <c r="L25" s="51"/>
      <c r="M25" s="51"/>
      <c r="N25" s="51"/>
      <c r="O25" s="51"/>
      <c r="P25" s="51"/>
      <c r="Q25" s="51"/>
      <c r="R25" s="51"/>
      <c r="S25" s="51"/>
      <c r="T25" s="51"/>
      <c r="U25" s="51"/>
      <c r="V25" s="51"/>
      <c r="W25" s="51"/>
      <c r="X25" s="51"/>
      <c r="Y25" s="51"/>
      <c r="Z25" s="51"/>
      <c r="AA25" s="51"/>
      <c r="AB25" s="51"/>
    </row>
    <row r="26" customFormat="false" ht="15.75" hidden="false" customHeight="false" outlineLevel="0" collapsed="false">
      <c r="A26" s="51"/>
      <c r="B26" s="51"/>
      <c r="C26" s="6"/>
      <c r="D26" s="49"/>
      <c r="E26" s="53"/>
      <c r="F26" s="6"/>
      <c r="G26" s="6"/>
      <c r="H26" s="6"/>
      <c r="I26" s="6"/>
      <c r="J26" s="6"/>
      <c r="K26" s="51"/>
      <c r="L26" s="51"/>
      <c r="M26" s="51"/>
      <c r="N26" s="51"/>
      <c r="O26" s="51"/>
      <c r="P26" s="51"/>
      <c r="Q26" s="51"/>
      <c r="R26" s="51"/>
      <c r="S26" s="51"/>
      <c r="T26" s="51"/>
      <c r="U26" s="51"/>
      <c r="V26" s="51"/>
      <c r="W26" s="51"/>
      <c r="X26" s="51"/>
      <c r="Y26" s="51"/>
      <c r="Z26" s="51"/>
      <c r="AA26" s="51"/>
      <c r="AB26" s="51"/>
    </row>
    <row r="27" customFormat="false" ht="225" hidden="false" customHeight="true" outlineLevel="0" collapsed="false">
      <c r="A27" s="54" t="s">
        <v>51</v>
      </c>
      <c r="B27" s="55" t="s">
        <v>52</v>
      </c>
      <c r="C27" s="56" t="s">
        <v>18</v>
      </c>
      <c r="D27" s="57" t="s">
        <v>251</v>
      </c>
      <c r="E27" s="94" t="n">
        <f aca="false">IFERROR(__xludf.dummyfunction("COUNTA(SPLIT(D27,"" ""))/COUNTA(SPLIT($B$27,"" ""))"),0.199556541019956)</f>
        <v>0.199556541</v>
      </c>
      <c r="F27" s="56" t="n">
        <v>3</v>
      </c>
      <c r="G27" s="56" t="n">
        <v>3</v>
      </c>
      <c r="H27" s="56" t="n">
        <v>3</v>
      </c>
      <c r="I27" s="56" t="n">
        <v>4</v>
      </c>
      <c r="J27" s="56" t="n">
        <v>4</v>
      </c>
      <c r="K27" s="59"/>
      <c r="L27" s="59"/>
      <c r="M27" s="59"/>
      <c r="N27" s="59"/>
      <c r="O27" s="59"/>
      <c r="P27" s="59"/>
      <c r="Q27" s="59"/>
      <c r="R27" s="59"/>
      <c r="S27" s="59"/>
      <c r="T27" s="59"/>
      <c r="U27" s="59"/>
      <c r="V27" s="59"/>
      <c r="W27" s="59"/>
      <c r="X27" s="59"/>
      <c r="Y27" s="59"/>
      <c r="Z27" s="59"/>
      <c r="AA27" s="59"/>
      <c r="AB27" s="59"/>
    </row>
    <row r="28" customFormat="false" ht="225" hidden="false" customHeight="true" outlineLevel="0" collapsed="false">
      <c r="A28" s="54"/>
      <c r="B28" s="54"/>
      <c r="C28" s="6" t="s">
        <v>19</v>
      </c>
      <c r="D28" s="49" t="s">
        <v>252</v>
      </c>
      <c r="E28" s="95" t="n">
        <f aca="false">IFERROR(__xludf.dummyfunction("COUNTA(SPLIT(D28,"" ""))/COUNTA(SPLIT($B$27,"" ""))"),0.195121951219512)</f>
        <v>0.1951219512</v>
      </c>
      <c r="F28" s="6" t="n">
        <v>4</v>
      </c>
      <c r="G28" s="6" t="n">
        <v>4</v>
      </c>
      <c r="H28" s="6" t="n">
        <v>4</v>
      </c>
      <c r="I28" s="6" t="n">
        <v>3</v>
      </c>
      <c r="J28" s="6" t="n">
        <v>4</v>
      </c>
      <c r="K28" s="51"/>
      <c r="L28" s="51"/>
      <c r="M28" s="51"/>
      <c r="N28" s="51"/>
      <c r="O28" s="51"/>
      <c r="P28" s="51"/>
      <c r="Q28" s="51"/>
      <c r="R28" s="51"/>
      <c r="S28" s="51"/>
      <c r="T28" s="51"/>
      <c r="U28" s="51"/>
      <c r="V28" s="51"/>
      <c r="W28" s="51"/>
      <c r="X28" s="51"/>
      <c r="Y28" s="51"/>
      <c r="Z28" s="51"/>
      <c r="AA28" s="51"/>
      <c r="AB28" s="51"/>
    </row>
    <row r="29" customFormat="false" ht="225" hidden="false" customHeight="true" outlineLevel="0" collapsed="false">
      <c r="A29" s="54"/>
      <c r="B29" s="54"/>
      <c r="C29" s="6" t="s">
        <v>8</v>
      </c>
      <c r="D29" s="49" t="s">
        <v>253</v>
      </c>
      <c r="E29" s="89" t="n">
        <f aca="false">IFERROR(__xludf.dummyfunction("COUNTA(SPLIT(D29,"" ""))/COUNTA(SPLIT($B$27,"" ""))"),0.188470066518847)</f>
        <v>0.1884700665</v>
      </c>
      <c r="F29" s="6" t="n">
        <v>3</v>
      </c>
      <c r="G29" s="6" t="n">
        <v>5</v>
      </c>
      <c r="H29" s="6" t="n">
        <v>4</v>
      </c>
      <c r="I29" s="6" t="n">
        <v>3</v>
      </c>
      <c r="J29" s="6" t="n">
        <v>4</v>
      </c>
      <c r="K29" s="51"/>
      <c r="L29" s="51"/>
      <c r="M29" s="51"/>
      <c r="N29" s="51"/>
      <c r="O29" s="51"/>
      <c r="P29" s="51"/>
      <c r="Q29" s="51"/>
      <c r="R29" s="51"/>
      <c r="S29" s="51"/>
      <c r="T29" s="51"/>
      <c r="U29" s="51"/>
      <c r="V29" s="51"/>
      <c r="W29" s="51"/>
      <c r="X29" s="51"/>
      <c r="Y29" s="51"/>
      <c r="Z29" s="51"/>
      <c r="AA29" s="51"/>
      <c r="AB29" s="51"/>
    </row>
    <row r="30" customFormat="false" ht="225" hidden="false" customHeight="true" outlineLevel="0" collapsed="false">
      <c r="A30" s="54"/>
      <c r="B30" s="54"/>
      <c r="C30" s="6" t="s">
        <v>20</v>
      </c>
      <c r="D30" s="49" t="s">
        <v>254</v>
      </c>
      <c r="E30" s="96" t="n">
        <f aca="false">IFERROR(__xludf.dummyfunction("COUNTA(SPLIT(D30,"" ""))/COUNTA(SPLIT($B$27,"" ""))"),0.117516629711752)</f>
        <v>0.1175166297</v>
      </c>
      <c r="F30" s="6" t="n">
        <v>4</v>
      </c>
      <c r="G30" s="6" t="n">
        <v>5</v>
      </c>
      <c r="H30" s="6" t="n">
        <v>4</v>
      </c>
      <c r="I30" s="6" t="n">
        <v>5</v>
      </c>
      <c r="J30" s="6" t="n">
        <v>4</v>
      </c>
      <c r="K30" s="51"/>
      <c r="L30" s="51"/>
      <c r="M30" s="51"/>
      <c r="N30" s="51"/>
      <c r="O30" s="51"/>
      <c r="P30" s="51"/>
      <c r="Q30" s="51"/>
      <c r="R30" s="51"/>
      <c r="S30" s="51"/>
      <c r="T30" s="51"/>
      <c r="U30" s="51"/>
      <c r="V30" s="51"/>
      <c r="W30" s="51"/>
      <c r="X30" s="51"/>
      <c r="Y30" s="51"/>
      <c r="Z30" s="51"/>
      <c r="AA30" s="51"/>
      <c r="AB30" s="51"/>
    </row>
    <row r="31" customFormat="false" ht="15.75" hidden="false" customHeight="false" outlineLevel="0" collapsed="false">
      <c r="A31" s="51"/>
      <c r="B31" s="51"/>
      <c r="C31" s="6"/>
      <c r="D31" s="49"/>
      <c r="E31" s="53"/>
      <c r="F31" s="6"/>
      <c r="G31" s="6"/>
      <c r="H31" s="6"/>
      <c r="I31" s="6"/>
      <c r="J31" s="6"/>
      <c r="K31" s="51"/>
      <c r="L31" s="51"/>
      <c r="M31" s="51"/>
      <c r="N31" s="51"/>
      <c r="O31" s="51"/>
      <c r="P31" s="51"/>
      <c r="Q31" s="51"/>
      <c r="R31" s="51"/>
      <c r="S31" s="51"/>
      <c r="T31" s="51"/>
      <c r="U31" s="51"/>
      <c r="V31" s="51"/>
      <c r="W31" s="51"/>
      <c r="X31" s="51"/>
      <c r="Y31" s="51"/>
      <c r="Z31" s="51"/>
      <c r="AA31" s="51"/>
      <c r="AB31" s="51"/>
    </row>
    <row r="32" customFormat="false" ht="225" hidden="false" customHeight="true" outlineLevel="0" collapsed="false">
      <c r="A32" s="54" t="s">
        <v>55</v>
      </c>
      <c r="B32" s="55" t="s">
        <v>56</v>
      </c>
      <c r="C32" s="56" t="s">
        <v>18</v>
      </c>
      <c r="D32" s="57" t="s">
        <v>255</v>
      </c>
      <c r="E32" s="68" t="n">
        <f aca="false">IFERROR(__xludf.dummyfunction("COUNTA(SPLIT(D32,"" ""))/COUNTA(SPLIT($B$32,"" ""))"),0.214814814814815)</f>
        <v>0.2148148148</v>
      </c>
      <c r="F32" s="56" t="n">
        <v>5</v>
      </c>
      <c r="G32" s="56" t="n">
        <v>4</v>
      </c>
      <c r="H32" s="56" t="n">
        <v>4</v>
      </c>
      <c r="I32" s="56" t="n">
        <v>5</v>
      </c>
      <c r="J32" s="56" t="n">
        <v>4</v>
      </c>
      <c r="K32" s="59"/>
      <c r="L32" s="59"/>
      <c r="M32" s="59"/>
      <c r="N32" s="59"/>
      <c r="O32" s="59"/>
      <c r="P32" s="59"/>
      <c r="Q32" s="59"/>
      <c r="R32" s="59"/>
      <c r="S32" s="59"/>
      <c r="T32" s="59"/>
      <c r="U32" s="59"/>
      <c r="V32" s="59"/>
      <c r="W32" s="59"/>
      <c r="X32" s="59"/>
      <c r="Y32" s="59"/>
      <c r="Z32" s="59"/>
      <c r="AA32" s="59"/>
      <c r="AB32" s="59"/>
    </row>
    <row r="33" customFormat="false" ht="225" hidden="false" customHeight="true" outlineLevel="0" collapsed="false">
      <c r="A33" s="54"/>
      <c r="B33" s="54"/>
      <c r="C33" s="6" t="s">
        <v>19</v>
      </c>
      <c r="D33" s="49" t="s">
        <v>256</v>
      </c>
      <c r="E33" s="97" t="n">
        <f aca="false">IFERROR(__xludf.dummyfunction("COUNTA(SPLIT(D33,"" ""))/COUNTA(SPLIT($B$32,"" ""))"),0.203703703703704)</f>
        <v>0.2037037037</v>
      </c>
      <c r="F33" s="6" t="n">
        <v>3</v>
      </c>
      <c r="G33" s="6" t="n">
        <v>5</v>
      </c>
      <c r="H33" s="6" t="n">
        <v>4</v>
      </c>
      <c r="I33" s="6" t="n">
        <v>5</v>
      </c>
      <c r="J33" s="6" t="n">
        <v>3</v>
      </c>
      <c r="K33" s="51"/>
      <c r="L33" s="51"/>
      <c r="M33" s="51"/>
      <c r="N33" s="51"/>
      <c r="O33" s="51"/>
      <c r="P33" s="51"/>
      <c r="Q33" s="51"/>
      <c r="R33" s="51"/>
      <c r="S33" s="51"/>
      <c r="T33" s="51"/>
      <c r="U33" s="51"/>
      <c r="V33" s="51"/>
      <c r="W33" s="51"/>
      <c r="X33" s="51"/>
      <c r="Y33" s="51"/>
      <c r="Z33" s="51"/>
      <c r="AA33" s="51"/>
      <c r="AB33" s="51"/>
    </row>
    <row r="34" customFormat="false" ht="225" hidden="false" customHeight="true" outlineLevel="0" collapsed="false">
      <c r="A34" s="54"/>
      <c r="B34" s="54"/>
      <c r="C34" s="6" t="s">
        <v>8</v>
      </c>
      <c r="D34" s="49" t="s">
        <v>257</v>
      </c>
      <c r="E34" s="98" t="n">
        <f aca="false">IFERROR(__xludf.dummyfunction("COUNTA(SPLIT(D34,"" ""))/COUNTA(SPLIT($B$32,"" ""))"),0.359259259259259)</f>
        <v>0.3592592593</v>
      </c>
      <c r="F34" s="6" t="n">
        <v>2</v>
      </c>
      <c r="G34" s="6" t="n">
        <v>4</v>
      </c>
      <c r="H34" s="6" t="n">
        <v>3</v>
      </c>
      <c r="I34" s="6" t="n">
        <v>3</v>
      </c>
      <c r="J34" s="6" t="n">
        <v>3</v>
      </c>
      <c r="K34" s="51"/>
      <c r="L34" s="51"/>
      <c r="M34" s="51"/>
      <c r="N34" s="51"/>
      <c r="O34" s="51"/>
      <c r="P34" s="51"/>
      <c r="Q34" s="51"/>
      <c r="R34" s="51"/>
      <c r="S34" s="51"/>
      <c r="T34" s="51"/>
      <c r="U34" s="51"/>
      <c r="V34" s="51"/>
      <c r="W34" s="51"/>
      <c r="X34" s="51"/>
      <c r="Y34" s="51"/>
      <c r="Z34" s="51"/>
      <c r="AA34" s="51"/>
      <c r="AB34" s="51"/>
    </row>
    <row r="35" customFormat="false" ht="225" hidden="false" customHeight="true" outlineLevel="0" collapsed="false">
      <c r="A35" s="54"/>
      <c r="B35" s="54"/>
      <c r="C35" s="6" t="s">
        <v>20</v>
      </c>
      <c r="D35" s="49" t="s">
        <v>258</v>
      </c>
      <c r="E35" s="64" t="n">
        <f aca="false">IFERROR(__xludf.dummyfunction("COUNTA(SPLIT(D35,"" ""))/COUNTA(SPLIT($B$32,"" ""))"),0.174074074074074)</f>
        <v>0.1740740741</v>
      </c>
      <c r="F35" s="6" t="n">
        <v>4</v>
      </c>
      <c r="G35" s="6" t="n">
        <v>5</v>
      </c>
      <c r="H35" s="6" t="n">
        <v>5</v>
      </c>
      <c r="I35" s="6" t="n">
        <v>5</v>
      </c>
      <c r="J35" s="6" t="n">
        <v>3</v>
      </c>
      <c r="K35" s="51"/>
      <c r="L35" s="51"/>
      <c r="M35" s="51"/>
      <c r="N35" s="51"/>
      <c r="O35" s="51"/>
      <c r="P35" s="51"/>
      <c r="Q35" s="51"/>
      <c r="R35" s="51"/>
      <c r="S35" s="51"/>
      <c r="T35" s="51"/>
      <c r="U35" s="51"/>
      <c r="V35" s="51"/>
      <c r="W35" s="51"/>
      <c r="X35" s="51"/>
      <c r="Y35" s="51"/>
      <c r="Z35" s="51"/>
      <c r="AA35" s="51"/>
      <c r="AB35" s="51"/>
    </row>
    <row r="36" customFormat="false" ht="15.75" hidden="false" customHeight="false" outlineLevel="0" collapsed="false">
      <c r="A36" s="51"/>
      <c r="B36" s="51"/>
      <c r="C36" s="6"/>
      <c r="D36" s="49"/>
      <c r="E36" s="53"/>
      <c r="F36" s="6"/>
      <c r="G36" s="6"/>
      <c r="H36" s="6"/>
      <c r="I36" s="6"/>
      <c r="J36" s="6"/>
      <c r="K36" s="51"/>
      <c r="L36" s="51"/>
      <c r="M36" s="51"/>
      <c r="N36" s="51"/>
      <c r="O36" s="51"/>
      <c r="P36" s="51"/>
      <c r="Q36" s="51"/>
      <c r="R36" s="51"/>
      <c r="S36" s="51"/>
      <c r="T36" s="51"/>
      <c r="U36" s="51"/>
      <c r="V36" s="51"/>
      <c r="W36" s="51"/>
      <c r="X36" s="51"/>
      <c r="Y36" s="51"/>
      <c r="Z36" s="51"/>
      <c r="AA36" s="51"/>
      <c r="AB36" s="51"/>
    </row>
    <row r="37" customFormat="false" ht="225" hidden="false" customHeight="true" outlineLevel="0" collapsed="false">
      <c r="A37" s="99" t="s">
        <v>59</v>
      </c>
      <c r="B37" s="55" t="s">
        <v>60</v>
      </c>
      <c r="C37" s="56" t="s">
        <v>18</v>
      </c>
      <c r="D37" s="57" t="s">
        <v>259</v>
      </c>
      <c r="E37" s="78" t="n">
        <f aca="false">IFERROR(__xludf.dummyfunction("COUNTA(SPLIT(D37,"" ""))/COUNTA(SPLIT($B$37,"" ""))"),0.261792452830189)</f>
        <v>0.2617924528</v>
      </c>
      <c r="F37" s="56" t="n">
        <v>3</v>
      </c>
      <c r="G37" s="56" t="n">
        <v>5</v>
      </c>
      <c r="H37" s="56" t="n">
        <v>4</v>
      </c>
      <c r="I37" s="56" t="n">
        <v>4</v>
      </c>
      <c r="J37" s="56" t="n">
        <v>5</v>
      </c>
      <c r="K37" s="59"/>
      <c r="L37" s="59"/>
      <c r="M37" s="59"/>
      <c r="N37" s="59"/>
      <c r="O37" s="59"/>
      <c r="P37" s="59"/>
      <c r="Q37" s="59"/>
      <c r="R37" s="59"/>
      <c r="S37" s="59"/>
      <c r="T37" s="59"/>
      <c r="U37" s="59"/>
      <c r="V37" s="59"/>
      <c r="W37" s="59"/>
      <c r="X37" s="59"/>
      <c r="Y37" s="59"/>
      <c r="Z37" s="59"/>
      <c r="AA37" s="59"/>
      <c r="AB37" s="59"/>
    </row>
    <row r="38" customFormat="false" ht="225" hidden="false" customHeight="true" outlineLevel="0" collapsed="false">
      <c r="A38" s="99"/>
      <c r="B38" s="99"/>
      <c r="C38" s="6" t="s">
        <v>19</v>
      </c>
      <c r="D38" s="49" t="s">
        <v>260</v>
      </c>
      <c r="E38" s="100" t="n">
        <f aca="false">IFERROR(__xludf.dummyfunction("COUNTA(SPLIT(D38,"" ""))/COUNTA(SPLIT($B$37,"" ""))"),0.22877358490566)</f>
        <v>0.2287735849</v>
      </c>
      <c r="F38" s="6" t="n">
        <v>3</v>
      </c>
      <c r="G38" s="6" t="n">
        <v>5</v>
      </c>
      <c r="H38" s="6" t="n">
        <v>4</v>
      </c>
      <c r="I38" s="6" t="n">
        <v>3</v>
      </c>
      <c r="J38" s="6" t="n">
        <v>4</v>
      </c>
      <c r="K38" s="51"/>
      <c r="L38" s="51"/>
      <c r="M38" s="51"/>
      <c r="N38" s="51"/>
      <c r="O38" s="51"/>
      <c r="P38" s="51"/>
      <c r="Q38" s="51"/>
      <c r="R38" s="51"/>
      <c r="S38" s="51"/>
      <c r="T38" s="51"/>
      <c r="U38" s="51"/>
      <c r="V38" s="51"/>
      <c r="W38" s="51"/>
      <c r="X38" s="51"/>
      <c r="Y38" s="51"/>
      <c r="Z38" s="51"/>
      <c r="AA38" s="51"/>
      <c r="AB38" s="51"/>
    </row>
    <row r="39" customFormat="false" ht="225" hidden="false" customHeight="true" outlineLevel="0" collapsed="false">
      <c r="A39" s="99"/>
      <c r="B39" s="99"/>
      <c r="C39" s="6" t="s">
        <v>8</v>
      </c>
      <c r="D39" s="49" t="s">
        <v>261</v>
      </c>
      <c r="E39" s="86" t="n">
        <f aca="false">IFERROR(__xludf.dummyfunction("COUNTA(SPLIT(D39,"" ""))/COUNTA(SPLIT($B$37,"" ""))"),0.247641509433962)</f>
        <v>0.2476415094</v>
      </c>
      <c r="F39" s="6" t="n">
        <v>2</v>
      </c>
      <c r="G39" s="6" t="n">
        <v>4</v>
      </c>
      <c r="H39" s="6" t="n">
        <v>4</v>
      </c>
      <c r="I39" s="6" t="n">
        <v>4</v>
      </c>
      <c r="J39" s="6" t="n">
        <v>4</v>
      </c>
      <c r="K39" s="51"/>
      <c r="L39" s="51"/>
      <c r="M39" s="51"/>
      <c r="N39" s="51"/>
      <c r="O39" s="51"/>
      <c r="P39" s="51"/>
      <c r="Q39" s="51"/>
      <c r="R39" s="51"/>
      <c r="S39" s="51"/>
      <c r="T39" s="51"/>
      <c r="U39" s="51"/>
      <c r="V39" s="51"/>
      <c r="W39" s="51"/>
      <c r="X39" s="51"/>
      <c r="Y39" s="51"/>
      <c r="Z39" s="51"/>
      <c r="AA39" s="51"/>
      <c r="AB39" s="51"/>
    </row>
    <row r="40" customFormat="false" ht="225" hidden="false" customHeight="true" outlineLevel="0" collapsed="false">
      <c r="A40" s="99"/>
      <c r="B40" s="99"/>
      <c r="C40" s="6" t="s">
        <v>20</v>
      </c>
      <c r="D40" s="49" t="s">
        <v>262</v>
      </c>
      <c r="E40" s="80" t="n">
        <f aca="false">IFERROR(__xludf.dummyfunction("COUNTA(SPLIT(D40,"" ""))/COUNTA(SPLIT($B$37,"" ""))"),0.162735849056604)</f>
        <v>0.1627358491</v>
      </c>
      <c r="F40" s="6" t="n">
        <v>3</v>
      </c>
      <c r="G40" s="6" t="n">
        <v>5</v>
      </c>
      <c r="H40" s="6" t="n">
        <v>3</v>
      </c>
      <c r="I40" s="6" t="n">
        <v>5</v>
      </c>
      <c r="J40" s="6" t="n">
        <v>4</v>
      </c>
      <c r="K40" s="51"/>
      <c r="L40" s="51"/>
      <c r="M40" s="51"/>
      <c r="N40" s="51"/>
      <c r="O40" s="51"/>
      <c r="P40" s="51"/>
      <c r="Q40" s="51"/>
      <c r="R40" s="51"/>
      <c r="S40" s="51"/>
      <c r="T40" s="51"/>
      <c r="U40" s="51"/>
      <c r="V40" s="51"/>
      <c r="W40" s="51"/>
      <c r="X40" s="51"/>
      <c r="Y40" s="51"/>
      <c r="Z40" s="51"/>
      <c r="AA40" s="51"/>
      <c r="AB40" s="51"/>
    </row>
    <row r="41" customFormat="false" ht="15.75" hidden="false" customHeight="false" outlineLevel="0" collapsed="false">
      <c r="A41" s="51"/>
      <c r="B41" s="51"/>
      <c r="C41" s="6"/>
      <c r="D41" s="49"/>
      <c r="E41" s="53"/>
      <c r="F41" s="6"/>
      <c r="G41" s="6"/>
      <c r="H41" s="6"/>
      <c r="I41" s="6"/>
      <c r="J41" s="6"/>
      <c r="K41" s="51"/>
      <c r="L41" s="51"/>
      <c r="M41" s="51"/>
      <c r="N41" s="51"/>
      <c r="O41" s="51"/>
      <c r="P41" s="51"/>
      <c r="Q41" s="51"/>
      <c r="R41" s="51"/>
      <c r="S41" s="51"/>
      <c r="T41" s="51"/>
      <c r="U41" s="51"/>
      <c r="V41" s="51"/>
      <c r="W41" s="51"/>
      <c r="X41" s="51"/>
      <c r="Y41" s="51"/>
      <c r="Z41" s="51"/>
      <c r="AA41" s="51"/>
      <c r="AB41" s="51"/>
    </row>
    <row r="42" customFormat="false" ht="225" hidden="false" customHeight="true" outlineLevel="0" collapsed="false">
      <c r="A42" s="54" t="s">
        <v>63</v>
      </c>
      <c r="B42" s="55" t="s">
        <v>64</v>
      </c>
      <c r="C42" s="56" t="s">
        <v>18</v>
      </c>
      <c r="D42" s="57" t="s">
        <v>263</v>
      </c>
      <c r="E42" s="78" t="n">
        <f aca="false">IFERROR(__xludf.dummyfunction("COUNTA(SPLIT(D42,"" ""))/COUNTA(SPLIT($B$42,"" ""))"),0.0813148788927336)</f>
        <v>0.08131487889</v>
      </c>
      <c r="F42" s="56" t="n">
        <v>4</v>
      </c>
      <c r="G42" s="56" t="n">
        <v>5</v>
      </c>
      <c r="H42" s="56" t="n">
        <v>4</v>
      </c>
      <c r="I42" s="56" t="n">
        <v>5</v>
      </c>
      <c r="J42" s="56" t="n">
        <v>3</v>
      </c>
      <c r="K42" s="59"/>
      <c r="L42" s="59"/>
      <c r="M42" s="59"/>
      <c r="N42" s="59"/>
      <c r="O42" s="59"/>
      <c r="P42" s="59"/>
      <c r="Q42" s="59"/>
      <c r="R42" s="59"/>
      <c r="S42" s="59"/>
      <c r="T42" s="59"/>
      <c r="U42" s="59"/>
      <c r="V42" s="59"/>
      <c r="W42" s="59"/>
      <c r="X42" s="59"/>
      <c r="Y42" s="59"/>
      <c r="Z42" s="59"/>
      <c r="AA42" s="59"/>
      <c r="AB42" s="59"/>
    </row>
    <row r="43" customFormat="false" ht="225" hidden="false" customHeight="true" outlineLevel="0" collapsed="false">
      <c r="A43" s="54"/>
      <c r="B43" s="54"/>
      <c r="C43" s="6" t="s">
        <v>19</v>
      </c>
      <c r="D43" s="49" t="s">
        <v>264</v>
      </c>
      <c r="E43" s="78" t="n">
        <f aca="false">IFERROR(__xludf.dummyfunction("COUNTA(SPLIT(D43,"" ""))/COUNTA(SPLIT($B$42,"" ""))"),0.147058823529412)</f>
        <v>0.1470588235</v>
      </c>
      <c r="F43" s="6" t="n">
        <v>3</v>
      </c>
      <c r="G43" s="6" t="n">
        <v>4</v>
      </c>
      <c r="H43" s="6" t="n">
        <v>4</v>
      </c>
      <c r="I43" s="6" t="n">
        <v>3</v>
      </c>
      <c r="J43" s="6" t="n">
        <v>3</v>
      </c>
      <c r="K43" s="51"/>
      <c r="L43" s="51"/>
      <c r="M43" s="51"/>
      <c r="N43" s="51"/>
      <c r="O43" s="51"/>
      <c r="P43" s="51"/>
      <c r="Q43" s="51"/>
      <c r="R43" s="51"/>
      <c r="S43" s="51"/>
      <c r="T43" s="51"/>
      <c r="U43" s="51"/>
      <c r="V43" s="51"/>
      <c r="W43" s="51"/>
      <c r="X43" s="51"/>
      <c r="Y43" s="51"/>
      <c r="Z43" s="51"/>
      <c r="AA43" s="51"/>
      <c r="AB43" s="51"/>
    </row>
    <row r="44" customFormat="false" ht="225" hidden="false" customHeight="true" outlineLevel="0" collapsed="false">
      <c r="A44" s="54"/>
      <c r="B44" s="54"/>
      <c r="C44" s="6" t="s">
        <v>8</v>
      </c>
      <c r="D44" s="49" t="s">
        <v>265</v>
      </c>
      <c r="E44" s="101" t="n">
        <f aca="false">IFERROR(__xludf.dummyfunction("COUNTA(SPLIT(D44,"" ""))/COUNTA(SPLIT($B$42,"" ""))"),0.190311418685121)</f>
        <v>0.1903114187</v>
      </c>
      <c r="F44" s="6" t="n">
        <v>3</v>
      </c>
      <c r="G44" s="6" t="n">
        <v>5</v>
      </c>
      <c r="H44" s="6" t="n">
        <v>4</v>
      </c>
      <c r="I44" s="6" t="n">
        <v>4</v>
      </c>
      <c r="J44" s="6" t="n">
        <v>4</v>
      </c>
      <c r="K44" s="51"/>
      <c r="L44" s="51"/>
      <c r="M44" s="51"/>
      <c r="N44" s="51"/>
      <c r="O44" s="51"/>
      <c r="P44" s="51"/>
      <c r="Q44" s="51"/>
      <c r="R44" s="51"/>
      <c r="S44" s="51"/>
      <c r="T44" s="51"/>
      <c r="U44" s="51"/>
      <c r="V44" s="51"/>
      <c r="W44" s="51"/>
      <c r="X44" s="51"/>
      <c r="Y44" s="51"/>
      <c r="Z44" s="51"/>
      <c r="AA44" s="51"/>
      <c r="AB44" s="51"/>
    </row>
    <row r="45" customFormat="false" ht="225" hidden="false" customHeight="true" outlineLevel="0" collapsed="false">
      <c r="A45" s="54"/>
      <c r="B45" s="54"/>
      <c r="C45" s="6" t="s">
        <v>20</v>
      </c>
      <c r="D45" s="49" t="s">
        <v>266</v>
      </c>
      <c r="E45" s="96" t="n">
        <f aca="false">IFERROR(__xludf.dummyfunction("COUNTA(SPLIT(D45,"" ""))/COUNTA(SPLIT($B$42,"" ""))"),0.0986159169550173)</f>
        <v>0.09861591696</v>
      </c>
      <c r="F45" s="6" t="n">
        <v>5</v>
      </c>
      <c r="G45" s="6" t="n">
        <v>5</v>
      </c>
      <c r="H45" s="6" t="n">
        <v>4</v>
      </c>
      <c r="I45" s="6" t="n">
        <v>5</v>
      </c>
      <c r="J45" s="6" t="n">
        <v>3</v>
      </c>
      <c r="K45" s="51"/>
      <c r="L45" s="51"/>
      <c r="M45" s="51"/>
      <c r="N45" s="51"/>
      <c r="O45" s="51"/>
      <c r="P45" s="51"/>
      <c r="Q45" s="51"/>
      <c r="R45" s="51"/>
      <c r="S45" s="51"/>
      <c r="T45" s="51"/>
      <c r="U45" s="51"/>
      <c r="V45" s="51"/>
      <c r="W45" s="51"/>
      <c r="X45" s="51"/>
      <c r="Y45" s="51"/>
      <c r="Z45" s="51"/>
      <c r="AA45" s="51"/>
      <c r="AB45" s="51"/>
    </row>
    <row r="46" customFormat="false" ht="15.75" hidden="false" customHeight="false" outlineLevel="0" collapsed="false">
      <c r="A46" s="51"/>
      <c r="B46" s="51"/>
      <c r="C46" s="6"/>
      <c r="D46" s="49"/>
      <c r="E46" s="53"/>
      <c r="F46" s="6"/>
      <c r="G46" s="6"/>
      <c r="H46" s="6"/>
      <c r="I46" s="6"/>
      <c r="J46" s="6"/>
      <c r="K46" s="51"/>
      <c r="L46" s="51"/>
      <c r="M46" s="51"/>
      <c r="N46" s="51"/>
      <c r="O46" s="51"/>
      <c r="P46" s="51"/>
      <c r="Q46" s="51"/>
      <c r="R46" s="51"/>
      <c r="S46" s="51"/>
      <c r="T46" s="51"/>
      <c r="U46" s="51"/>
      <c r="V46" s="51"/>
      <c r="W46" s="51"/>
      <c r="X46" s="51"/>
      <c r="Y46" s="51"/>
      <c r="Z46" s="51"/>
      <c r="AA46" s="51"/>
      <c r="AB46" s="51"/>
    </row>
    <row r="47" customFormat="false" ht="225" hidden="false" customHeight="true" outlineLevel="0" collapsed="false">
      <c r="A47" s="54" t="s">
        <v>67</v>
      </c>
      <c r="B47" s="55" t="s">
        <v>68</v>
      </c>
      <c r="C47" s="56" t="s">
        <v>18</v>
      </c>
      <c r="D47" s="57" t="s">
        <v>267</v>
      </c>
      <c r="E47" s="102" t="n">
        <f aca="false">IFERROR(__xludf.dummyfunction("COUNTA(SPLIT(D47,"" ""))/COUNTA(SPLIT($B$47,"" ""))"),0.19047619047619)</f>
        <v>0.1904761905</v>
      </c>
      <c r="F47" s="56" t="n">
        <v>4</v>
      </c>
      <c r="G47" s="56" t="n">
        <v>5</v>
      </c>
      <c r="H47" s="56" t="n">
        <v>4</v>
      </c>
      <c r="I47" s="56" t="n">
        <v>5</v>
      </c>
      <c r="J47" s="56" t="n">
        <v>3</v>
      </c>
      <c r="K47" s="59"/>
      <c r="L47" s="59"/>
      <c r="M47" s="59"/>
      <c r="N47" s="59"/>
      <c r="O47" s="59"/>
      <c r="P47" s="59"/>
      <c r="Q47" s="59"/>
      <c r="R47" s="59"/>
      <c r="S47" s="59"/>
      <c r="T47" s="59"/>
      <c r="U47" s="59"/>
      <c r="V47" s="59"/>
      <c r="W47" s="59"/>
      <c r="X47" s="59"/>
      <c r="Y47" s="59"/>
      <c r="Z47" s="59"/>
      <c r="AA47" s="59"/>
      <c r="AB47" s="59"/>
    </row>
    <row r="48" customFormat="false" ht="225" hidden="false" customHeight="true" outlineLevel="0" collapsed="false">
      <c r="A48" s="54"/>
      <c r="B48" s="54"/>
      <c r="C48" s="6" t="s">
        <v>19</v>
      </c>
      <c r="D48" s="49" t="s">
        <v>268</v>
      </c>
      <c r="E48" s="73" t="n">
        <f aca="false">IFERROR(__xludf.dummyfunction("COUNTA(SPLIT(D48,"" ""))/COUNTA(SPLIT($B$47,"" ""))"),0.328571428571429)</f>
        <v>0.3285714286</v>
      </c>
      <c r="F48" s="6" t="n">
        <v>3</v>
      </c>
      <c r="G48" s="6" t="n">
        <v>5</v>
      </c>
      <c r="H48" s="6" t="n">
        <v>3</v>
      </c>
      <c r="I48" s="6" t="n">
        <v>4</v>
      </c>
      <c r="J48" s="6" t="n">
        <v>3</v>
      </c>
      <c r="K48" s="51"/>
      <c r="L48" s="51"/>
      <c r="M48" s="51"/>
      <c r="N48" s="51"/>
      <c r="O48" s="51"/>
      <c r="P48" s="51"/>
      <c r="Q48" s="51"/>
      <c r="R48" s="51"/>
      <c r="S48" s="51"/>
      <c r="T48" s="51"/>
      <c r="U48" s="51"/>
      <c r="V48" s="51"/>
      <c r="W48" s="51"/>
      <c r="X48" s="51"/>
      <c r="Y48" s="51"/>
      <c r="Z48" s="51"/>
      <c r="AA48" s="51"/>
      <c r="AB48" s="51"/>
    </row>
    <row r="49" customFormat="false" ht="225" hidden="false" customHeight="true" outlineLevel="0" collapsed="false">
      <c r="A49" s="54"/>
      <c r="B49" s="54"/>
      <c r="C49" s="6" t="s">
        <v>8</v>
      </c>
      <c r="D49" s="49" t="s">
        <v>269</v>
      </c>
      <c r="E49" s="74" t="n">
        <f aca="false">IFERROR(__xludf.dummyfunction("COUNTA(SPLIT(D49,"" ""))/COUNTA(SPLIT($B$47,"" ""))"),0.357142857142857)</f>
        <v>0.3571428571</v>
      </c>
      <c r="F49" s="6" t="n">
        <v>2</v>
      </c>
      <c r="G49" s="6" t="n">
        <v>5</v>
      </c>
      <c r="H49" s="6" t="n">
        <v>4</v>
      </c>
      <c r="I49" s="6" t="n">
        <v>4</v>
      </c>
      <c r="J49" s="6" t="n">
        <v>4</v>
      </c>
      <c r="K49" s="51"/>
      <c r="L49" s="51"/>
      <c r="M49" s="51"/>
      <c r="N49" s="51"/>
      <c r="O49" s="51"/>
      <c r="P49" s="51"/>
      <c r="Q49" s="51"/>
      <c r="R49" s="51"/>
      <c r="S49" s="51"/>
      <c r="T49" s="51"/>
      <c r="U49" s="51"/>
      <c r="V49" s="51"/>
      <c r="W49" s="51"/>
      <c r="X49" s="51"/>
      <c r="Y49" s="51"/>
      <c r="Z49" s="51"/>
      <c r="AA49" s="51"/>
      <c r="AB49" s="51"/>
    </row>
    <row r="50" customFormat="false" ht="225" hidden="false" customHeight="true" outlineLevel="0" collapsed="false">
      <c r="A50" s="54"/>
      <c r="B50" s="54"/>
      <c r="C50" s="6" t="s">
        <v>20</v>
      </c>
      <c r="D50" s="49" t="s">
        <v>270</v>
      </c>
      <c r="E50" s="75" t="n">
        <f aca="false">IFERROR(__xludf.dummyfunction("COUNTA(SPLIT(D50,"" ""))/COUNTA(SPLIT($B$47,"" ""))"),0.242857142857143)</f>
        <v>0.2428571429</v>
      </c>
      <c r="F50" s="6" t="n">
        <v>4</v>
      </c>
      <c r="G50" s="6" t="n">
        <v>5</v>
      </c>
      <c r="H50" s="6" t="n">
        <v>5</v>
      </c>
      <c r="I50" s="6" t="n">
        <v>5</v>
      </c>
      <c r="J50" s="6" t="n">
        <v>3</v>
      </c>
      <c r="K50" s="51"/>
      <c r="L50" s="51"/>
      <c r="M50" s="51"/>
      <c r="N50" s="51"/>
      <c r="O50" s="51"/>
      <c r="P50" s="51"/>
      <c r="Q50" s="51"/>
      <c r="R50" s="51"/>
      <c r="S50" s="51"/>
      <c r="T50" s="51"/>
      <c r="U50" s="51"/>
      <c r="V50" s="51"/>
      <c r="W50" s="51"/>
      <c r="X50" s="51"/>
      <c r="Y50" s="51"/>
      <c r="Z50" s="51"/>
      <c r="AA50" s="51"/>
      <c r="AB50" s="51"/>
    </row>
    <row r="51" customFormat="false" ht="15.75" hidden="false" customHeight="false" outlineLevel="0" collapsed="false">
      <c r="A51" s="51"/>
      <c r="B51" s="51"/>
      <c r="C51" s="6"/>
      <c r="D51" s="49"/>
      <c r="E51" s="51"/>
      <c r="F51" s="6"/>
      <c r="G51" s="6"/>
      <c r="H51" s="6"/>
      <c r="I51" s="6"/>
      <c r="J51" s="6"/>
      <c r="K51" s="51"/>
      <c r="L51" s="51"/>
      <c r="M51" s="51"/>
      <c r="N51" s="51"/>
      <c r="O51" s="51"/>
      <c r="P51" s="51"/>
      <c r="Q51" s="51"/>
      <c r="R51" s="51"/>
      <c r="S51" s="51"/>
      <c r="T51" s="51"/>
      <c r="U51" s="51"/>
      <c r="V51" s="51"/>
      <c r="W51" s="51"/>
      <c r="X51" s="51"/>
      <c r="Y51" s="51"/>
      <c r="Z51" s="51"/>
      <c r="AA51" s="51"/>
      <c r="AB51" s="51"/>
    </row>
    <row r="52" customFormat="false" ht="15.75" hidden="false" customHeight="false" outlineLevel="0" collapsed="false">
      <c r="A52" s="71"/>
      <c r="B52" s="55"/>
      <c r="C52" s="56" t="s">
        <v>18</v>
      </c>
      <c r="D52" s="57"/>
      <c r="E52" s="72" t="n">
        <f aca="false">IFERROR(__xludf.dummyfunction("COUNTA(SPLIT(D52,"" ""))/COUNTA(SPLIT($B$47,"" ""))"),0.00476190476190476)</f>
        <v>0.004761904762</v>
      </c>
      <c r="F52" s="56"/>
      <c r="G52" s="56"/>
      <c r="H52" s="56"/>
      <c r="I52" s="56"/>
      <c r="J52" s="56"/>
      <c r="K52" s="59"/>
      <c r="L52" s="59"/>
      <c r="M52" s="59"/>
      <c r="N52" s="59"/>
      <c r="O52" s="59"/>
      <c r="P52" s="59"/>
      <c r="Q52" s="59"/>
      <c r="R52" s="59"/>
      <c r="S52" s="59"/>
      <c r="T52" s="59"/>
      <c r="U52" s="59"/>
      <c r="V52" s="59"/>
      <c r="W52" s="59"/>
      <c r="X52" s="59"/>
      <c r="Y52" s="59"/>
      <c r="Z52" s="59"/>
      <c r="AA52" s="59"/>
      <c r="AB52" s="59"/>
    </row>
    <row r="53" customFormat="false" ht="15.75" hidden="false" customHeight="false" outlineLevel="0" collapsed="false">
      <c r="A53" s="71"/>
      <c r="B53" s="71"/>
      <c r="C53" s="6" t="s">
        <v>19</v>
      </c>
      <c r="D53" s="49"/>
      <c r="E53" s="73" t="n">
        <f aca="false">IFERROR(__xludf.dummyfunction("COUNTA(SPLIT(D53,"" ""))/COUNTA(SPLIT($B$47,"" ""))"),0.00476190476190476)</f>
        <v>0.004761904762</v>
      </c>
      <c r="F53" s="6"/>
      <c r="G53" s="6"/>
      <c r="H53" s="6"/>
      <c r="I53" s="6"/>
      <c r="J53" s="6"/>
      <c r="K53" s="51"/>
      <c r="L53" s="51"/>
      <c r="M53" s="51"/>
      <c r="N53" s="51"/>
      <c r="O53" s="51"/>
      <c r="P53" s="51"/>
      <c r="Q53" s="51"/>
      <c r="R53" s="51"/>
      <c r="S53" s="51"/>
      <c r="T53" s="51"/>
      <c r="U53" s="51"/>
      <c r="V53" s="51"/>
      <c r="W53" s="51"/>
      <c r="X53" s="51"/>
      <c r="Y53" s="51"/>
      <c r="Z53" s="51"/>
      <c r="AA53" s="51"/>
      <c r="AB53" s="51"/>
    </row>
    <row r="54" customFormat="false" ht="15.75" hidden="false" customHeight="false" outlineLevel="0" collapsed="false">
      <c r="A54" s="71"/>
      <c r="B54" s="71"/>
      <c r="C54" s="6" t="s">
        <v>8</v>
      </c>
      <c r="D54" s="49"/>
      <c r="E54" s="74" t="n">
        <f aca="false">IFERROR(__xludf.dummyfunction("COUNTA(SPLIT(D54,"" ""))/COUNTA(SPLIT($B$47,"" ""))"),0.00476190476190476)</f>
        <v>0.004761904762</v>
      </c>
      <c r="F54" s="6"/>
      <c r="G54" s="6"/>
      <c r="H54" s="6"/>
      <c r="I54" s="6"/>
      <c r="J54" s="6"/>
      <c r="K54" s="51"/>
      <c r="L54" s="51"/>
      <c r="M54" s="51"/>
      <c r="N54" s="51"/>
      <c r="O54" s="51"/>
      <c r="P54" s="51"/>
      <c r="Q54" s="51"/>
      <c r="R54" s="51"/>
      <c r="S54" s="51"/>
      <c r="T54" s="51"/>
      <c r="U54" s="51"/>
      <c r="V54" s="51"/>
      <c r="W54" s="51"/>
      <c r="X54" s="51"/>
      <c r="Y54" s="51"/>
      <c r="Z54" s="51"/>
      <c r="AA54" s="51"/>
      <c r="AB54" s="51"/>
    </row>
    <row r="55" customFormat="false" ht="15.75" hidden="false" customHeight="false" outlineLevel="0" collapsed="false">
      <c r="A55" s="71"/>
      <c r="B55" s="71"/>
      <c r="C55" s="6" t="s">
        <v>20</v>
      </c>
      <c r="D55" s="49"/>
      <c r="E55" s="75" t="n">
        <f aca="false">IFERROR(__xludf.dummyfunction("COUNTA(SPLIT(D55,"" ""))/COUNTA(SPLIT($B$47,"" ""))"),0.00476190476190476)</f>
        <v>0.004761904762</v>
      </c>
      <c r="F55" s="6"/>
      <c r="G55" s="6"/>
      <c r="H55" s="6"/>
      <c r="I55" s="6"/>
      <c r="J55" s="6"/>
      <c r="K55" s="51"/>
      <c r="L55" s="51"/>
      <c r="M55" s="51"/>
      <c r="N55" s="51"/>
      <c r="O55" s="51"/>
      <c r="P55" s="51"/>
      <c r="Q55" s="51"/>
      <c r="R55" s="51"/>
      <c r="S55" s="51"/>
      <c r="T55" s="51"/>
      <c r="U55" s="51"/>
      <c r="V55" s="51"/>
      <c r="W55" s="51"/>
      <c r="X55" s="51"/>
      <c r="Y55" s="51"/>
      <c r="Z55" s="51"/>
      <c r="AA55" s="51"/>
      <c r="AB55" s="51"/>
    </row>
    <row r="56" customFormat="false" ht="15.75" hidden="false" customHeight="false" outlineLevel="0" collapsed="false">
      <c r="A56" s="51"/>
      <c r="B56" s="51"/>
      <c r="C56" s="6"/>
      <c r="D56" s="49"/>
      <c r="E56" s="51"/>
      <c r="F56" s="6"/>
      <c r="G56" s="6"/>
      <c r="H56" s="6"/>
      <c r="I56" s="6"/>
      <c r="J56" s="6"/>
      <c r="K56" s="51"/>
      <c r="L56" s="51"/>
      <c r="M56" s="51"/>
      <c r="N56" s="51"/>
      <c r="O56" s="51"/>
      <c r="P56" s="51"/>
      <c r="Q56" s="51"/>
      <c r="R56" s="51"/>
      <c r="S56" s="51"/>
      <c r="T56" s="51"/>
      <c r="U56" s="51"/>
      <c r="V56" s="51"/>
      <c r="W56" s="51"/>
      <c r="X56" s="51"/>
      <c r="Y56" s="51"/>
      <c r="Z56" s="51"/>
      <c r="AA56" s="51"/>
      <c r="AB56" s="51"/>
    </row>
    <row r="57" customFormat="false" ht="15.75" hidden="false" customHeight="false" outlineLevel="0" collapsed="false">
      <c r="A57" s="71"/>
      <c r="B57" s="55"/>
      <c r="C57" s="56" t="s">
        <v>18</v>
      </c>
      <c r="D57" s="57"/>
      <c r="E57" s="72" t="n">
        <f aca="false">IFERROR(__xludf.dummyfunction("COUNTA(SPLIT(D57,"" ""))/COUNTA(SPLIT($B$47,"" ""))"),0.00476190476190476)</f>
        <v>0.004761904762</v>
      </c>
      <c r="F57" s="56"/>
      <c r="G57" s="56"/>
      <c r="H57" s="56"/>
      <c r="I57" s="56"/>
      <c r="J57" s="56"/>
      <c r="K57" s="59"/>
      <c r="L57" s="59"/>
      <c r="M57" s="59"/>
      <c r="N57" s="59"/>
      <c r="O57" s="59"/>
      <c r="P57" s="59"/>
      <c r="Q57" s="59"/>
      <c r="R57" s="59"/>
      <c r="S57" s="59"/>
      <c r="T57" s="59"/>
      <c r="U57" s="59"/>
      <c r="V57" s="59"/>
      <c r="W57" s="59"/>
      <c r="X57" s="59"/>
      <c r="Y57" s="59"/>
      <c r="Z57" s="59"/>
      <c r="AA57" s="59"/>
      <c r="AB57" s="59"/>
    </row>
    <row r="58" customFormat="false" ht="15.75" hidden="false" customHeight="false" outlineLevel="0" collapsed="false">
      <c r="A58" s="71"/>
      <c r="B58" s="71"/>
      <c r="C58" s="6" t="s">
        <v>19</v>
      </c>
      <c r="D58" s="49"/>
      <c r="E58" s="73" t="n">
        <f aca="false">IFERROR(__xludf.dummyfunction("COUNTA(SPLIT(D58,"" ""))/COUNTA(SPLIT($B$47,"" ""))"),0.00476190476190476)</f>
        <v>0.004761904762</v>
      </c>
      <c r="F58" s="6"/>
      <c r="G58" s="6"/>
      <c r="H58" s="6"/>
      <c r="I58" s="6"/>
      <c r="J58" s="6"/>
      <c r="K58" s="51"/>
      <c r="L58" s="51"/>
      <c r="M58" s="51"/>
      <c r="N58" s="51"/>
      <c r="O58" s="51"/>
      <c r="P58" s="51"/>
      <c r="Q58" s="51"/>
      <c r="R58" s="51"/>
      <c r="S58" s="51"/>
      <c r="T58" s="51"/>
      <c r="U58" s="51"/>
      <c r="V58" s="51"/>
      <c r="W58" s="51"/>
      <c r="X58" s="51"/>
      <c r="Y58" s="51"/>
      <c r="Z58" s="51"/>
      <c r="AA58" s="51"/>
      <c r="AB58" s="51"/>
    </row>
    <row r="59" customFormat="false" ht="15.75" hidden="false" customHeight="false" outlineLevel="0" collapsed="false">
      <c r="A59" s="71"/>
      <c r="B59" s="71"/>
      <c r="C59" s="6" t="s">
        <v>8</v>
      </c>
      <c r="D59" s="49"/>
      <c r="E59" s="74" t="n">
        <f aca="false">IFERROR(__xludf.dummyfunction("COUNTA(SPLIT(D59,"" ""))/COUNTA(SPLIT($B$47,"" ""))"),0.00476190476190476)</f>
        <v>0.004761904762</v>
      </c>
      <c r="F59" s="6"/>
      <c r="G59" s="6"/>
      <c r="H59" s="6"/>
      <c r="I59" s="6"/>
      <c r="J59" s="6"/>
      <c r="K59" s="51"/>
      <c r="L59" s="51"/>
      <c r="M59" s="51"/>
      <c r="N59" s="51"/>
      <c r="O59" s="51"/>
      <c r="P59" s="51"/>
      <c r="Q59" s="51"/>
      <c r="R59" s="51"/>
      <c r="S59" s="51"/>
      <c r="T59" s="51"/>
      <c r="U59" s="51"/>
      <c r="V59" s="51"/>
      <c r="W59" s="51"/>
      <c r="X59" s="51"/>
      <c r="Y59" s="51"/>
      <c r="Z59" s="51"/>
      <c r="AA59" s="51"/>
      <c r="AB59" s="51"/>
    </row>
    <row r="60" customFormat="false" ht="15.75" hidden="false" customHeight="false" outlineLevel="0" collapsed="false">
      <c r="A60" s="71"/>
      <c r="B60" s="71"/>
      <c r="C60" s="6" t="s">
        <v>20</v>
      </c>
      <c r="D60" s="49"/>
      <c r="E60" s="75" t="n">
        <f aca="false">IFERROR(__xludf.dummyfunction("COUNTA(SPLIT(D60,"" ""))/COUNTA(SPLIT($B$47,"" ""))"),0.00476190476190476)</f>
        <v>0.004761904762</v>
      </c>
      <c r="F60" s="6"/>
      <c r="G60" s="6"/>
      <c r="H60" s="6"/>
      <c r="I60" s="6"/>
      <c r="J60" s="6"/>
      <c r="K60" s="51"/>
      <c r="L60" s="51"/>
      <c r="M60" s="51"/>
      <c r="N60" s="51"/>
      <c r="O60" s="51"/>
      <c r="P60" s="51"/>
      <c r="Q60" s="51"/>
      <c r="R60" s="51"/>
      <c r="S60" s="51"/>
      <c r="T60" s="51"/>
      <c r="U60" s="51"/>
      <c r="V60" s="51"/>
      <c r="W60" s="51"/>
      <c r="X60" s="51"/>
      <c r="Y60" s="51"/>
      <c r="Z60" s="51"/>
      <c r="AA60" s="51"/>
      <c r="AB60" s="51"/>
    </row>
    <row r="61" customFormat="false" ht="15.75" hidden="false" customHeight="false" outlineLevel="0" collapsed="false">
      <c r="A61" s="51"/>
      <c r="B61" s="51"/>
      <c r="C61" s="6"/>
      <c r="D61" s="49"/>
      <c r="E61" s="51"/>
      <c r="F61" s="6"/>
      <c r="G61" s="6"/>
      <c r="H61" s="6"/>
      <c r="I61" s="6"/>
      <c r="J61" s="6"/>
      <c r="K61" s="51"/>
      <c r="L61" s="51"/>
      <c r="M61" s="51"/>
      <c r="N61" s="51"/>
      <c r="O61" s="51"/>
      <c r="P61" s="51"/>
      <c r="Q61" s="51"/>
      <c r="R61" s="51"/>
      <c r="S61" s="51"/>
      <c r="T61" s="51"/>
      <c r="U61" s="51"/>
      <c r="V61" s="51"/>
      <c r="W61" s="51"/>
      <c r="X61" s="51"/>
      <c r="Y61" s="51"/>
      <c r="Z61" s="51"/>
      <c r="AA61" s="51"/>
      <c r="AB61" s="51"/>
    </row>
    <row r="62" customFormat="false" ht="15.75" hidden="false" customHeight="false" outlineLevel="0" collapsed="false">
      <c r="A62" s="71"/>
      <c r="B62" s="55"/>
      <c r="C62" s="56" t="s">
        <v>18</v>
      </c>
      <c r="D62" s="57"/>
      <c r="E62" s="72" t="n">
        <f aca="false">IFERROR(__xludf.dummyfunction("COUNTA(SPLIT(D62,"" ""))/COUNTA(SPLIT($B$47,"" ""))"),0.00476190476190476)</f>
        <v>0.004761904762</v>
      </c>
      <c r="F62" s="56"/>
      <c r="G62" s="56"/>
      <c r="H62" s="56"/>
      <c r="I62" s="56"/>
      <c r="J62" s="56"/>
      <c r="K62" s="59"/>
      <c r="L62" s="59"/>
      <c r="M62" s="59"/>
      <c r="N62" s="59"/>
      <c r="O62" s="59"/>
      <c r="P62" s="59"/>
      <c r="Q62" s="59"/>
      <c r="R62" s="59"/>
      <c r="S62" s="59"/>
      <c r="T62" s="59"/>
      <c r="U62" s="59"/>
      <c r="V62" s="59"/>
      <c r="W62" s="59"/>
      <c r="X62" s="59"/>
      <c r="Y62" s="59"/>
      <c r="Z62" s="59"/>
      <c r="AA62" s="59"/>
      <c r="AB62" s="59"/>
    </row>
    <row r="63" customFormat="false" ht="15.75" hidden="false" customHeight="false" outlineLevel="0" collapsed="false">
      <c r="A63" s="71"/>
      <c r="B63" s="71"/>
      <c r="C63" s="6" t="s">
        <v>19</v>
      </c>
      <c r="D63" s="49"/>
      <c r="E63" s="73" t="n">
        <f aca="false">IFERROR(__xludf.dummyfunction("COUNTA(SPLIT(D63,"" ""))/COUNTA(SPLIT($B$47,"" ""))"),0.00476190476190476)</f>
        <v>0.004761904762</v>
      </c>
      <c r="F63" s="6"/>
      <c r="G63" s="6"/>
      <c r="H63" s="6"/>
      <c r="I63" s="6"/>
      <c r="J63" s="6"/>
      <c r="K63" s="51"/>
      <c r="L63" s="51"/>
      <c r="M63" s="51"/>
      <c r="N63" s="51"/>
      <c r="O63" s="51"/>
      <c r="P63" s="51"/>
      <c r="Q63" s="51"/>
      <c r="R63" s="51"/>
      <c r="S63" s="51"/>
      <c r="T63" s="51"/>
      <c r="U63" s="51"/>
      <c r="V63" s="51"/>
      <c r="W63" s="51"/>
      <c r="X63" s="51"/>
      <c r="Y63" s="51"/>
      <c r="Z63" s="51"/>
      <c r="AA63" s="51"/>
      <c r="AB63" s="51"/>
    </row>
    <row r="64" customFormat="false" ht="15.75" hidden="false" customHeight="false" outlineLevel="0" collapsed="false">
      <c r="A64" s="71"/>
      <c r="B64" s="71"/>
      <c r="C64" s="6" t="s">
        <v>8</v>
      </c>
      <c r="D64" s="49"/>
      <c r="E64" s="74" t="n">
        <f aca="false">IFERROR(__xludf.dummyfunction("COUNTA(SPLIT(D64,"" ""))/COUNTA(SPLIT($B$47,"" ""))"),0.00476190476190476)</f>
        <v>0.004761904762</v>
      </c>
      <c r="F64" s="6"/>
      <c r="G64" s="6"/>
      <c r="H64" s="6"/>
      <c r="I64" s="6"/>
      <c r="J64" s="6"/>
      <c r="K64" s="51"/>
      <c r="L64" s="51"/>
      <c r="M64" s="51"/>
      <c r="N64" s="51"/>
      <c r="O64" s="51"/>
      <c r="P64" s="51"/>
      <c r="Q64" s="51"/>
      <c r="R64" s="51"/>
      <c r="S64" s="51"/>
      <c r="T64" s="51"/>
      <c r="U64" s="51"/>
      <c r="V64" s="51"/>
      <c r="W64" s="51"/>
      <c r="X64" s="51"/>
      <c r="Y64" s="51"/>
      <c r="Z64" s="51"/>
      <c r="AA64" s="51"/>
      <c r="AB64" s="51"/>
    </row>
    <row r="65" customFormat="false" ht="15.75" hidden="false" customHeight="false" outlineLevel="0" collapsed="false">
      <c r="A65" s="71"/>
      <c r="B65" s="71"/>
      <c r="C65" s="6" t="s">
        <v>20</v>
      </c>
      <c r="D65" s="49"/>
      <c r="E65" s="75" t="n">
        <f aca="false">IFERROR(__xludf.dummyfunction("COUNTA(SPLIT(D65,"" ""))/COUNTA(SPLIT($B$47,"" ""))"),0.00476190476190476)</f>
        <v>0.004761904762</v>
      </c>
      <c r="F65" s="6"/>
      <c r="G65" s="6"/>
      <c r="H65" s="6"/>
      <c r="I65" s="6"/>
      <c r="J65" s="6"/>
      <c r="K65" s="51"/>
      <c r="L65" s="51"/>
      <c r="M65" s="51"/>
      <c r="N65" s="51"/>
      <c r="O65" s="51"/>
      <c r="P65" s="51"/>
      <c r="Q65" s="51"/>
      <c r="R65" s="51"/>
      <c r="S65" s="51"/>
      <c r="T65" s="51"/>
      <c r="U65" s="51"/>
      <c r="V65" s="51"/>
      <c r="W65" s="51"/>
      <c r="X65" s="51"/>
      <c r="Y65" s="51"/>
      <c r="Z65" s="51"/>
      <c r="AA65" s="51"/>
      <c r="AB65" s="51"/>
    </row>
    <row r="66" customFormat="false" ht="15.75" hidden="false" customHeight="false" outlineLevel="0" collapsed="false">
      <c r="A66" s="51"/>
      <c r="B66" s="51"/>
      <c r="C66" s="6"/>
      <c r="D66" s="49"/>
      <c r="E66" s="51"/>
      <c r="F66" s="6"/>
      <c r="G66" s="6"/>
      <c r="H66" s="6"/>
      <c r="I66" s="6"/>
      <c r="J66" s="6"/>
      <c r="K66" s="51"/>
      <c r="L66" s="51"/>
      <c r="M66" s="51"/>
      <c r="N66" s="51"/>
      <c r="O66" s="51"/>
      <c r="P66" s="51"/>
      <c r="Q66" s="51"/>
      <c r="R66" s="51"/>
      <c r="S66" s="51"/>
      <c r="T66" s="51"/>
      <c r="U66" s="51"/>
      <c r="V66" s="51"/>
      <c r="W66" s="51"/>
      <c r="X66" s="51"/>
      <c r="Y66" s="51"/>
      <c r="Z66" s="51"/>
      <c r="AA66" s="51"/>
      <c r="AB66" s="51"/>
    </row>
    <row r="67" customFormat="false" ht="15.75" hidden="false" customHeight="false" outlineLevel="0" collapsed="false">
      <c r="A67" s="71"/>
      <c r="B67" s="55"/>
      <c r="C67" s="56" t="s">
        <v>18</v>
      </c>
      <c r="D67" s="57"/>
      <c r="E67" s="72" t="n">
        <f aca="false">IFERROR(__xludf.dummyfunction("COUNTA(SPLIT(D67,"" ""))/COUNTA(SPLIT($B$47,"" ""))"),0.00476190476190476)</f>
        <v>0.004761904762</v>
      </c>
      <c r="F67" s="56"/>
      <c r="G67" s="56"/>
      <c r="H67" s="56"/>
      <c r="I67" s="56"/>
      <c r="J67" s="56"/>
      <c r="K67" s="59"/>
      <c r="L67" s="59"/>
      <c r="M67" s="59"/>
      <c r="N67" s="59"/>
      <c r="O67" s="59"/>
      <c r="P67" s="59"/>
      <c r="Q67" s="59"/>
      <c r="R67" s="59"/>
      <c r="S67" s="59"/>
      <c r="T67" s="59"/>
      <c r="U67" s="59"/>
      <c r="V67" s="59"/>
      <c r="W67" s="59"/>
      <c r="X67" s="59"/>
      <c r="Y67" s="59"/>
      <c r="Z67" s="59"/>
      <c r="AA67" s="59"/>
      <c r="AB67" s="59"/>
    </row>
    <row r="68" customFormat="false" ht="15.75" hidden="false" customHeight="false" outlineLevel="0" collapsed="false">
      <c r="A68" s="71"/>
      <c r="B68" s="71"/>
      <c r="C68" s="6" t="s">
        <v>19</v>
      </c>
      <c r="D68" s="49"/>
      <c r="E68" s="73" t="n">
        <f aca="false">IFERROR(__xludf.dummyfunction("COUNTA(SPLIT(D68,"" ""))/COUNTA(SPLIT($B$47,"" ""))"),0.00476190476190476)</f>
        <v>0.004761904762</v>
      </c>
      <c r="F68" s="6"/>
      <c r="G68" s="6"/>
      <c r="H68" s="6"/>
      <c r="I68" s="6"/>
      <c r="J68" s="6"/>
      <c r="K68" s="51"/>
      <c r="L68" s="51"/>
      <c r="M68" s="51"/>
      <c r="N68" s="51"/>
      <c r="O68" s="51"/>
      <c r="P68" s="51"/>
      <c r="Q68" s="51"/>
      <c r="R68" s="51"/>
      <c r="S68" s="51"/>
      <c r="T68" s="51"/>
      <c r="U68" s="51"/>
      <c r="V68" s="51"/>
      <c r="W68" s="51"/>
      <c r="X68" s="51"/>
      <c r="Y68" s="51"/>
      <c r="Z68" s="51"/>
      <c r="AA68" s="51"/>
      <c r="AB68" s="51"/>
    </row>
    <row r="69" customFormat="false" ht="15.75" hidden="false" customHeight="false" outlineLevel="0" collapsed="false">
      <c r="A69" s="71"/>
      <c r="B69" s="71"/>
      <c r="C69" s="6" t="s">
        <v>8</v>
      </c>
      <c r="D69" s="49"/>
      <c r="E69" s="74" t="n">
        <f aca="false">IFERROR(__xludf.dummyfunction("COUNTA(SPLIT(D69,"" ""))/COUNTA(SPLIT($B$47,"" ""))"),0.00476190476190476)</f>
        <v>0.004761904762</v>
      </c>
      <c r="F69" s="6"/>
      <c r="G69" s="6"/>
      <c r="H69" s="6"/>
      <c r="I69" s="6"/>
      <c r="J69" s="6"/>
      <c r="K69" s="51"/>
      <c r="L69" s="51"/>
      <c r="M69" s="51"/>
      <c r="N69" s="51"/>
      <c r="O69" s="51"/>
      <c r="P69" s="51"/>
      <c r="Q69" s="51"/>
      <c r="R69" s="51"/>
      <c r="S69" s="51"/>
      <c r="T69" s="51"/>
      <c r="U69" s="51"/>
      <c r="V69" s="51"/>
      <c r="W69" s="51"/>
      <c r="X69" s="51"/>
      <c r="Y69" s="51"/>
      <c r="Z69" s="51"/>
      <c r="AA69" s="51"/>
      <c r="AB69" s="51"/>
    </row>
    <row r="70" customFormat="false" ht="15.75" hidden="false" customHeight="false" outlineLevel="0" collapsed="false">
      <c r="A70" s="71"/>
      <c r="B70" s="71"/>
      <c r="C70" s="6" t="s">
        <v>20</v>
      </c>
      <c r="D70" s="49"/>
      <c r="E70" s="75" t="n">
        <f aca="false">IFERROR(__xludf.dummyfunction("COUNTA(SPLIT(D70,"" ""))/COUNTA(SPLIT($B$47,"" ""))"),0.00476190476190476)</f>
        <v>0.004761904762</v>
      </c>
      <c r="F70" s="6"/>
      <c r="G70" s="6"/>
      <c r="H70" s="6"/>
      <c r="I70" s="6"/>
      <c r="J70" s="6"/>
      <c r="K70" s="51"/>
      <c r="L70" s="51"/>
      <c r="M70" s="51"/>
      <c r="N70" s="51"/>
      <c r="O70" s="51"/>
      <c r="P70" s="51"/>
      <c r="Q70" s="51"/>
      <c r="R70" s="51"/>
      <c r="S70" s="51"/>
      <c r="T70" s="51"/>
      <c r="U70" s="51"/>
      <c r="V70" s="51"/>
      <c r="W70" s="51"/>
      <c r="X70" s="51"/>
      <c r="Y70" s="51"/>
      <c r="Z70" s="51"/>
      <c r="AA70" s="51"/>
      <c r="AB70" s="51"/>
    </row>
    <row r="71" customFormat="false" ht="15.75" hidden="false" customHeight="false" outlineLevel="0" collapsed="false">
      <c r="A71" s="51"/>
      <c r="B71" s="51"/>
      <c r="C71" s="6"/>
      <c r="D71" s="49"/>
      <c r="E71" s="51"/>
      <c r="F71" s="6"/>
      <c r="G71" s="6"/>
      <c r="H71" s="6"/>
      <c r="I71" s="6"/>
      <c r="J71" s="6"/>
      <c r="K71" s="51"/>
      <c r="L71" s="51"/>
      <c r="M71" s="51"/>
      <c r="N71" s="51"/>
      <c r="O71" s="51"/>
      <c r="P71" s="51"/>
      <c r="Q71" s="51"/>
      <c r="R71" s="51"/>
      <c r="S71" s="51"/>
      <c r="T71" s="51"/>
      <c r="U71" s="51"/>
      <c r="V71" s="51"/>
      <c r="W71" s="51"/>
      <c r="X71" s="51"/>
      <c r="Y71" s="51"/>
      <c r="Z71" s="51"/>
      <c r="AA71" s="51"/>
      <c r="AB71" s="51"/>
    </row>
    <row r="72" customFormat="false" ht="15.75" hidden="false" customHeight="false" outlineLevel="0" collapsed="false">
      <c r="A72" s="71"/>
      <c r="B72" s="55"/>
      <c r="C72" s="56" t="s">
        <v>18</v>
      </c>
      <c r="D72" s="57"/>
      <c r="E72" s="72" t="n">
        <f aca="false">IFERROR(__xludf.dummyfunction("COUNTA(SPLIT(D72,"" ""))/COUNTA(SPLIT($B$47,"" ""))"),0.00476190476190476)</f>
        <v>0.004761904762</v>
      </c>
      <c r="F72" s="56"/>
      <c r="G72" s="56"/>
      <c r="H72" s="56"/>
      <c r="I72" s="56"/>
      <c r="J72" s="56"/>
      <c r="K72" s="59"/>
      <c r="L72" s="59"/>
      <c r="M72" s="59"/>
      <c r="N72" s="59"/>
      <c r="O72" s="59"/>
      <c r="P72" s="59"/>
      <c r="Q72" s="59"/>
      <c r="R72" s="59"/>
      <c r="S72" s="59"/>
      <c r="T72" s="59"/>
      <c r="U72" s="59"/>
      <c r="V72" s="59"/>
      <c r="W72" s="59"/>
      <c r="X72" s="59"/>
      <c r="Y72" s="59"/>
      <c r="Z72" s="59"/>
      <c r="AA72" s="59"/>
      <c r="AB72" s="59"/>
    </row>
    <row r="73" customFormat="false" ht="15.75" hidden="false" customHeight="false" outlineLevel="0" collapsed="false">
      <c r="A73" s="71"/>
      <c r="B73" s="71"/>
      <c r="C73" s="6" t="s">
        <v>19</v>
      </c>
      <c r="D73" s="49"/>
      <c r="E73" s="73" t="n">
        <f aca="false">IFERROR(__xludf.dummyfunction("COUNTA(SPLIT(D73,"" ""))/COUNTA(SPLIT($B$47,"" ""))"),0.00476190476190476)</f>
        <v>0.004761904762</v>
      </c>
      <c r="F73" s="6"/>
      <c r="G73" s="6"/>
      <c r="H73" s="6"/>
      <c r="I73" s="6"/>
      <c r="J73" s="6"/>
      <c r="K73" s="51"/>
      <c r="L73" s="51"/>
      <c r="M73" s="51"/>
      <c r="N73" s="51"/>
      <c r="O73" s="51"/>
      <c r="P73" s="51"/>
      <c r="Q73" s="51"/>
      <c r="R73" s="51"/>
      <c r="S73" s="51"/>
      <c r="T73" s="51"/>
      <c r="U73" s="51"/>
      <c r="V73" s="51"/>
      <c r="W73" s="51"/>
      <c r="X73" s="51"/>
      <c r="Y73" s="51"/>
      <c r="Z73" s="51"/>
      <c r="AA73" s="51"/>
      <c r="AB73" s="51"/>
    </row>
    <row r="74" customFormat="false" ht="15.75" hidden="false" customHeight="false" outlineLevel="0" collapsed="false">
      <c r="A74" s="71"/>
      <c r="B74" s="71"/>
      <c r="C74" s="6" t="s">
        <v>8</v>
      </c>
      <c r="D74" s="49"/>
      <c r="E74" s="74" t="n">
        <f aca="false">IFERROR(__xludf.dummyfunction("COUNTA(SPLIT(D74,"" ""))/COUNTA(SPLIT($B$47,"" ""))"),0.00476190476190476)</f>
        <v>0.004761904762</v>
      </c>
      <c r="F74" s="6"/>
      <c r="G74" s="6"/>
      <c r="H74" s="6"/>
      <c r="I74" s="6"/>
      <c r="J74" s="6"/>
      <c r="K74" s="51"/>
      <c r="L74" s="51"/>
      <c r="M74" s="51"/>
      <c r="N74" s="51"/>
      <c r="O74" s="51"/>
      <c r="P74" s="51"/>
      <c r="Q74" s="51"/>
      <c r="R74" s="51"/>
      <c r="S74" s="51"/>
      <c r="T74" s="51"/>
      <c r="U74" s="51"/>
      <c r="V74" s="51"/>
      <c r="W74" s="51"/>
      <c r="X74" s="51"/>
      <c r="Y74" s="51"/>
      <c r="Z74" s="51"/>
      <c r="AA74" s="51"/>
      <c r="AB74" s="51"/>
    </row>
    <row r="75" customFormat="false" ht="15.75" hidden="false" customHeight="false" outlineLevel="0" collapsed="false">
      <c r="A75" s="71"/>
      <c r="B75" s="71"/>
      <c r="C75" s="6" t="s">
        <v>20</v>
      </c>
      <c r="D75" s="49"/>
      <c r="E75" s="75" t="n">
        <f aca="false">IFERROR(__xludf.dummyfunction("COUNTA(SPLIT(D75,"" ""))/COUNTA(SPLIT($B$47,"" ""))"),0.00476190476190476)</f>
        <v>0.004761904762</v>
      </c>
      <c r="F75" s="6"/>
      <c r="G75" s="6"/>
      <c r="H75" s="6"/>
      <c r="I75" s="6"/>
      <c r="J75" s="6"/>
      <c r="K75" s="51"/>
      <c r="L75" s="51"/>
      <c r="M75" s="51"/>
      <c r="N75" s="51"/>
      <c r="O75" s="51"/>
      <c r="P75" s="51"/>
      <c r="Q75" s="51"/>
      <c r="R75" s="51"/>
      <c r="S75" s="51"/>
      <c r="T75" s="51"/>
      <c r="U75" s="51"/>
      <c r="V75" s="51"/>
      <c r="W75" s="51"/>
      <c r="X75" s="51"/>
      <c r="Y75" s="51"/>
      <c r="Z75" s="51"/>
      <c r="AA75" s="51"/>
      <c r="AB75" s="51"/>
    </row>
    <row r="76" customFormat="false" ht="15.75" hidden="false" customHeight="false" outlineLevel="0" collapsed="false">
      <c r="A76" s="51"/>
      <c r="B76" s="51"/>
      <c r="C76" s="6"/>
      <c r="D76" s="49"/>
      <c r="E76" s="51"/>
      <c r="F76" s="6"/>
      <c r="G76" s="6"/>
      <c r="H76" s="6"/>
      <c r="I76" s="6"/>
      <c r="J76" s="6"/>
      <c r="K76" s="51"/>
      <c r="L76" s="51"/>
      <c r="M76" s="51"/>
      <c r="N76" s="51"/>
      <c r="O76" s="51"/>
      <c r="P76" s="51"/>
      <c r="Q76" s="51"/>
      <c r="R76" s="51"/>
      <c r="S76" s="51"/>
      <c r="T76" s="51"/>
      <c r="U76" s="51"/>
      <c r="V76" s="51"/>
      <c r="W76" s="51"/>
      <c r="X76" s="51"/>
      <c r="Y76" s="51"/>
      <c r="Z76" s="51"/>
      <c r="AA76" s="51"/>
      <c r="AB76" s="51"/>
    </row>
    <row r="77" customFormat="false" ht="15.75" hidden="false" customHeight="false" outlineLevel="0" collapsed="false">
      <c r="A77" s="71"/>
      <c r="B77" s="55"/>
      <c r="C77" s="56" t="s">
        <v>18</v>
      </c>
      <c r="D77" s="57"/>
      <c r="E77" s="72" t="n">
        <f aca="false">IFERROR(__xludf.dummyfunction("COUNTA(SPLIT(D77,"" ""))/COUNTA(SPLIT($B$47,"" ""))"),0.00476190476190476)</f>
        <v>0.004761904762</v>
      </c>
      <c r="F77" s="56"/>
      <c r="G77" s="56"/>
      <c r="H77" s="56"/>
      <c r="I77" s="56"/>
      <c r="J77" s="56"/>
      <c r="K77" s="59"/>
      <c r="L77" s="59"/>
      <c r="M77" s="59"/>
      <c r="N77" s="59"/>
      <c r="O77" s="59"/>
      <c r="P77" s="59"/>
      <c r="Q77" s="59"/>
      <c r="R77" s="59"/>
      <c r="S77" s="59"/>
      <c r="T77" s="59"/>
      <c r="U77" s="59"/>
      <c r="V77" s="59"/>
      <c r="W77" s="59"/>
      <c r="X77" s="59"/>
      <c r="Y77" s="59"/>
      <c r="Z77" s="59"/>
      <c r="AA77" s="59"/>
      <c r="AB77" s="59"/>
    </row>
    <row r="78" customFormat="false" ht="15.75" hidden="false" customHeight="false" outlineLevel="0" collapsed="false">
      <c r="A78" s="71"/>
      <c r="B78" s="71"/>
      <c r="C78" s="6" t="s">
        <v>19</v>
      </c>
      <c r="D78" s="49"/>
      <c r="E78" s="73" t="n">
        <f aca="false">IFERROR(__xludf.dummyfunction("COUNTA(SPLIT(D78,"" ""))/COUNTA(SPLIT($B$47,"" ""))"),0.00476190476190476)</f>
        <v>0.004761904762</v>
      </c>
      <c r="F78" s="6"/>
      <c r="G78" s="6"/>
      <c r="H78" s="6"/>
      <c r="I78" s="6"/>
      <c r="J78" s="6"/>
      <c r="K78" s="51"/>
      <c r="L78" s="51"/>
      <c r="M78" s="51"/>
      <c r="N78" s="51"/>
      <c r="O78" s="51"/>
      <c r="P78" s="51"/>
      <c r="Q78" s="51"/>
      <c r="R78" s="51"/>
      <c r="S78" s="51"/>
      <c r="T78" s="51"/>
      <c r="U78" s="51"/>
      <c r="V78" s="51"/>
      <c r="W78" s="51"/>
      <c r="X78" s="51"/>
      <c r="Y78" s="51"/>
      <c r="Z78" s="51"/>
      <c r="AA78" s="51"/>
      <c r="AB78" s="51"/>
    </row>
    <row r="79" customFormat="false" ht="15.75" hidden="false" customHeight="false" outlineLevel="0" collapsed="false">
      <c r="A79" s="71"/>
      <c r="B79" s="71"/>
      <c r="C79" s="6" t="s">
        <v>8</v>
      </c>
      <c r="D79" s="49"/>
      <c r="E79" s="74" t="n">
        <f aca="false">IFERROR(__xludf.dummyfunction("COUNTA(SPLIT(D79,"" ""))/COUNTA(SPLIT($B$47,"" ""))"),0.00476190476190476)</f>
        <v>0.004761904762</v>
      </c>
      <c r="F79" s="6"/>
      <c r="G79" s="6"/>
      <c r="H79" s="6"/>
      <c r="I79" s="6"/>
      <c r="J79" s="6"/>
      <c r="K79" s="51"/>
      <c r="L79" s="51"/>
      <c r="M79" s="51"/>
      <c r="N79" s="51"/>
      <c r="O79" s="51"/>
      <c r="P79" s="51"/>
      <c r="Q79" s="51"/>
      <c r="R79" s="51"/>
      <c r="S79" s="51"/>
      <c r="T79" s="51"/>
      <c r="U79" s="51"/>
      <c r="V79" s="51"/>
      <c r="W79" s="51"/>
      <c r="X79" s="51"/>
      <c r="Y79" s="51"/>
      <c r="Z79" s="51"/>
      <c r="AA79" s="51"/>
      <c r="AB79" s="51"/>
    </row>
    <row r="80" customFormat="false" ht="15.75" hidden="false" customHeight="false" outlineLevel="0" collapsed="false">
      <c r="A80" s="71"/>
      <c r="B80" s="71"/>
      <c r="C80" s="6" t="s">
        <v>20</v>
      </c>
      <c r="D80" s="49"/>
      <c r="E80" s="75" t="n">
        <f aca="false">IFERROR(__xludf.dummyfunction("COUNTA(SPLIT(D80,"" ""))/COUNTA(SPLIT($B$47,"" ""))"),0.00476190476190476)</f>
        <v>0.004761904762</v>
      </c>
      <c r="F80" s="6"/>
      <c r="G80" s="6"/>
      <c r="H80" s="6"/>
      <c r="I80" s="6"/>
      <c r="J80" s="6"/>
      <c r="K80" s="51"/>
      <c r="L80" s="51"/>
      <c r="M80" s="51"/>
      <c r="N80" s="51"/>
      <c r="O80" s="51"/>
      <c r="P80" s="51"/>
      <c r="Q80" s="51"/>
      <c r="R80" s="51"/>
      <c r="S80" s="51"/>
      <c r="T80" s="51"/>
      <c r="U80" s="51"/>
      <c r="V80" s="51"/>
      <c r="W80" s="51"/>
      <c r="X80" s="51"/>
      <c r="Y80" s="51"/>
      <c r="Z80" s="51"/>
      <c r="AA80" s="51"/>
      <c r="AB80" s="51"/>
    </row>
    <row r="81" customFormat="false" ht="15.75" hidden="false" customHeight="false" outlineLevel="0" collapsed="false">
      <c r="A81" s="51"/>
      <c r="B81" s="51"/>
      <c r="C81" s="6"/>
      <c r="D81" s="49"/>
      <c r="E81" s="51"/>
      <c r="F81" s="6"/>
      <c r="G81" s="6"/>
      <c r="H81" s="6"/>
      <c r="I81" s="6"/>
      <c r="J81" s="6"/>
      <c r="K81" s="51"/>
      <c r="L81" s="51"/>
      <c r="M81" s="51"/>
      <c r="N81" s="51"/>
      <c r="O81" s="51"/>
      <c r="P81" s="51"/>
      <c r="Q81" s="51"/>
      <c r="R81" s="51"/>
      <c r="S81" s="51"/>
      <c r="T81" s="51"/>
      <c r="U81" s="51"/>
      <c r="V81" s="51"/>
      <c r="W81" s="51"/>
      <c r="X81" s="51"/>
      <c r="Y81" s="51"/>
      <c r="Z81" s="51"/>
      <c r="AA81" s="51"/>
      <c r="AB81" s="51"/>
    </row>
    <row r="82" customFormat="false" ht="15.75" hidden="false" customHeight="false" outlineLevel="0" collapsed="false">
      <c r="A82" s="71"/>
      <c r="B82" s="55"/>
      <c r="C82" s="56" t="s">
        <v>18</v>
      </c>
      <c r="D82" s="57"/>
      <c r="E82" s="72" t="n">
        <f aca="false">IFERROR(__xludf.dummyfunction("COUNTA(SPLIT(D82,"" ""))/COUNTA(SPLIT($B$47,"" ""))"),0.00476190476190476)</f>
        <v>0.004761904762</v>
      </c>
      <c r="F82" s="56"/>
      <c r="G82" s="56"/>
      <c r="H82" s="56"/>
      <c r="I82" s="56"/>
      <c r="J82" s="56"/>
      <c r="K82" s="59"/>
      <c r="L82" s="59"/>
      <c r="M82" s="59"/>
      <c r="N82" s="59"/>
      <c r="O82" s="59"/>
      <c r="P82" s="59"/>
      <c r="Q82" s="59"/>
      <c r="R82" s="59"/>
      <c r="S82" s="59"/>
      <c r="T82" s="59"/>
      <c r="U82" s="59"/>
      <c r="V82" s="59"/>
      <c r="W82" s="59"/>
      <c r="X82" s="59"/>
      <c r="Y82" s="59"/>
      <c r="Z82" s="59"/>
      <c r="AA82" s="59"/>
      <c r="AB82" s="59"/>
    </row>
    <row r="83" customFormat="false" ht="15.75" hidden="false" customHeight="false" outlineLevel="0" collapsed="false">
      <c r="A83" s="71"/>
      <c r="B83" s="71"/>
      <c r="C83" s="6" t="s">
        <v>19</v>
      </c>
      <c r="D83" s="49"/>
      <c r="E83" s="73" t="n">
        <f aca="false">IFERROR(__xludf.dummyfunction("COUNTA(SPLIT(D83,"" ""))/COUNTA(SPLIT($B$47,"" ""))"),0.00476190476190476)</f>
        <v>0.004761904762</v>
      </c>
      <c r="F83" s="6"/>
      <c r="G83" s="6"/>
      <c r="H83" s="6"/>
      <c r="I83" s="6"/>
      <c r="J83" s="6"/>
      <c r="K83" s="51"/>
      <c r="L83" s="51"/>
      <c r="M83" s="51"/>
      <c r="N83" s="51"/>
      <c r="O83" s="51"/>
      <c r="P83" s="51"/>
      <c r="Q83" s="51"/>
      <c r="R83" s="51"/>
      <c r="S83" s="51"/>
      <c r="T83" s="51"/>
      <c r="U83" s="51"/>
      <c r="V83" s="51"/>
      <c r="W83" s="51"/>
      <c r="X83" s="51"/>
      <c r="Y83" s="51"/>
      <c r="Z83" s="51"/>
      <c r="AA83" s="51"/>
      <c r="AB83" s="51"/>
    </row>
    <row r="84" customFormat="false" ht="15.75" hidden="false" customHeight="false" outlineLevel="0" collapsed="false">
      <c r="A84" s="71"/>
      <c r="B84" s="71"/>
      <c r="C84" s="6" t="s">
        <v>8</v>
      </c>
      <c r="D84" s="49"/>
      <c r="E84" s="74" t="n">
        <f aca="false">IFERROR(__xludf.dummyfunction("COUNTA(SPLIT(D84,"" ""))/COUNTA(SPLIT($B$47,"" ""))"),0.00476190476190476)</f>
        <v>0.004761904762</v>
      </c>
      <c r="F84" s="6"/>
      <c r="G84" s="6"/>
      <c r="H84" s="6"/>
      <c r="I84" s="6"/>
      <c r="J84" s="6"/>
      <c r="K84" s="51"/>
      <c r="L84" s="51"/>
      <c r="M84" s="51"/>
      <c r="N84" s="51"/>
      <c r="O84" s="51"/>
      <c r="P84" s="51"/>
      <c r="Q84" s="51"/>
      <c r="R84" s="51"/>
      <c r="S84" s="51"/>
      <c r="T84" s="51"/>
      <c r="U84" s="51"/>
      <c r="V84" s="51"/>
      <c r="W84" s="51"/>
      <c r="X84" s="51"/>
      <c r="Y84" s="51"/>
      <c r="Z84" s="51"/>
      <c r="AA84" s="51"/>
      <c r="AB84" s="51"/>
    </row>
    <row r="85" customFormat="false" ht="15.75" hidden="false" customHeight="false" outlineLevel="0" collapsed="false">
      <c r="A85" s="71"/>
      <c r="B85" s="71"/>
      <c r="C85" s="6" t="s">
        <v>20</v>
      </c>
      <c r="D85" s="49"/>
      <c r="E85" s="75" t="n">
        <f aca="false">IFERROR(__xludf.dummyfunction("COUNTA(SPLIT(D85,"" ""))/COUNTA(SPLIT($B$47,"" ""))"),0.00476190476190476)</f>
        <v>0.004761904762</v>
      </c>
      <c r="F85" s="6"/>
      <c r="G85" s="6"/>
      <c r="H85" s="6"/>
      <c r="I85" s="6"/>
      <c r="J85" s="6"/>
      <c r="K85" s="51"/>
      <c r="L85" s="51"/>
      <c r="M85" s="51"/>
      <c r="N85" s="51"/>
      <c r="O85" s="51"/>
      <c r="P85" s="51"/>
      <c r="Q85" s="51"/>
      <c r="R85" s="51"/>
      <c r="S85" s="51"/>
      <c r="T85" s="51"/>
      <c r="U85" s="51"/>
      <c r="V85" s="51"/>
      <c r="W85" s="51"/>
      <c r="X85" s="51"/>
      <c r="Y85" s="51"/>
      <c r="Z85" s="51"/>
      <c r="AA85" s="51"/>
      <c r="AB85" s="51"/>
    </row>
    <row r="86" customFormat="false" ht="15.75" hidden="false" customHeight="false" outlineLevel="0" collapsed="false">
      <c r="A86" s="51"/>
      <c r="B86" s="51"/>
      <c r="C86" s="6"/>
      <c r="D86" s="49"/>
      <c r="E86" s="51"/>
      <c r="F86" s="6"/>
      <c r="G86" s="6"/>
      <c r="H86" s="6"/>
      <c r="I86" s="6"/>
      <c r="J86" s="6"/>
      <c r="K86" s="51"/>
      <c r="L86" s="51"/>
      <c r="M86" s="51"/>
      <c r="N86" s="51"/>
      <c r="O86" s="51"/>
      <c r="P86" s="51"/>
      <c r="Q86" s="51"/>
      <c r="R86" s="51"/>
      <c r="S86" s="51"/>
      <c r="T86" s="51"/>
      <c r="U86" s="51"/>
      <c r="V86" s="51"/>
      <c r="W86" s="51"/>
      <c r="X86" s="51"/>
      <c r="Y86" s="51"/>
      <c r="Z86" s="51"/>
      <c r="AA86" s="51"/>
      <c r="AB86" s="51"/>
    </row>
    <row r="87" customFormat="false" ht="15.75" hidden="false" customHeight="false" outlineLevel="0" collapsed="false">
      <c r="A87" s="71"/>
      <c r="B87" s="55"/>
      <c r="C87" s="56" t="s">
        <v>18</v>
      </c>
      <c r="D87" s="57"/>
      <c r="E87" s="72" t="n">
        <f aca="false">IFERROR(__xludf.dummyfunction("COUNTA(SPLIT(D87,"" ""))/COUNTA(SPLIT($B$47,"" ""))"),0.00476190476190476)</f>
        <v>0.004761904762</v>
      </c>
      <c r="F87" s="56"/>
      <c r="G87" s="56"/>
      <c r="H87" s="56"/>
      <c r="I87" s="56"/>
      <c r="J87" s="56"/>
      <c r="K87" s="59"/>
      <c r="L87" s="59"/>
      <c r="M87" s="59"/>
      <c r="N87" s="59"/>
      <c r="O87" s="59"/>
      <c r="P87" s="59"/>
      <c r="Q87" s="59"/>
      <c r="R87" s="59"/>
      <c r="S87" s="59"/>
      <c r="T87" s="59"/>
      <c r="U87" s="59"/>
      <c r="V87" s="59"/>
      <c r="W87" s="59"/>
      <c r="X87" s="59"/>
      <c r="Y87" s="59"/>
      <c r="Z87" s="59"/>
      <c r="AA87" s="59"/>
      <c r="AB87" s="59"/>
    </row>
    <row r="88" customFormat="false" ht="15.75" hidden="false" customHeight="false" outlineLevel="0" collapsed="false">
      <c r="A88" s="71"/>
      <c r="B88" s="71"/>
      <c r="C88" s="6" t="s">
        <v>19</v>
      </c>
      <c r="D88" s="49"/>
      <c r="E88" s="73" t="n">
        <f aca="false">IFERROR(__xludf.dummyfunction("COUNTA(SPLIT(D88,"" ""))/COUNTA(SPLIT($B$47,"" ""))"),0.00476190476190476)</f>
        <v>0.004761904762</v>
      </c>
      <c r="F88" s="6"/>
      <c r="G88" s="6"/>
      <c r="H88" s="6"/>
      <c r="I88" s="6"/>
      <c r="J88" s="6"/>
      <c r="K88" s="51"/>
      <c r="L88" s="51"/>
      <c r="M88" s="51"/>
      <c r="N88" s="51"/>
      <c r="O88" s="51"/>
      <c r="P88" s="51"/>
      <c r="Q88" s="51"/>
      <c r="R88" s="51"/>
      <c r="S88" s="51"/>
      <c r="T88" s="51"/>
      <c r="U88" s="51"/>
      <c r="V88" s="51"/>
      <c r="W88" s="51"/>
      <c r="X88" s="51"/>
      <c r="Y88" s="51"/>
      <c r="Z88" s="51"/>
      <c r="AA88" s="51"/>
      <c r="AB88" s="51"/>
    </row>
    <row r="89" customFormat="false" ht="15.75" hidden="false" customHeight="false" outlineLevel="0" collapsed="false">
      <c r="A89" s="71"/>
      <c r="B89" s="71"/>
      <c r="C89" s="6" t="s">
        <v>8</v>
      </c>
      <c r="D89" s="49"/>
      <c r="E89" s="74" t="n">
        <f aca="false">IFERROR(__xludf.dummyfunction("COUNTA(SPLIT(D89,"" ""))/COUNTA(SPLIT($B$47,"" ""))"),0.00476190476190476)</f>
        <v>0.004761904762</v>
      </c>
      <c r="F89" s="6"/>
      <c r="G89" s="6"/>
      <c r="H89" s="6"/>
      <c r="I89" s="6"/>
      <c r="J89" s="6"/>
      <c r="K89" s="51"/>
      <c r="L89" s="51"/>
      <c r="M89" s="51"/>
      <c r="N89" s="51"/>
      <c r="O89" s="51"/>
      <c r="P89" s="51"/>
      <c r="Q89" s="51"/>
      <c r="R89" s="51"/>
      <c r="S89" s="51"/>
      <c r="T89" s="51"/>
      <c r="U89" s="51"/>
      <c r="V89" s="51"/>
      <c r="W89" s="51"/>
      <c r="X89" s="51"/>
      <c r="Y89" s="51"/>
      <c r="Z89" s="51"/>
      <c r="AA89" s="51"/>
      <c r="AB89" s="51"/>
    </row>
    <row r="90" customFormat="false" ht="15.75" hidden="false" customHeight="false" outlineLevel="0" collapsed="false">
      <c r="A90" s="71"/>
      <c r="B90" s="71"/>
      <c r="C90" s="6" t="s">
        <v>20</v>
      </c>
      <c r="D90" s="49"/>
      <c r="E90" s="75" t="n">
        <f aca="false">IFERROR(__xludf.dummyfunction("COUNTA(SPLIT(D90,"" ""))/COUNTA(SPLIT($B$47,"" ""))"),0.00476190476190476)</f>
        <v>0.004761904762</v>
      </c>
      <c r="F90" s="6"/>
      <c r="G90" s="6"/>
      <c r="H90" s="6"/>
      <c r="I90" s="6"/>
      <c r="J90" s="6"/>
      <c r="K90" s="51"/>
      <c r="L90" s="51"/>
      <c r="M90" s="51"/>
      <c r="N90" s="51"/>
      <c r="O90" s="51"/>
      <c r="P90" s="51"/>
      <c r="Q90" s="51"/>
      <c r="R90" s="51"/>
      <c r="S90" s="51"/>
      <c r="T90" s="51"/>
      <c r="U90" s="51"/>
      <c r="V90" s="51"/>
      <c r="W90" s="51"/>
      <c r="X90" s="51"/>
      <c r="Y90" s="51"/>
      <c r="Z90" s="51"/>
      <c r="AA90" s="51"/>
      <c r="AB90" s="51"/>
    </row>
    <row r="91" customFormat="false" ht="15.75" hidden="false" customHeight="false" outlineLevel="0" collapsed="false">
      <c r="A91" s="51"/>
      <c r="B91" s="51"/>
      <c r="C91" s="6"/>
      <c r="D91" s="49"/>
      <c r="E91" s="51"/>
      <c r="F91" s="6"/>
      <c r="G91" s="6"/>
      <c r="H91" s="6"/>
      <c r="I91" s="6"/>
      <c r="J91" s="6"/>
      <c r="K91" s="51"/>
      <c r="L91" s="51"/>
      <c r="M91" s="51"/>
      <c r="N91" s="51"/>
      <c r="O91" s="51"/>
      <c r="P91" s="51"/>
      <c r="Q91" s="51"/>
      <c r="R91" s="51"/>
      <c r="S91" s="51"/>
      <c r="T91" s="51"/>
      <c r="U91" s="51"/>
      <c r="V91" s="51"/>
      <c r="W91" s="51"/>
      <c r="X91" s="51"/>
      <c r="Y91" s="51"/>
      <c r="Z91" s="51"/>
      <c r="AA91" s="51"/>
      <c r="AB91" s="51"/>
    </row>
    <row r="92" customFormat="false" ht="15.75" hidden="false" customHeight="false" outlineLevel="0" collapsed="false">
      <c r="A92" s="71"/>
      <c r="B92" s="55"/>
      <c r="C92" s="56" t="s">
        <v>18</v>
      </c>
      <c r="D92" s="57"/>
      <c r="E92" s="72" t="n">
        <f aca="false">IFERROR(__xludf.dummyfunction("COUNTA(SPLIT(D92,"" ""))/COUNTA(SPLIT($B$47,"" ""))"),0.00476190476190476)</f>
        <v>0.004761904762</v>
      </c>
      <c r="F92" s="56"/>
      <c r="G92" s="56"/>
      <c r="H92" s="56"/>
      <c r="I92" s="56"/>
      <c r="J92" s="56"/>
      <c r="K92" s="59"/>
      <c r="L92" s="59"/>
      <c r="M92" s="59"/>
      <c r="N92" s="59"/>
      <c r="O92" s="59"/>
      <c r="P92" s="59"/>
      <c r="Q92" s="59"/>
      <c r="R92" s="59"/>
      <c r="S92" s="59"/>
      <c r="T92" s="59"/>
      <c r="U92" s="59"/>
      <c r="V92" s="59"/>
      <c r="W92" s="59"/>
      <c r="X92" s="59"/>
      <c r="Y92" s="59"/>
      <c r="Z92" s="59"/>
      <c r="AA92" s="59"/>
      <c r="AB92" s="59"/>
    </row>
    <row r="93" customFormat="false" ht="15.75" hidden="false" customHeight="false" outlineLevel="0" collapsed="false">
      <c r="A93" s="71"/>
      <c r="B93" s="71"/>
      <c r="C93" s="6" t="s">
        <v>19</v>
      </c>
      <c r="D93" s="49"/>
      <c r="E93" s="73" t="n">
        <f aca="false">IFERROR(__xludf.dummyfunction("COUNTA(SPLIT(D93,"" ""))/COUNTA(SPLIT($B$47,"" ""))"),0.00476190476190476)</f>
        <v>0.004761904762</v>
      </c>
      <c r="F93" s="6"/>
      <c r="G93" s="6"/>
      <c r="H93" s="6"/>
      <c r="I93" s="6"/>
      <c r="J93" s="6"/>
      <c r="K93" s="51"/>
      <c r="L93" s="51"/>
      <c r="M93" s="51"/>
      <c r="N93" s="51"/>
      <c r="O93" s="51"/>
      <c r="P93" s="51"/>
      <c r="Q93" s="51"/>
      <c r="R93" s="51"/>
      <c r="S93" s="51"/>
      <c r="T93" s="51"/>
      <c r="U93" s="51"/>
      <c r="V93" s="51"/>
      <c r="W93" s="51"/>
      <c r="X93" s="51"/>
      <c r="Y93" s="51"/>
      <c r="Z93" s="51"/>
      <c r="AA93" s="51"/>
      <c r="AB93" s="51"/>
    </row>
    <row r="94" customFormat="false" ht="15.75" hidden="false" customHeight="false" outlineLevel="0" collapsed="false">
      <c r="A94" s="71"/>
      <c r="B94" s="71"/>
      <c r="C94" s="6" t="s">
        <v>8</v>
      </c>
      <c r="D94" s="49"/>
      <c r="E94" s="74" t="n">
        <f aca="false">IFERROR(__xludf.dummyfunction("COUNTA(SPLIT(D94,"" ""))/COUNTA(SPLIT($B$47,"" ""))"),0.00476190476190476)</f>
        <v>0.004761904762</v>
      </c>
      <c r="F94" s="6"/>
      <c r="G94" s="6"/>
      <c r="H94" s="6"/>
      <c r="I94" s="6"/>
      <c r="J94" s="6"/>
      <c r="K94" s="51"/>
      <c r="L94" s="51"/>
      <c r="M94" s="51"/>
      <c r="N94" s="51"/>
      <c r="O94" s="51"/>
      <c r="P94" s="51"/>
      <c r="Q94" s="51"/>
      <c r="R94" s="51"/>
      <c r="S94" s="51"/>
      <c r="T94" s="51"/>
      <c r="U94" s="51"/>
      <c r="V94" s="51"/>
      <c r="W94" s="51"/>
      <c r="X94" s="51"/>
      <c r="Y94" s="51"/>
      <c r="Z94" s="51"/>
      <c r="AA94" s="51"/>
      <c r="AB94" s="51"/>
    </row>
    <row r="95" customFormat="false" ht="15.75" hidden="false" customHeight="false" outlineLevel="0" collapsed="false">
      <c r="A95" s="71"/>
      <c r="B95" s="71"/>
      <c r="C95" s="6" t="s">
        <v>20</v>
      </c>
      <c r="D95" s="49"/>
      <c r="E95" s="75" t="n">
        <f aca="false">IFERROR(__xludf.dummyfunction("COUNTA(SPLIT(D95,"" ""))/COUNTA(SPLIT($B$47,"" ""))"),0.00476190476190476)</f>
        <v>0.004761904762</v>
      </c>
      <c r="F95" s="6"/>
      <c r="G95" s="6"/>
      <c r="H95" s="6"/>
      <c r="I95" s="6"/>
      <c r="J95" s="6"/>
      <c r="K95" s="51"/>
      <c r="L95" s="51"/>
      <c r="M95" s="51"/>
      <c r="N95" s="51"/>
      <c r="O95" s="51"/>
      <c r="P95" s="51"/>
      <c r="Q95" s="51"/>
      <c r="R95" s="51"/>
      <c r="S95" s="51"/>
      <c r="T95" s="51"/>
      <c r="U95" s="51"/>
      <c r="V95" s="51"/>
      <c r="W95" s="51"/>
      <c r="X95" s="51"/>
      <c r="Y95" s="51"/>
      <c r="Z95" s="51"/>
      <c r="AA95" s="51"/>
      <c r="AB95" s="51"/>
    </row>
    <row r="96" customFormat="false" ht="15.75" hidden="false" customHeight="false" outlineLevel="0" collapsed="false">
      <c r="A96" s="51"/>
      <c r="B96" s="51"/>
      <c r="C96" s="6"/>
      <c r="D96" s="49"/>
      <c r="E96" s="51"/>
      <c r="F96" s="6"/>
      <c r="G96" s="6"/>
      <c r="H96" s="6"/>
      <c r="I96" s="6"/>
      <c r="J96" s="6"/>
      <c r="K96" s="51"/>
      <c r="L96" s="51"/>
      <c r="M96" s="51"/>
      <c r="N96" s="51"/>
      <c r="O96" s="51"/>
      <c r="P96" s="51"/>
      <c r="Q96" s="51"/>
      <c r="R96" s="51"/>
      <c r="S96" s="51"/>
      <c r="T96" s="51"/>
      <c r="U96" s="51"/>
      <c r="V96" s="51"/>
      <c r="W96" s="51"/>
      <c r="X96" s="51"/>
      <c r="Y96" s="51"/>
      <c r="Z96" s="51"/>
      <c r="AA96" s="51"/>
      <c r="AB96" s="51"/>
    </row>
    <row r="97" customFormat="false" ht="15.75" hidden="false" customHeight="false" outlineLevel="0" collapsed="false">
      <c r="A97" s="71"/>
      <c r="B97" s="55"/>
      <c r="C97" s="56" t="s">
        <v>18</v>
      </c>
      <c r="D97" s="57"/>
      <c r="E97" s="72" t="n">
        <f aca="false">IFERROR(__xludf.dummyfunction("COUNTA(SPLIT(D97,"" ""))/COUNTA(SPLIT($B$47,"" ""))"),0.00476190476190476)</f>
        <v>0.004761904762</v>
      </c>
      <c r="F97" s="56"/>
      <c r="G97" s="56"/>
      <c r="H97" s="56"/>
      <c r="I97" s="56"/>
      <c r="J97" s="56"/>
      <c r="K97" s="59"/>
      <c r="L97" s="59"/>
      <c r="M97" s="59"/>
      <c r="N97" s="59"/>
      <c r="O97" s="59"/>
      <c r="P97" s="59"/>
      <c r="Q97" s="59"/>
      <c r="R97" s="59"/>
      <c r="S97" s="59"/>
      <c r="T97" s="59"/>
      <c r="U97" s="59"/>
      <c r="V97" s="59"/>
      <c r="W97" s="59"/>
      <c r="X97" s="59"/>
      <c r="Y97" s="59"/>
      <c r="Z97" s="59"/>
      <c r="AA97" s="59"/>
      <c r="AB97" s="59"/>
    </row>
    <row r="98" customFormat="false" ht="15.75" hidden="false" customHeight="false" outlineLevel="0" collapsed="false">
      <c r="A98" s="71"/>
      <c r="B98" s="71"/>
      <c r="C98" s="6" t="s">
        <v>19</v>
      </c>
      <c r="D98" s="49"/>
      <c r="E98" s="73" t="n">
        <f aca="false">IFERROR(__xludf.dummyfunction("COUNTA(SPLIT(D98,"" ""))/COUNTA(SPLIT($B$47,"" ""))"),0.00476190476190476)</f>
        <v>0.004761904762</v>
      </c>
      <c r="F98" s="6"/>
      <c r="G98" s="6"/>
      <c r="H98" s="6"/>
      <c r="I98" s="6"/>
      <c r="J98" s="6"/>
      <c r="K98" s="5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71"/>
      <c r="B99" s="71"/>
      <c r="C99" s="6" t="s">
        <v>8</v>
      </c>
      <c r="D99" s="49"/>
      <c r="E99" s="74" t="n">
        <f aca="false">IFERROR(__xludf.dummyfunction("COUNTA(SPLIT(D99,"" ""))/COUNTA(SPLIT($B$47,"" ""))"),0.00476190476190476)</f>
        <v>0.004761904762</v>
      </c>
      <c r="F99" s="6"/>
      <c r="G99" s="6"/>
      <c r="H99" s="6"/>
      <c r="I99" s="6"/>
      <c r="J99" s="6"/>
      <c r="K99" s="51"/>
      <c r="L99" s="51"/>
      <c r="M99" s="51"/>
      <c r="N99" s="51"/>
      <c r="O99" s="51"/>
      <c r="P99" s="51"/>
      <c r="Q99" s="51"/>
      <c r="R99" s="51"/>
      <c r="S99" s="51"/>
      <c r="T99" s="51"/>
      <c r="U99" s="51"/>
      <c r="V99" s="51"/>
      <c r="W99" s="51"/>
      <c r="X99" s="51"/>
      <c r="Y99" s="51"/>
      <c r="Z99" s="51"/>
      <c r="AA99" s="51"/>
      <c r="AB99" s="51"/>
    </row>
    <row r="100" customFormat="false" ht="15.75" hidden="false" customHeight="false" outlineLevel="0" collapsed="false">
      <c r="A100" s="71"/>
      <c r="B100" s="71"/>
      <c r="C100" s="6" t="s">
        <v>20</v>
      </c>
      <c r="D100" s="49"/>
      <c r="E100" s="75" t="n">
        <f aca="false">IFERROR(__xludf.dummyfunction("COUNTA(SPLIT(D100,"" ""))/COUNTA(SPLIT($B$47,"" ""))"),0.00476190476190476)</f>
        <v>0.004761904762</v>
      </c>
      <c r="F100" s="6"/>
      <c r="G100" s="6"/>
      <c r="H100" s="6"/>
      <c r="I100" s="6"/>
      <c r="J100" s="6"/>
      <c r="K100" s="51"/>
      <c r="L100" s="51"/>
      <c r="M100" s="51"/>
      <c r="N100" s="51"/>
      <c r="O100" s="51"/>
      <c r="P100" s="51"/>
      <c r="Q100" s="51"/>
      <c r="R100" s="51"/>
      <c r="S100" s="51"/>
      <c r="T100" s="51"/>
      <c r="U100" s="51"/>
      <c r="V100" s="51"/>
      <c r="W100" s="51"/>
      <c r="X100" s="51"/>
      <c r="Y100" s="51"/>
      <c r="Z100" s="51"/>
      <c r="AA100" s="51"/>
      <c r="AB100" s="51"/>
    </row>
    <row r="101" customFormat="false" ht="15.75" hidden="false" customHeight="false" outlineLevel="0" collapsed="false">
      <c r="A101" s="51"/>
      <c r="B101" s="51"/>
      <c r="C101" s="6"/>
      <c r="D101" s="49"/>
      <c r="E101" s="51"/>
      <c r="F101" s="6"/>
      <c r="G101" s="6"/>
      <c r="H101" s="6"/>
      <c r="I101" s="6"/>
      <c r="J101" s="6"/>
      <c r="K101" s="5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71"/>
      <c r="B102" s="55"/>
      <c r="C102" s="56" t="s">
        <v>18</v>
      </c>
      <c r="D102" s="57"/>
      <c r="E102" s="72" t="n">
        <f aca="false">IFERROR(__xludf.dummyfunction("COUNTA(SPLIT(D102,"" ""))/COUNTA(SPLIT($B$47,"" ""))"),0.00476190476190476)</f>
        <v>0.004761904762</v>
      </c>
      <c r="F102" s="56"/>
      <c r="G102" s="56"/>
      <c r="H102" s="56"/>
      <c r="I102" s="56"/>
      <c r="J102" s="56"/>
      <c r="K102" s="59"/>
      <c r="L102" s="59"/>
      <c r="M102" s="59"/>
      <c r="N102" s="59"/>
      <c r="O102" s="59"/>
      <c r="P102" s="59"/>
      <c r="Q102" s="59"/>
      <c r="R102" s="59"/>
      <c r="S102" s="59"/>
      <c r="T102" s="59"/>
      <c r="U102" s="59"/>
      <c r="V102" s="59"/>
      <c r="W102" s="59"/>
      <c r="X102" s="59"/>
      <c r="Y102" s="59"/>
      <c r="Z102" s="59"/>
      <c r="AA102" s="59"/>
      <c r="AB102" s="59"/>
    </row>
    <row r="103" customFormat="false" ht="15.75" hidden="false" customHeight="false" outlineLevel="0" collapsed="false">
      <c r="A103" s="71"/>
      <c r="B103" s="71"/>
      <c r="C103" s="6" t="s">
        <v>19</v>
      </c>
      <c r="D103" s="49"/>
      <c r="E103" s="73" t="n">
        <f aca="false">IFERROR(__xludf.dummyfunction("COUNTA(SPLIT(D103,"" ""))/COUNTA(SPLIT($B$47,"" ""))"),0.00476190476190476)</f>
        <v>0.004761904762</v>
      </c>
      <c r="F103" s="6"/>
      <c r="G103" s="6"/>
      <c r="H103" s="6"/>
      <c r="I103" s="6"/>
      <c r="J103" s="6"/>
      <c r="K103" s="51"/>
      <c r="L103" s="51"/>
      <c r="M103" s="51"/>
      <c r="N103" s="51"/>
      <c r="O103" s="51"/>
      <c r="P103" s="51"/>
      <c r="Q103" s="51"/>
      <c r="R103" s="51"/>
      <c r="S103" s="51"/>
      <c r="T103" s="51"/>
      <c r="U103" s="51"/>
      <c r="V103" s="51"/>
      <c r="W103" s="51"/>
      <c r="X103" s="51"/>
      <c r="Y103" s="51"/>
      <c r="Z103" s="51"/>
      <c r="AA103" s="51"/>
      <c r="AB103" s="51"/>
    </row>
    <row r="104" customFormat="false" ht="15.75" hidden="false" customHeight="false" outlineLevel="0" collapsed="false">
      <c r="A104" s="71"/>
      <c r="B104" s="71"/>
      <c r="C104" s="6" t="s">
        <v>8</v>
      </c>
      <c r="D104" s="49"/>
      <c r="E104" s="74" t="n">
        <f aca="false">IFERROR(__xludf.dummyfunction("COUNTA(SPLIT(D104,"" ""))/COUNTA(SPLIT($B$47,"" ""))"),0.00476190476190476)</f>
        <v>0.004761904762</v>
      </c>
      <c r="F104" s="6"/>
      <c r="G104" s="6"/>
      <c r="H104" s="6"/>
      <c r="I104" s="6"/>
      <c r="J104" s="6"/>
      <c r="K104" s="51"/>
      <c r="L104" s="51"/>
      <c r="M104" s="51"/>
      <c r="N104" s="51"/>
      <c r="O104" s="51"/>
      <c r="P104" s="51"/>
      <c r="Q104" s="51"/>
      <c r="R104" s="51"/>
      <c r="S104" s="51"/>
      <c r="T104" s="51"/>
      <c r="U104" s="51"/>
      <c r="V104" s="51"/>
      <c r="W104" s="51"/>
      <c r="X104" s="51"/>
      <c r="Y104" s="51"/>
      <c r="Z104" s="51"/>
      <c r="AA104" s="51"/>
      <c r="AB104" s="51"/>
    </row>
    <row r="105" customFormat="false" ht="15.75" hidden="false" customHeight="false" outlineLevel="0" collapsed="false">
      <c r="A105" s="71"/>
      <c r="B105" s="71"/>
      <c r="C105" s="6" t="s">
        <v>20</v>
      </c>
      <c r="D105" s="49"/>
      <c r="E105" s="75" t="n">
        <f aca="false">IFERROR(__xludf.dummyfunction("COUNTA(SPLIT(D105,"" ""))/COUNTA(SPLIT($B$47,"" ""))"),0.00476190476190476)</f>
        <v>0.004761904762</v>
      </c>
      <c r="F105" s="6"/>
      <c r="G105" s="6"/>
      <c r="H105" s="6"/>
      <c r="I105" s="6"/>
      <c r="J105" s="6"/>
      <c r="K105" s="51"/>
      <c r="L105" s="51"/>
      <c r="M105" s="51"/>
      <c r="N105" s="51"/>
      <c r="O105" s="51"/>
      <c r="P105" s="51"/>
      <c r="Q105" s="51"/>
      <c r="R105" s="51"/>
      <c r="S105" s="51"/>
      <c r="T105" s="51"/>
      <c r="U105" s="51"/>
      <c r="V105" s="51"/>
      <c r="W105" s="51"/>
      <c r="X105" s="51"/>
      <c r="Y105" s="51"/>
      <c r="Z105" s="51"/>
      <c r="AA105" s="51"/>
      <c r="AB105" s="51"/>
    </row>
    <row r="106" customFormat="false" ht="15.75" hidden="false" customHeight="false" outlineLevel="0" collapsed="false">
      <c r="A106" s="51"/>
      <c r="B106" s="51"/>
      <c r="C106" s="6"/>
      <c r="D106" s="49"/>
      <c r="E106" s="51"/>
      <c r="F106" s="6"/>
      <c r="G106" s="6"/>
      <c r="H106" s="6"/>
      <c r="I106" s="6"/>
      <c r="J106" s="6"/>
      <c r="K106" s="51"/>
      <c r="L106" s="51"/>
      <c r="M106" s="51"/>
      <c r="N106" s="51"/>
      <c r="O106" s="51"/>
      <c r="P106" s="51"/>
      <c r="Q106" s="51"/>
      <c r="R106" s="51"/>
      <c r="S106" s="51"/>
      <c r="T106" s="51"/>
      <c r="U106" s="51"/>
      <c r="V106" s="51"/>
      <c r="W106" s="51"/>
      <c r="X106" s="51"/>
      <c r="Y106" s="51"/>
      <c r="Z106" s="51"/>
      <c r="AA106" s="51"/>
      <c r="AB106" s="51"/>
    </row>
    <row r="107" customFormat="false" ht="15.75" hidden="false" customHeight="false" outlineLevel="0" collapsed="false">
      <c r="A107" s="71"/>
      <c r="B107" s="55"/>
      <c r="C107" s="56" t="s">
        <v>18</v>
      </c>
      <c r="D107" s="57"/>
      <c r="E107" s="72" t="n">
        <f aca="false">IFERROR(__xludf.dummyfunction("COUNTA(SPLIT(D107,"" ""))/COUNTA(SPLIT($B$47,"" ""))"),0.00476190476190476)</f>
        <v>0.004761904762</v>
      </c>
      <c r="F107" s="56"/>
      <c r="G107" s="56"/>
      <c r="H107" s="56"/>
      <c r="I107" s="56"/>
      <c r="J107" s="56"/>
      <c r="K107" s="59"/>
      <c r="L107" s="59"/>
      <c r="M107" s="59"/>
      <c r="N107" s="59"/>
      <c r="O107" s="59"/>
      <c r="P107" s="59"/>
      <c r="Q107" s="59"/>
      <c r="R107" s="59"/>
      <c r="S107" s="59"/>
      <c r="T107" s="59"/>
      <c r="U107" s="59"/>
      <c r="V107" s="59"/>
      <c r="W107" s="59"/>
      <c r="X107" s="59"/>
      <c r="Y107" s="59"/>
      <c r="Z107" s="59"/>
      <c r="AA107" s="59"/>
      <c r="AB107" s="59"/>
    </row>
    <row r="108" customFormat="false" ht="15.75" hidden="false" customHeight="false" outlineLevel="0" collapsed="false">
      <c r="A108" s="71"/>
      <c r="B108" s="71"/>
      <c r="C108" s="6" t="s">
        <v>19</v>
      </c>
      <c r="D108" s="49"/>
      <c r="E108" s="73" t="n">
        <f aca="false">IFERROR(__xludf.dummyfunction("COUNTA(SPLIT(D108,"" ""))/COUNTA(SPLIT($B$47,"" ""))"),0.00476190476190476)</f>
        <v>0.004761904762</v>
      </c>
      <c r="F108" s="6"/>
      <c r="G108" s="6"/>
      <c r="H108" s="6"/>
      <c r="I108" s="6"/>
      <c r="J108" s="6"/>
      <c r="K108" s="51"/>
      <c r="L108" s="51"/>
      <c r="M108" s="51"/>
      <c r="N108" s="51"/>
      <c r="O108" s="51"/>
      <c r="P108" s="51"/>
      <c r="Q108" s="51"/>
      <c r="R108" s="51"/>
      <c r="S108" s="51"/>
      <c r="T108" s="51"/>
      <c r="U108" s="51"/>
      <c r="V108" s="51"/>
      <c r="W108" s="51"/>
      <c r="X108" s="51"/>
      <c r="Y108" s="51"/>
      <c r="Z108" s="51"/>
      <c r="AA108" s="51"/>
      <c r="AB108" s="51"/>
    </row>
    <row r="109" customFormat="false" ht="15.75" hidden="false" customHeight="false" outlineLevel="0" collapsed="false">
      <c r="A109" s="71"/>
      <c r="B109" s="71"/>
      <c r="C109" s="6" t="s">
        <v>8</v>
      </c>
      <c r="D109" s="49"/>
      <c r="E109" s="74" t="n">
        <f aca="false">IFERROR(__xludf.dummyfunction("COUNTA(SPLIT(D109,"" ""))/COUNTA(SPLIT($B$47,"" ""))"),0.00476190476190476)</f>
        <v>0.004761904762</v>
      </c>
      <c r="F109" s="6"/>
      <c r="G109" s="6"/>
      <c r="H109" s="6"/>
      <c r="I109" s="6"/>
      <c r="J109" s="6"/>
      <c r="K109" s="51"/>
      <c r="L109" s="51"/>
      <c r="M109" s="51"/>
      <c r="N109" s="51"/>
      <c r="O109" s="51"/>
      <c r="P109" s="51"/>
      <c r="Q109" s="51"/>
      <c r="R109" s="51"/>
      <c r="S109" s="51"/>
      <c r="T109" s="51"/>
      <c r="U109" s="51"/>
      <c r="V109" s="51"/>
      <c r="W109" s="51"/>
      <c r="X109" s="51"/>
      <c r="Y109" s="51"/>
      <c r="Z109" s="51"/>
      <c r="AA109" s="51"/>
      <c r="AB109" s="51"/>
    </row>
    <row r="110" customFormat="false" ht="15.75" hidden="false" customHeight="false" outlineLevel="0" collapsed="false">
      <c r="A110" s="71"/>
      <c r="B110" s="71"/>
      <c r="C110" s="6" t="s">
        <v>20</v>
      </c>
      <c r="D110" s="49"/>
      <c r="E110" s="75" t="n">
        <f aca="false">IFERROR(__xludf.dummyfunction("COUNTA(SPLIT(D110,"" ""))/COUNTA(SPLIT($B$47,"" ""))"),0.00476190476190476)</f>
        <v>0.004761904762</v>
      </c>
      <c r="F110" s="6"/>
      <c r="G110" s="6"/>
      <c r="H110" s="6"/>
      <c r="I110" s="6"/>
      <c r="J110" s="6"/>
      <c r="K110" s="51"/>
      <c r="L110" s="51"/>
      <c r="M110" s="51"/>
      <c r="N110" s="51"/>
      <c r="O110" s="51"/>
      <c r="P110" s="51"/>
      <c r="Q110" s="51"/>
      <c r="R110" s="51"/>
      <c r="S110" s="51"/>
      <c r="T110" s="51"/>
      <c r="U110" s="51"/>
      <c r="V110" s="51"/>
      <c r="W110" s="51"/>
      <c r="X110" s="51"/>
      <c r="Y110" s="51"/>
      <c r="Z110" s="51"/>
      <c r="AA110" s="51"/>
      <c r="AB110" s="51"/>
    </row>
    <row r="111" customFormat="false" ht="15.75" hidden="false" customHeight="false" outlineLevel="0" collapsed="false">
      <c r="A111" s="51"/>
      <c r="B111" s="51"/>
      <c r="C111" s="6"/>
      <c r="D111" s="49"/>
      <c r="E111" s="51"/>
      <c r="F111" s="6"/>
      <c r="G111" s="6"/>
      <c r="H111" s="6"/>
      <c r="I111" s="6"/>
      <c r="J111" s="6"/>
      <c r="K111" s="51"/>
      <c r="L111" s="51"/>
      <c r="M111" s="51"/>
      <c r="N111" s="51"/>
      <c r="O111" s="51"/>
      <c r="P111" s="51"/>
      <c r="Q111" s="51"/>
      <c r="R111" s="51"/>
      <c r="S111" s="51"/>
      <c r="T111" s="51"/>
      <c r="U111" s="51"/>
      <c r="V111" s="51"/>
      <c r="W111" s="51"/>
      <c r="X111" s="51"/>
      <c r="Y111" s="51"/>
      <c r="Z111" s="51"/>
      <c r="AA111" s="51"/>
      <c r="AB111" s="51"/>
    </row>
    <row r="112" customFormat="false" ht="15.75" hidden="false" customHeight="false" outlineLevel="0" collapsed="false">
      <c r="A112" s="71"/>
      <c r="B112" s="55"/>
      <c r="C112" s="56" t="s">
        <v>18</v>
      </c>
      <c r="D112" s="57"/>
      <c r="E112" s="72" t="n">
        <f aca="false">IFERROR(__xludf.dummyfunction("COUNTA(SPLIT(D112,"" ""))/COUNTA(SPLIT($B$47,"" ""))"),0.00476190476190476)</f>
        <v>0.004761904762</v>
      </c>
      <c r="F112" s="56"/>
      <c r="G112" s="56"/>
      <c r="H112" s="56"/>
      <c r="I112" s="56"/>
      <c r="J112" s="56"/>
      <c r="K112" s="59"/>
      <c r="L112" s="59"/>
      <c r="M112" s="59"/>
      <c r="N112" s="59"/>
      <c r="O112" s="59"/>
      <c r="P112" s="59"/>
      <c r="Q112" s="59"/>
      <c r="R112" s="59"/>
      <c r="S112" s="59"/>
      <c r="T112" s="59"/>
      <c r="U112" s="59"/>
      <c r="V112" s="59"/>
      <c r="W112" s="59"/>
      <c r="X112" s="59"/>
      <c r="Y112" s="59"/>
      <c r="Z112" s="59"/>
      <c r="AA112" s="59"/>
      <c r="AB112" s="59"/>
    </row>
    <row r="113" customFormat="false" ht="15.75" hidden="false" customHeight="false" outlineLevel="0" collapsed="false">
      <c r="A113" s="71"/>
      <c r="B113" s="71"/>
      <c r="C113" s="6" t="s">
        <v>19</v>
      </c>
      <c r="D113" s="49"/>
      <c r="E113" s="73" t="n">
        <f aca="false">IFERROR(__xludf.dummyfunction("COUNTA(SPLIT(D113,"" ""))/COUNTA(SPLIT($B$47,"" ""))"),0.00476190476190476)</f>
        <v>0.004761904762</v>
      </c>
      <c r="F113" s="6"/>
      <c r="G113" s="6"/>
      <c r="H113" s="6"/>
      <c r="I113" s="6"/>
      <c r="J113" s="6"/>
      <c r="K113" s="51"/>
      <c r="L113" s="51"/>
      <c r="M113" s="51"/>
      <c r="N113" s="51"/>
      <c r="O113" s="51"/>
      <c r="P113" s="51"/>
      <c r="Q113" s="51"/>
      <c r="R113" s="51"/>
      <c r="S113" s="51"/>
      <c r="T113" s="51"/>
      <c r="U113" s="51"/>
      <c r="V113" s="51"/>
      <c r="W113" s="51"/>
      <c r="X113" s="51"/>
      <c r="Y113" s="51"/>
      <c r="Z113" s="51"/>
      <c r="AA113" s="51"/>
      <c r="AB113" s="51"/>
    </row>
    <row r="114" customFormat="false" ht="15.75" hidden="false" customHeight="false" outlineLevel="0" collapsed="false">
      <c r="A114" s="71"/>
      <c r="B114" s="71"/>
      <c r="C114" s="6" t="s">
        <v>8</v>
      </c>
      <c r="D114" s="49"/>
      <c r="E114" s="74" t="n">
        <f aca="false">IFERROR(__xludf.dummyfunction("COUNTA(SPLIT(D114,"" ""))/COUNTA(SPLIT($B$47,"" ""))"),0.00476190476190476)</f>
        <v>0.004761904762</v>
      </c>
      <c r="F114" s="6"/>
      <c r="G114" s="6"/>
      <c r="H114" s="6"/>
      <c r="I114" s="6"/>
      <c r="J114" s="6"/>
      <c r="K114" s="51"/>
      <c r="L114" s="51"/>
      <c r="M114" s="51"/>
      <c r="N114" s="51"/>
      <c r="O114" s="51"/>
      <c r="P114" s="51"/>
      <c r="Q114" s="51"/>
      <c r="R114" s="51"/>
      <c r="S114" s="51"/>
      <c r="T114" s="51"/>
      <c r="U114" s="51"/>
      <c r="V114" s="51"/>
      <c r="W114" s="51"/>
      <c r="X114" s="51"/>
      <c r="Y114" s="51"/>
      <c r="Z114" s="51"/>
      <c r="AA114" s="51"/>
      <c r="AB114" s="51"/>
    </row>
    <row r="115" customFormat="false" ht="15.75" hidden="false" customHeight="false" outlineLevel="0" collapsed="false">
      <c r="A115" s="71"/>
      <c r="B115" s="71"/>
      <c r="C115" s="6" t="s">
        <v>20</v>
      </c>
      <c r="D115" s="49"/>
      <c r="E115" s="75" t="n">
        <f aca="false">IFERROR(__xludf.dummyfunction("COUNTA(SPLIT(D115,"" ""))/COUNTA(SPLIT($B$47,"" ""))"),0.00476190476190476)</f>
        <v>0.004761904762</v>
      </c>
      <c r="F115" s="6"/>
      <c r="G115" s="6"/>
      <c r="H115" s="6"/>
      <c r="I115" s="6"/>
      <c r="J115" s="6"/>
      <c r="K115" s="51"/>
      <c r="L115" s="51"/>
      <c r="M115" s="51"/>
      <c r="N115" s="51"/>
      <c r="O115" s="51"/>
      <c r="P115" s="51"/>
      <c r="Q115" s="51"/>
      <c r="R115" s="51"/>
      <c r="S115" s="51"/>
      <c r="T115" s="51"/>
      <c r="U115" s="51"/>
      <c r="V115" s="51"/>
      <c r="W115" s="51"/>
      <c r="X115" s="51"/>
      <c r="Y115" s="51"/>
      <c r="Z115" s="51"/>
      <c r="AA115" s="51"/>
      <c r="AB115" s="51"/>
    </row>
    <row r="116" customFormat="false" ht="15.75" hidden="false" customHeight="false" outlineLevel="0" collapsed="false">
      <c r="A116" s="51"/>
      <c r="B116" s="51"/>
      <c r="C116" s="6"/>
      <c r="D116" s="49"/>
      <c r="E116" s="51"/>
      <c r="F116" s="6"/>
      <c r="G116" s="6"/>
      <c r="H116" s="6"/>
      <c r="I116" s="6"/>
      <c r="J116" s="6"/>
      <c r="K116" s="51"/>
      <c r="L116" s="51"/>
      <c r="M116" s="51"/>
      <c r="N116" s="51"/>
      <c r="O116" s="51"/>
      <c r="P116" s="51"/>
      <c r="Q116" s="51"/>
      <c r="R116" s="51"/>
      <c r="S116" s="51"/>
      <c r="T116" s="51"/>
      <c r="U116" s="51"/>
      <c r="V116" s="51"/>
      <c r="W116" s="51"/>
      <c r="X116" s="51"/>
      <c r="Y116" s="51"/>
      <c r="Z116" s="51"/>
      <c r="AA116" s="51"/>
      <c r="AB116" s="51"/>
    </row>
    <row r="117" customFormat="false" ht="15.75" hidden="false" customHeight="false" outlineLevel="0" collapsed="false">
      <c r="A117" s="71"/>
      <c r="B117" s="55"/>
      <c r="C117" s="56" t="s">
        <v>18</v>
      </c>
      <c r="D117" s="57"/>
      <c r="E117" s="72" t="n">
        <f aca="false">IFERROR(__xludf.dummyfunction("COUNTA(SPLIT(D117,"" ""))/COUNTA(SPLIT($B$47,"" ""))"),0.00476190476190476)</f>
        <v>0.004761904762</v>
      </c>
      <c r="F117" s="56"/>
      <c r="G117" s="56"/>
      <c r="H117" s="56"/>
      <c r="I117" s="56"/>
      <c r="J117" s="56"/>
      <c r="K117" s="59"/>
      <c r="L117" s="59"/>
      <c r="M117" s="59"/>
      <c r="N117" s="59"/>
      <c r="O117" s="59"/>
      <c r="P117" s="59"/>
      <c r="Q117" s="59"/>
      <c r="R117" s="59"/>
      <c r="S117" s="59"/>
      <c r="T117" s="59"/>
      <c r="U117" s="59"/>
      <c r="V117" s="59"/>
      <c r="W117" s="59"/>
      <c r="X117" s="59"/>
      <c r="Y117" s="59"/>
      <c r="Z117" s="59"/>
      <c r="AA117" s="59"/>
      <c r="AB117" s="59"/>
    </row>
    <row r="118" customFormat="false" ht="15.75" hidden="false" customHeight="false" outlineLevel="0" collapsed="false">
      <c r="A118" s="71"/>
      <c r="B118" s="71"/>
      <c r="C118" s="6" t="s">
        <v>19</v>
      </c>
      <c r="D118" s="49"/>
      <c r="E118" s="73" t="n">
        <f aca="false">IFERROR(__xludf.dummyfunction("COUNTA(SPLIT(D118,"" ""))/COUNTA(SPLIT($B$47,"" ""))"),0.00476190476190476)</f>
        <v>0.004761904762</v>
      </c>
      <c r="F118" s="6"/>
      <c r="G118" s="6"/>
      <c r="H118" s="6"/>
      <c r="I118" s="6"/>
      <c r="J118" s="6"/>
      <c r="K118" s="51"/>
      <c r="L118" s="51"/>
      <c r="M118" s="51"/>
      <c r="N118" s="51"/>
      <c r="O118" s="51"/>
      <c r="P118" s="51"/>
      <c r="Q118" s="51"/>
      <c r="R118" s="51"/>
      <c r="S118" s="51"/>
      <c r="T118" s="51"/>
      <c r="U118" s="51"/>
      <c r="V118" s="51"/>
      <c r="W118" s="51"/>
      <c r="X118" s="51"/>
      <c r="Y118" s="51"/>
      <c r="Z118" s="51"/>
      <c r="AA118" s="51"/>
      <c r="AB118" s="51"/>
    </row>
    <row r="119" customFormat="false" ht="15.75" hidden="false" customHeight="false" outlineLevel="0" collapsed="false">
      <c r="A119" s="71"/>
      <c r="B119" s="71"/>
      <c r="C119" s="6" t="s">
        <v>8</v>
      </c>
      <c r="D119" s="49"/>
      <c r="E119" s="74" t="n">
        <f aca="false">IFERROR(__xludf.dummyfunction("COUNTA(SPLIT(D119,"" ""))/COUNTA(SPLIT($B$47,"" ""))"),0.00476190476190476)</f>
        <v>0.004761904762</v>
      </c>
      <c r="F119" s="6"/>
      <c r="G119" s="6"/>
      <c r="H119" s="6"/>
      <c r="I119" s="6"/>
      <c r="J119" s="6"/>
      <c r="K119" s="51"/>
      <c r="L119" s="51"/>
      <c r="M119" s="51"/>
      <c r="N119" s="51"/>
      <c r="O119" s="51"/>
      <c r="P119" s="51"/>
      <c r="Q119" s="51"/>
      <c r="R119" s="51"/>
      <c r="S119" s="51"/>
      <c r="T119" s="51"/>
      <c r="U119" s="51"/>
      <c r="V119" s="51"/>
      <c r="W119" s="51"/>
      <c r="X119" s="51"/>
      <c r="Y119" s="51"/>
      <c r="Z119" s="51"/>
      <c r="AA119" s="51"/>
      <c r="AB119" s="51"/>
    </row>
    <row r="120" customFormat="false" ht="15.75" hidden="false" customHeight="false" outlineLevel="0" collapsed="false">
      <c r="A120" s="71"/>
      <c r="B120" s="71"/>
      <c r="C120" s="6" t="s">
        <v>20</v>
      </c>
      <c r="D120" s="49"/>
      <c r="E120" s="75" t="n">
        <f aca="false">IFERROR(__xludf.dummyfunction("COUNTA(SPLIT(D120,"" ""))/COUNTA(SPLIT($B$47,"" ""))"),0.00476190476190476)</f>
        <v>0.004761904762</v>
      </c>
      <c r="F120" s="6"/>
      <c r="G120" s="6"/>
      <c r="H120" s="6"/>
      <c r="I120" s="6"/>
      <c r="J120" s="6"/>
      <c r="K120" s="51"/>
      <c r="L120" s="51"/>
      <c r="M120" s="51"/>
      <c r="N120" s="51"/>
      <c r="O120" s="51"/>
      <c r="P120" s="51"/>
      <c r="Q120" s="51"/>
      <c r="R120" s="51"/>
      <c r="S120" s="51"/>
      <c r="T120" s="51"/>
      <c r="U120" s="51"/>
      <c r="V120" s="51"/>
      <c r="W120" s="51"/>
      <c r="X120" s="51"/>
      <c r="Y120" s="51"/>
      <c r="Z120" s="51"/>
      <c r="AA120" s="51"/>
      <c r="AB120" s="51"/>
    </row>
    <row r="121" customFormat="false" ht="15.75" hidden="false" customHeight="false" outlineLevel="0" collapsed="false">
      <c r="A121" s="51"/>
      <c r="B121" s="51"/>
      <c r="C121" s="6"/>
      <c r="D121" s="49"/>
      <c r="E121" s="51"/>
      <c r="F121" s="6"/>
      <c r="G121" s="6"/>
      <c r="H121" s="6"/>
      <c r="I121" s="6"/>
      <c r="J121" s="6"/>
      <c r="K121" s="51"/>
      <c r="L121" s="51"/>
      <c r="M121" s="51"/>
      <c r="N121" s="51"/>
      <c r="O121" s="51"/>
      <c r="P121" s="51"/>
      <c r="Q121" s="51"/>
      <c r="R121" s="51"/>
      <c r="S121" s="51"/>
      <c r="T121" s="51"/>
      <c r="U121" s="51"/>
      <c r="V121" s="51"/>
      <c r="W121" s="51"/>
      <c r="X121" s="51"/>
      <c r="Y121" s="51"/>
      <c r="Z121" s="51"/>
      <c r="AA121" s="51"/>
      <c r="AB121" s="51"/>
    </row>
    <row r="122" customFormat="false" ht="15.75" hidden="false" customHeight="false" outlineLevel="0" collapsed="false">
      <c r="A122" s="71"/>
      <c r="B122" s="55"/>
      <c r="C122" s="56" t="s">
        <v>18</v>
      </c>
      <c r="D122" s="57"/>
      <c r="E122" s="72" t="n">
        <f aca="false">IFERROR(__xludf.dummyfunction("COUNTA(SPLIT(D122,"" ""))/COUNTA(SPLIT($B$47,"" ""))"),0.00476190476190476)</f>
        <v>0.004761904762</v>
      </c>
      <c r="F122" s="56"/>
      <c r="G122" s="56"/>
      <c r="H122" s="56"/>
      <c r="I122" s="56"/>
      <c r="J122" s="56"/>
      <c r="K122" s="59"/>
      <c r="L122" s="59"/>
      <c r="M122" s="59"/>
      <c r="N122" s="59"/>
      <c r="O122" s="59"/>
      <c r="P122" s="59"/>
      <c r="Q122" s="59"/>
      <c r="R122" s="59"/>
      <c r="S122" s="59"/>
      <c r="T122" s="59"/>
      <c r="U122" s="59"/>
      <c r="V122" s="59"/>
      <c r="W122" s="59"/>
      <c r="X122" s="59"/>
      <c r="Y122" s="59"/>
      <c r="Z122" s="59"/>
      <c r="AA122" s="59"/>
      <c r="AB122" s="59"/>
    </row>
    <row r="123" customFormat="false" ht="15.75" hidden="false" customHeight="false" outlineLevel="0" collapsed="false">
      <c r="A123" s="71"/>
      <c r="B123" s="71"/>
      <c r="C123" s="6" t="s">
        <v>19</v>
      </c>
      <c r="D123" s="49"/>
      <c r="E123" s="73" t="n">
        <f aca="false">IFERROR(__xludf.dummyfunction("COUNTA(SPLIT(D123,"" ""))/COUNTA(SPLIT($B$47,"" ""))"),0.00476190476190476)</f>
        <v>0.004761904762</v>
      </c>
      <c r="F123" s="6"/>
      <c r="G123" s="6"/>
      <c r="H123" s="6"/>
      <c r="I123" s="6"/>
      <c r="J123" s="6"/>
      <c r="K123" s="51"/>
      <c r="L123" s="51"/>
      <c r="M123" s="51"/>
      <c r="N123" s="51"/>
      <c r="O123" s="51"/>
      <c r="P123" s="51"/>
      <c r="Q123" s="51"/>
      <c r="R123" s="51"/>
      <c r="S123" s="51"/>
      <c r="T123" s="51"/>
      <c r="U123" s="51"/>
      <c r="V123" s="51"/>
      <c r="W123" s="51"/>
      <c r="X123" s="51"/>
      <c r="Y123" s="51"/>
      <c r="Z123" s="51"/>
      <c r="AA123" s="51"/>
      <c r="AB123" s="51"/>
    </row>
    <row r="124" customFormat="false" ht="15.75" hidden="false" customHeight="false" outlineLevel="0" collapsed="false">
      <c r="A124" s="71"/>
      <c r="B124" s="71"/>
      <c r="C124" s="6" t="s">
        <v>8</v>
      </c>
      <c r="D124" s="49"/>
      <c r="E124" s="74" t="n">
        <f aca="false">IFERROR(__xludf.dummyfunction("COUNTA(SPLIT(D124,"" ""))/COUNTA(SPLIT($B$47,"" ""))"),0.00476190476190476)</f>
        <v>0.004761904762</v>
      </c>
      <c r="F124" s="6"/>
      <c r="G124" s="6"/>
      <c r="H124" s="6"/>
      <c r="I124" s="6"/>
      <c r="J124" s="6"/>
      <c r="K124" s="51"/>
      <c r="L124" s="51"/>
      <c r="M124" s="51"/>
      <c r="N124" s="51"/>
      <c r="O124" s="51"/>
      <c r="P124" s="51"/>
      <c r="Q124" s="51"/>
      <c r="R124" s="51"/>
      <c r="S124" s="51"/>
      <c r="T124" s="51"/>
      <c r="U124" s="51"/>
      <c r="V124" s="51"/>
      <c r="W124" s="51"/>
      <c r="X124" s="51"/>
      <c r="Y124" s="51"/>
      <c r="Z124" s="51"/>
      <c r="AA124" s="51"/>
      <c r="AB124" s="51"/>
    </row>
    <row r="125" customFormat="false" ht="15.75" hidden="false" customHeight="false" outlineLevel="0" collapsed="false">
      <c r="A125" s="71"/>
      <c r="B125" s="71"/>
      <c r="C125" s="6" t="s">
        <v>20</v>
      </c>
      <c r="D125" s="49"/>
      <c r="E125" s="75" t="n">
        <f aca="false">IFERROR(__xludf.dummyfunction("COUNTA(SPLIT(D125,"" ""))/COUNTA(SPLIT($B$47,"" ""))"),0.00476190476190476)</f>
        <v>0.004761904762</v>
      </c>
      <c r="F125" s="6"/>
      <c r="G125" s="6"/>
      <c r="H125" s="6"/>
      <c r="I125" s="6"/>
      <c r="J125" s="6"/>
      <c r="K125" s="51"/>
      <c r="L125" s="51"/>
      <c r="M125" s="51"/>
      <c r="N125" s="51"/>
      <c r="O125" s="51"/>
      <c r="P125" s="51"/>
      <c r="Q125" s="51"/>
      <c r="R125" s="51"/>
      <c r="S125" s="51"/>
      <c r="T125" s="51"/>
      <c r="U125" s="51"/>
      <c r="V125" s="51"/>
      <c r="W125" s="51"/>
      <c r="X125" s="51"/>
      <c r="Y125" s="51"/>
      <c r="Z125" s="51"/>
      <c r="AA125" s="51"/>
      <c r="AB125" s="51"/>
    </row>
    <row r="126" customFormat="false" ht="15.75" hidden="false" customHeight="false" outlineLevel="0" collapsed="false">
      <c r="A126" s="51"/>
      <c r="B126" s="51"/>
      <c r="C126" s="6"/>
      <c r="D126" s="49"/>
      <c r="E126" s="51"/>
      <c r="F126" s="6"/>
      <c r="G126" s="6"/>
      <c r="H126" s="6"/>
      <c r="I126" s="6"/>
      <c r="J126" s="6"/>
      <c r="K126" s="51"/>
      <c r="L126" s="51"/>
      <c r="M126" s="51"/>
      <c r="N126" s="51"/>
      <c r="O126" s="51"/>
      <c r="P126" s="51"/>
      <c r="Q126" s="51"/>
      <c r="R126" s="51"/>
      <c r="S126" s="51"/>
      <c r="T126" s="51"/>
      <c r="U126" s="51"/>
      <c r="V126" s="51"/>
      <c r="W126" s="51"/>
      <c r="X126" s="51"/>
      <c r="Y126" s="51"/>
      <c r="Z126" s="51"/>
      <c r="AA126" s="51"/>
      <c r="AB126" s="51"/>
    </row>
    <row r="127" customFormat="false" ht="15.75" hidden="false" customHeight="false" outlineLevel="0" collapsed="false">
      <c r="A127" s="71"/>
      <c r="B127" s="55"/>
      <c r="C127" s="56" t="s">
        <v>18</v>
      </c>
      <c r="D127" s="57"/>
      <c r="E127" s="72" t="n">
        <f aca="false">IFERROR(__xludf.dummyfunction("COUNTA(SPLIT(D127,"" ""))/COUNTA(SPLIT($B$47,"" ""))"),0.00476190476190476)</f>
        <v>0.004761904762</v>
      </c>
      <c r="F127" s="56"/>
      <c r="G127" s="56"/>
      <c r="H127" s="56"/>
      <c r="I127" s="56"/>
      <c r="J127" s="56"/>
      <c r="K127" s="59"/>
      <c r="L127" s="59"/>
      <c r="M127" s="59"/>
      <c r="N127" s="59"/>
      <c r="O127" s="59"/>
      <c r="P127" s="59"/>
      <c r="Q127" s="59"/>
      <c r="R127" s="59"/>
      <c r="S127" s="59"/>
      <c r="T127" s="59"/>
      <c r="U127" s="59"/>
      <c r="V127" s="59"/>
      <c r="W127" s="59"/>
      <c r="X127" s="59"/>
      <c r="Y127" s="59"/>
      <c r="Z127" s="59"/>
      <c r="AA127" s="59"/>
      <c r="AB127" s="59"/>
    </row>
    <row r="128" customFormat="false" ht="15.75" hidden="false" customHeight="false" outlineLevel="0" collapsed="false">
      <c r="A128" s="71"/>
      <c r="B128" s="71"/>
      <c r="C128" s="6" t="s">
        <v>19</v>
      </c>
      <c r="D128" s="49"/>
      <c r="E128" s="73" t="n">
        <f aca="false">IFERROR(__xludf.dummyfunction("COUNTA(SPLIT(D128,"" ""))/COUNTA(SPLIT($B$47,"" ""))"),0.00476190476190476)</f>
        <v>0.004761904762</v>
      </c>
      <c r="F128" s="6"/>
      <c r="G128" s="6"/>
      <c r="H128" s="6"/>
      <c r="I128" s="6"/>
      <c r="J128" s="6"/>
      <c r="K128" s="51"/>
      <c r="L128" s="51"/>
      <c r="M128" s="51"/>
      <c r="N128" s="51"/>
      <c r="O128" s="51"/>
      <c r="P128" s="51"/>
      <c r="Q128" s="51"/>
      <c r="R128" s="51"/>
      <c r="S128" s="51"/>
      <c r="T128" s="51"/>
      <c r="U128" s="51"/>
      <c r="V128" s="51"/>
      <c r="W128" s="51"/>
      <c r="X128" s="51"/>
      <c r="Y128" s="51"/>
      <c r="Z128" s="51"/>
      <c r="AA128" s="51"/>
      <c r="AB128" s="51"/>
    </row>
    <row r="129" customFormat="false" ht="15.75" hidden="false" customHeight="false" outlineLevel="0" collapsed="false">
      <c r="A129" s="71"/>
      <c r="B129" s="71"/>
      <c r="C129" s="6" t="s">
        <v>8</v>
      </c>
      <c r="D129" s="49"/>
      <c r="E129" s="74" t="n">
        <f aca="false">IFERROR(__xludf.dummyfunction("COUNTA(SPLIT(D129,"" ""))/COUNTA(SPLIT($B$47,"" ""))"),0.00476190476190476)</f>
        <v>0.004761904762</v>
      </c>
      <c r="F129" s="6"/>
      <c r="G129" s="6"/>
      <c r="H129" s="6"/>
      <c r="I129" s="6"/>
      <c r="J129" s="6"/>
      <c r="K129" s="51"/>
      <c r="L129" s="51"/>
      <c r="M129" s="51"/>
      <c r="N129" s="51"/>
      <c r="O129" s="51"/>
      <c r="P129" s="51"/>
      <c r="Q129" s="51"/>
      <c r="R129" s="51"/>
      <c r="S129" s="51"/>
      <c r="T129" s="51"/>
      <c r="U129" s="51"/>
      <c r="V129" s="51"/>
      <c r="W129" s="51"/>
      <c r="X129" s="51"/>
      <c r="Y129" s="51"/>
      <c r="Z129" s="51"/>
      <c r="AA129" s="51"/>
      <c r="AB129" s="51"/>
    </row>
    <row r="130" customFormat="false" ht="15.75" hidden="false" customHeight="false" outlineLevel="0" collapsed="false">
      <c r="A130" s="71"/>
      <c r="B130" s="71"/>
      <c r="C130" s="6" t="s">
        <v>20</v>
      </c>
      <c r="D130" s="49"/>
      <c r="E130" s="75" t="n">
        <f aca="false">IFERROR(__xludf.dummyfunction("COUNTA(SPLIT(D130,"" ""))/COUNTA(SPLIT($B$47,"" ""))"),0.00476190476190476)</f>
        <v>0.004761904762</v>
      </c>
      <c r="F130" s="6"/>
      <c r="G130" s="6"/>
      <c r="H130" s="6"/>
      <c r="I130" s="6"/>
      <c r="J130" s="6"/>
      <c r="K130" s="51"/>
      <c r="L130" s="51"/>
      <c r="M130" s="51"/>
      <c r="N130" s="51"/>
      <c r="O130" s="51"/>
      <c r="P130" s="51"/>
      <c r="Q130" s="51"/>
      <c r="R130" s="51"/>
      <c r="S130" s="51"/>
      <c r="T130" s="51"/>
      <c r="U130" s="51"/>
      <c r="V130" s="51"/>
      <c r="W130" s="51"/>
      <c r="X130" s="51"/>
      <c r="Y130" s="51"/>
      <c r="Z130" s="51"/>
      <c r="AA130" s="51"/>
      <c r="AB130" s="51"/>
    </row>
    <row r="131" customFormat="false" ht="15.75" hidden="false" customHeight="false" outlineLevel="0" collapsed="false">
      <c r="A131" s="51"/>
      <c r="B131" s="51"/>
      <c r="C131" s="6"/>
      <c r="D131" s="49"/>
      <c r="E131" s="51"/>
      <c r="F131" s="6"/>
      <c r="G131" s="6"/>
      <c r="H131" s="6"/>
      <c r="I131" s="6"/>
      <c r="J131" s="6"/>
      <c r="K131" s="51"/>
      <c r="L131" s="51"/>
      <c r="M131" s="51"/>
      <c r="N131" s="51"/>
      <c r="O131" s="51"/>
      <c r="P131" s="51"/>
      <c r="Q131" s="51"/>
      <c r="R131" s="51"/>
      <c r="S131" s="51"/>
      <c r="T131" s="51"/>
      <c r="U131" s="51"/>
      <c r="V131" s="51"/>
      <c r="W131" s="51"/>
      <c r="X131" s="51"/>
      <c r="Y131" s="51"/>
      <c r="Z131" s="51"/>
      <c r="AA131" s="51"/>
      <c r="AB131" s="51"/>
    </row>
    <row r="132" customFormat="false" ht="15.75" hidden="false" customHeight="false" outlineLevel="0" collapsed="false">
      <c r="A132" s="71"/>
      <c r="B132" s="55"/>
      <c r="C132" s="56" t="s">
        <v>18</v>
      </c>
      <c r="D132" s="57"/>
      <c r="E132" s="72" t="n">
        <f aca="false">IFERROR(__xludf.dummyfunction("COUNTA(SPLIT(D132,"" ""))/COUNTA(SPLIT($B$47,"" ""))"),0.00476190476190476)</f>
        <v>0.004761904762</v>
      </c>
      <c r="F132" s="56"/>
      <c r="G132" s="56"/>
      <c r="H132" s="56"/>
      <c r="I132" s="56"/>
      <c r="J132" s="56"/>
      <c r="K132" s="59"/>
      <c r="L132" s="59"/>
      <c r="M132" s="59"/>
      <c r="N132" s="59"/>
      <c r="O132" s="59"/>
      <c r="P132" s="59"/>
      <c r="Q132" s="59"/>
      <c r="R132" s="59"/>
      <c r="S132" s="59"/>
      <c r="T132" s="59"/>
      <c r="U132" s="59"/>
      <c r="V132" s="59"/>
      <c r="W132" s="59"/>
      <c r="X132" s="59"/>
      <c r="Y132" s="59"/>
      <c r="Z132" s="59"/>
      <c r="AA132" s="59"/>
      <c r="AB132" s="59"/>
    </row>
    <row r="133" customFormat="false" ht="15.75" hidden="false" customHeight="false" outlineLevel="0" collapsed="false">
      <c r="A133" s="71"/>
      <c r="B133" s="71"/>
      <c r="C133" s="6" t="s">
        <v>19</v>
      </c>
      <c r="D133" s="49"/>
      <c r="E133" s="73" t="n">
        <f aca="false">IFERROR(__xludf.dummyfunction("COUNTA(SPLIT(D133,"" ""))/COUNTA(SPLIT($B$47,"" ""))"),0.00476190476190476)</f>
        <v>0.004761904762</v>
      </c>
      <c r="F133" s="6"/>
      <c r="G133" s="6"/>
      <c r="H133" s="6"/>
      <c r="I133" s="6"/>
      <c r="J133" s="6"/>
      <c r="K133" s="51"/>
      <c r="L133" s="51"/>
      <c r="M133" s="51"/>
      <c r="N133" s="51"/>
      <c r="O133" s="51"/>
      <c r="P133" s="51"/>
      <c r="Q133" s="51"/>
      <c r="R133" s="51"/>
      <c r="S133" s="51"/>
      <c r="T133" s="51"/>
      <c r="U133" s="51"/>
      <c r="V133" s="51"/>
      <c r="W133" s="51"/>
      <c r="X133" s="51"/>
      <c r="Y133" s="51"/>
      <c r="Z133" s="51"/>
      <c r="AA133" s="51"/>
      <c r="AB133" s="51"/>
    </row>
    <row r="134" customFormat="false" ht="15.75" hidden="false" customHeight="false" outlineLevel="0" collapsed="false">
      <c r="A134" s="71"/>
      <c r="B134" s="71"/>
      <c r="C134" s="6" t="s">
        <v>8</v>
      </c>
      <c r="D134" s="49"/>
      <c r="E134" s="74" t="n">
        <f aca="false">IFERROR(__xludf.dummyfunction("COUNTA(SPLIT(D134,"" ""))/COUNTA(SPLIT($B$47,"" ""))"),0.00476190476190476)</f>
        <v>0.004761904762</v>
      </c>
      <c r="F134" s="6"/>
      <c r="G134" s="6"/>
      <c r="H134" s="6"/>
      <c r="I134" s="6"/>
      <c r="J134" s="6"/>
      <c r="K134" s="51"/>
      <c r="L134" s="51"/>
      <c r="M134" s="51"/>
      <c r="N134" s="51"/>
      <c r="O134" s="51"/>
      <c r="P134" s="51"/>
      <c r="Q134" s="51"/>
      <c r="R134" s="51"/>
      <c r="S134" s="51"/>
      <c r="T134" s="51"/>
      <c r="U134" s="51"/>
      <c r="V134" s="51"/>
      <c r="W134" s="51"/>
      <c r="X134" s="51"/>
      <c r="Y134" s="51"/>
      <c r="Z134" s="51"/>
      <c r="AA134" s="51"/>
      <c r="AB134" s="51"/>
    </row>
    <row r="135" customFormat="false" ht="15.75" hidden="false" customHeight="false" outlineLevel="0" collapsed="false">
      <c r="A135" s="71"/>
      <c r="B135" s="71"/>
      <c r="C135" s="6" t="s">
        <v>20</v>
      </c>
      <c r="D135" s="49"/>
      <c r="E135" s="75" t="n">
        <f aca="false">IFERROR(__xludf.dummyfunction("COUNTA(SPLIT(D135,"" ""))/COUNTA(SPLIT($B$47,"" ""))"),0.00476190476190476)</f>
        <v>0.004761904762</v>
      </c>
      <c r="F135" s="6"/>
      <c r="G135" s="6"/>
      <c r="H135" s="6"/>
      <c r="I135" s="6"/>
      <c r="J135" s="6"/>
      <c r="K135" s="51"/>
      <c r="L135" s="51"/>
      <c r="M135" s="51"/>
      <c r="N135" s="51"/>
      <c r="O135" s="51"/>
      <c r="P135" s="51"/>
      <c r="Q135" s="51"/>
      <c r="R135" s="51"/>
      <c r="S135" s="51"/>
      <c r="T135" s="51"/>
      <c r="U135" s="51"/>
      <c r="V135" s="51"/>
      <c r="W135" s="51"/>
      <c r="X135" s="51"/>
      <c r="Y135" s="51"/>
      <c r="Z135" s="51"/>
      <c r="AA135" s="51"/>
      <c r="AB135" s="51"/>
    </row>
    <row r="136" customFormat="false" ht="15.75" hidden="false" customHeight="false" outlineLevel="0" collapsed="false">
      <c r="A136" s="51"/>
      <c r="B136" s="51"/>
      <c r="C136" s="6"/>
      <c r="D136" s="49"/>
      <c r="E136" s="51"/>
      <c r="F136" s="6"/>
      <c r="G136" s="6"/>
      <c r="H136" s="6"/>
      <c r="I136" s="6"/>
      <c r="J136" s="6"/>
      <c r="K136" s="51"/>
      <c r="L136" s="51"/>
      <c r="M136" s="51"/>
      <c r="N136" s="51"/>
      <c r="O136" s="51"/>
      <c r="P136" s="51"/>
      <c r="Q136" s="51"/>
      <c r="R136" s="51"/>
      <c r="S136" s="51"/>
      <c r="T136" s="51"/>
      <c r="U136" s="51"/>
      <c r="V136" s="51"/>
      <c r="W136" s="51"/>
      <c r="X136" s="51"/>
      <c r="Y136" s="51"/>
      <c r="Z136" s="51"/>
      <c r="AA136" s="51"/>
      <c r="AB136" s="51"/>
    </row>
    <row r="137" customFormat="false" ht="15.75" hidden="false" customHeight="false" outlineLevel="0" collapsed="false">
      <c r="A137" s="71"/>
      <c r="B137" s="55"/>
      <c r="C137" s="56" t="s">
        <v>18</v>
      </c>
      <c r="D137" s="57"/>
      <c r="E137" s="72" t="n">
        <f aca="false">IFERROR(__xludf.dummyfunction("COUNTA(SPLIT(D137,"" ""))/COUNTA(SPLIT($B$47,"" ""))"),0.00476190476190476)</f>
        <v>0.004761904762</v>
      </c>
      <c r="F137" s="56"/>
      <c r="G137" s="56"/>
      <c r="H137" s="56"/>
      <c r="I137" s="56"/>
      <c r="J137" s="56"/>
      <c r="K137" s="59"/>
      <c r="L137" s="59"/>
      <c r="M137" s="59"/>
      <c r="N137" s="59"/>
      <c r="O137" s="59"/>
      <c r="P137" s="59"/>
      <c r="Q137" s="59"/>
      <c r="R137" s="59"/>
      <c r="S137" s="59"/>
      <c r="T137" s="59"/>
      <c r="U137" s="59"/>
      <c r="V137" s="59"/>
      <c r="W137" s="59"/>
      <c r="X137" s="59"/>
      <c r="Y137" s="59"/>
      <c r="Z137" s="59"/>
      <c r="AA137" s="59"/>
      <c r="AB137" s="59"/>
    </row>
    <row r="138" customFormat="false" ht="15.75" hidden="false" customHeight="false" outlineLevel="0" collapsed="false">
      <c r="A138" s="71"/>
      <c r="B138" s="71"/>
      <c r="C138" s="6" t="s">
        <v>19</v>
      </c>
      <c r="D138" s="49"/>
      <c r="E138" s="73" t="n">
        <f aca="false">IFERROR(__xludf.dummyfunction("COUNTA(SPLIT(D138,"" ""))/COUNTA(SPLIT($B$47,"" ""))"),0.00476190476190476)</f>
        <v>0.004761904762</v>
      </c>
      <c r="F138" s="6"/>
      <c r="G138" s="6"/>
      <c r="H138" s="6"/>
      <c r="I138" s="6"/>
      <c r="J138" s="6"/>
      <c r="K138" s="51"/>
      <c r="L138" s="51"/>
      <c r="M138" s="51"/>
      <c r="N138" s="51"/>
      <c r="O138" s="51"/>
      <c r="P138" s="51"/>
      <c r="Q138" s="51"/>
      <c r="R138" s="51"/>
      <c r="S138" s="51"/>
      <c r="T138" s="51"/>
      <c r="U138" s="51"/>
      <c r="V138" s="51"/>
      <c r="W138" s="51"/>
      <c r="X138" s="51"/>
      <c r="Y138" s="51"/>
      <c r="Z138" s="51"/>
      <c r="AA138" s="51"/>
      <c r="AB138" s="51"/>
    </row>
    <row r="139" customFormat="false" ht="15.75" hidden="false" customHeight="false" outlineLevel="0" collapsed="false">
      <c r="A139" s="71"/>
      <c r="B139" s="71"/>
      <c r="C139" s="6" t="s">
        <v>8</v>
      </c>
      <c r="D139" s="49"/>
      <c r="E139" s="74" t="n">
        <f aca="false">IFERROR(__xludf.dummyfunction("COUNTA(SPLIT(D139,"" ""))/COUNTA(SPLIT($B$47,"" ""))"),0.00476190476190476)</f>
        <v>0.004761904762</v>
      </c>
      <c r="F139" s="6"/>
      <c r="G139" s="6"/>
      <c r="H139" s="6"/>
      <c r="I139" s="6"/>
      <c r="J139" s="6"/>
      <c r="K139" s="51"/>
      <c r="L139" s="51"/>
      <c r="M139" s="51"/>
      <c r="N139" s="51"/>
      <c r="O139" s="51"/>
      <c r="P139" s="51"/>
      <c r="Q139" s="51"/>
      <c r="R139" s="51"/>
      <c r="S139" s="51"/>
      <c r="T139" s="51"/>
      <c r="U139" s="51"/>
      <c r="V139" s="51"/>
      <c r="W139" s="51"/>
      <c r="X139" s="51"/>
      <c r="Y139" s="51"/>
      <c r="Z139" s="51"/>
      <c r="AA139" s="51"/>
      <c r="AB139" s="51"/>
    </row>
    <row r="140" customFormat="false" ht="15.75" hidden="false" customHeight="false" outlineLevel="0" collapsed="false">
      <c r="A140" s="71"/>
      <c r="B140" s="71"/>
      <c r="C140" s="6" t="s">
        <v>20</v>
      </c>
      <c r="D140" s="49"/>
      <c r="E140" s="75" t="n">
        <f aca="false">IFERROR(__xludf.dummyfunction("COUNTA(SPLIT(D140,"" ""))/COUNTA(SPLIT($B$47,"" ""))"),0.00476190476190476)</f>
        <v>0.004761904762</v>
      </c>
      <c r="F140" s="6"/>
      <c r="G140" s="6"/>
      <c r="H140" s="6"/>
      <c r="I140" s="6"/>
      <c r="J140" s="6"/>
      <c r="K140" s="51"/>
      <c r="L140" s="51"/>
      <c r="M140" s="51"/>
      <c r="N140" s="51"/>
      <c r="O140" s="51"/>
      <c r="P140" s="51"/>
      <c r="Q140" s="51"/>
      <c r="R140" s="51"/>
      <c r="S140" s="51"/>
      <c r="T140" s="51"/>
      <c r="U140" s="51"/>
      <c r="V140" s="51"/>
      <c r="W140" s="51"/>
      <c r="X140" s="51"/>
      <c r="Y140" s="51"/>
      <c r="Z140" s="51"/>
      <c r="AA140" s="51"/>
      <c r="AB140" s="51"/>
    </row>
    <row r="141" customFormat="false" ht="15.75" hidden="false" customHeight="false" outlineLevel="0" collapsed="false">
      <c r="A141" s="51"/>
      <c r="B141" s="51"/>
      <c r="C141" s="6"/>
      <c r="D141" s="49"/>
      <c r="E141" s="51"/>
      <c r="F141" s="6"/>
      <c r="G141" s="6"/>
      <c r="H141" s="6"/>
      <c r="I141" s="6"/>
      <c r="J141" s="6"/>
      <c r="K141" s="51"/>
      <c r="L141" s="51"/>
      <c r="M141" s="51"/>
      <c r="N141" s="51"/>
      <c r="O141" s="51"/>
      <c r="P141" s="51"/>
      <c r="Q141" s="51"/>
      <c r="R141" s="51"/>
      <c r="S141" s="51"/>
      <c r="T141" s="51"/>
      <c r="U141" s="51"/>
      <c r="V141" s="51"/>
      <c r="W141" s="51"/>
      <c r="X141" s="51"/>
      <c r="Y141" s="51"/>
      <c r="Z141" s="51"/>
      <c r="AA141" s="51"/>
      <c r="AB141" s="51"/>
    </row>
    <row r="142" customFormat="false" ht="15.75" hidden="false" customHeight="false" outlineLevel="0" collapsed="false">
      <c r="A142" s="71"/>
      <c r="B142" s="55"/>
      <c r="C142" s="56" t="s">
        <v>18</v>
      </c>
      <c r="D142" s="57"/>
      <c r="E142" s="72" t="n">
        <f aca="false">IFERROR(__xludf.dummyfunction("COUNTA(SPLIT(D142,"" ""))/COUNTA(SPLIT($B$47,"" ""))"),0.00476190476190476)</f>
        <v>0.004761904762</v>
      </c>
      <c r="F142" s="56"/>
      <c r="G142" s="56"/>
      <c r="H142" s="56"/>
      <c r="I142" s="56"/>
      <c r="J142" s="56"/>
      <c r="K142" s="59"/>
      <c r="L142" s="59"/>
      <c r="M142" s="59"/>
      <c r="N142" s="59"/>
      <c r="O142" s="59"/>
      <c r="P142" s="59"/>
      <c r="Q142" s="59"/>
      <c r="R142" s="59"/>
      <c r="S142" s="59"/>
      <c r="T142" s="59"/>
      <c r="U142" s="59"/>
      <c r="V142" s="59"/>
      <c r="W142" s="59"/>
      <c r="X142" s="59"/>
      <c r="Y142" s="59"/>
      <c r="Z142" s="59"/>
      <c r="AA142" s="59"/>
      <c r="AB142" s="59"/>
    </row>
    <row r="143" customFormat="false" ht="15.75" hidden="false" customHeight="false" outlineLevel="0" collapsed="false">
      <c r="A143" s="71"/>
      <c r="B143" s="71"/>
      <c r="C143" s="6" t="s">
        <v>19</v>
      </c>
      <c r="D143" s="49"/>
      <c r="E143" s="73" t="n">
        <f aca="false">IFERROR(__xludf.dummyfunction("COUNTA(SPLIT(D143,"" ""))/COUNTA(SPLIT($B$47,"" ""))"),0.00476190476190476)</f>
        <v>0.004761904762</v>
      </c>
      <c r="F143" s="6"/>
      <c r="G143" s="6"/>
      <c r="H143" s="6"/>
      <c r="I143" s="6"/>
      <c r="J143" s="6"/>
      <c r="K143" s="51"/>
      <c r="L143" s="51"/>
      <c r="M143" s="51"/>
      <c r="N143" s="51"/>
      <c r="O143" s="51"/>
      <c r="P143" s="51"/>
      <c r="Q143" s="51"/>
      <c r="R143" s="51"/>
      <c r="S143" s="51"/>
      <c r="T143" s="51"/>
      <c r="U143" s="51"/>
      <c r="V143" s="51"/>
      <c r="W143" s="51"/>
      <c r="X143" s="51"/>
      <c r="Y143" s="51"/>
      <c r="Z143" s="51"/>
      <c r="AA143" s="51"/>
      <c r="AB143" s="51"/>
    </row>
    <row r="144" customFormat="false" ht="15.75" hidden="false" customHeight="false" outlineLevel="0" collapsed="false">
      <c r="A144" s="71"/>
      <c r="B144" s="71"/>
      <c r="C144" s="6" t="s">
        <v>8</v>
      </c>
      <c r="D144" s="49"/>
      <c r="E144" s="74" t="n">
        <f aca="false">IFERROR(__xludf.dummyfunction("COUNTA(SPLIT(D144,"" ""))/COUNTA(SPLIT($B$47,"" ""))"),0.00476190476190476)</f>
        <v>0.004761904762</v>
      </c>
      <c r="F144" s="6"/>
      <c r="G144" s="6"/>
      <c r="H144" s="6"/>
      <c r="I144" s="6"/>
      <c r="J144" s="6"/>
      <c r="K144" s="51"/>
      <c r="L144" s="51"/>
      <c r="M144" s="51"/>
      <c r="N144" s="51"/>
      <c r="O144" s="51"/>
      <c r="P144" s="51"/>
      <c r="Q144" s="51"/>
      <c r="R144" s="51"/>
      <c r="S144" s="51"/>
      <c r="T144" s="51"/>
      <c r="U144" s="51"/>
      <c r="V144" s="51"/>
      <c r="W144" s="51"/>
      <c r="X144" s="51"/>
      <c r="Y144" s="51"/>
      <c r="Z144" s="51"/>
      <c r="AA144" s="51"/>
      <c r="AB144" s="51"/>
    </row>
    <row r="145" customFormat="false" ht="15.75" hidden="false" customHeight="false" outlineLevel="0" collapsed="false">
      <c r="A145" s="71"/>
      <c r="B145" s="71"/>
      <c r="C145" s="6" t="s">
        <v>20</v>
      </c>
      <c r="D145" s="49"/>
      <c r="E145" s="75" t="n">
        <f aca="false">IFERROR(__xludf.dummyfunction("COUNTA(SPLIT(D145,"" ""))/COUNTA(SPLIT($B$47,"" ""))"),0.00476190476190476)</f>
        <v>0.004761904762</v>
      </c>
      <c r="F145" s="6"/>
      <c r="G145" s="6"/>
      <c r="H145" s="6"/>
      <c r="I145" s="6"/>
      <c r="J145" s="6"/>
      <c r="K145" s="51"/>
      <c r="L145" s="51"/>
      <c r="M145" s="51"/>
      <c r="N145" s="51"/>
      <c r="O145" s="51"/>
      <c r="P145" s="51"/>
      <c r="Q145" s="51"/>
      <c r="R145" s="51"/>
      <c r="S145" s="51"/>
      <c r="T145" s="51"/>
      <c r="U145" s="51"/>
      <c r="V145" s="51"/>
      <c r="W145" s="51"/>
      <c r="X145" s="51"/>
      <c r="Y145" s="51"/>
      <c r="Z145" s="51"/>
      <c r="AA145" s="51"/>
      <c r="AB145" s="51"/>
    </row>
    <row r="146" customFormat="false" ht="15.75" hidden="false" customHeight="false" outlineLevel="0" collapsed="false">
      <c r="A146" s="51"/>
      <c r="B146" s="51"/>
      <c r="C146" s="6"/>
      <c r="D146" s="49"/>
      <c r="E146" s="51"/>
      <c r="F146" s="6"/>
      <c r="G146" s="6"/>
      <c r="H146" s="6"/>
      <c r="I146" s="6"/>
      <c r="J146" s="6"/>
      <c r="K146" s="51"/>
      <c r="L146" s="51"/>
      <c r="M146" s="51"/>
      <c r="N146" s="51"/>
      <c r="O146" s="51"/>
      <c r="P146" s="51"/>
      <c r="Q146" s="51"/>
      <c r="R146" s="51"/>
      <c r="S146" s="51"/>
      <c r="T146" s="51"/>
      <c r="U146" s="51"/>
      <c r="V146" s="51"/>
      <c r="W146" s="51"/>
      <c r="X146" s="51"/>
      <c r="Y146" s="51"/>
      <c r="Z146" s="51"/>
      <c r="AA146" s="51"/>
      <c r="AB146" s="51"/>
    </row>
    <row r="147" customFormat="false" ht="15.75" hidden="false" customHeight="false" outlineLevel="0" collapsed="false">
      <c r="A147" s="71"/>
      <c r="B147" s="55"/>
      <c r="C147" s="56" t="s">
        <v>18</v>
      </c>
      <c r="D147" s="57"/>
      <c r="E147" s="72" t="n">
        <f aca="false">IFERROR(__xludf.dummyfunction("COUNTA(SPLIT(D147,"" ""))/COUNTA(SPLIT($B$47,"" ""))"),0.00476190476190476)</f>
        <v>0.004761904762</v>
      </c>
      <c r="F147" s="56"/>
      <c r="G147" s="56"/>
      <c r="H147" s="56"/>
      <c r="I147" s="56"/>
      <c r="J147" s="56"/>
      <c r="K147" s="59"/>
      <c r="L147" s="59"/>
      <c r="M147" s="59"/>
      <c r="N147" s="59"/>
      <c r="O147" s="59"/>
      <c r="P147" s="59"/>
      <c r="Q147" s="59"/>
      <c r="R147" s="59"/>
      <c r="S147" s="59"/>
      <c r="T147" s="59"/>
      <c r="U147" s="59"/>
      <c r="V147" s="59"/>
      <c r="W147" s="59"/>
      <c r="X147" s="59"/>
      <c r="Y147" s="59"/>
      <c r="Z147" s="59"/>
      <c r="AA147" s="59"/>
      <c r="AB147" s="59"/>
    </row>
    <row r="148" customFormat="false" ht="15.75" hidden="false" customHeight="false" outlineLevel="0" collapsed="false">
      <c r="A148" s="71"/>
      <c r="B148" s="71"/>
      <c r="C148" s="6" t="s">
        <v>19</v>
      </c>
      <c r="D148" s="49"/>
      <c r="E148" s="73" t="n">
        <f aca="false">IFERROR(__xludf.dummyfunction("COUNTA(SPLIT(D148,"" ""))/COUNTA(SPLIT($B$47,"" ""))"),0.00476190476190476)</f>
        <v>0.004761904762</v>
      </c>
      <c r="F148" s="6"/>
      <c r="G148" s="6"/>
      <c r="H148" s="6"/>
      <c r="I148" s="6"/>
      <c r="J148" s="6"/>
      <c r="K148" s="51"/>
      <c r="L148" s="51"/>
      <c r="M148" s="51"/>
      <c r="N148" s="51"/>
      <c r="O148" s="51"/>
      <c r="P148" s="51"/>
      <c r="Q148" s="51"/>
      <c r="R148" s="51"/>
      <c r="S148" s="51"/>
      <c r="T148" s="51"/>
      <c r="U148" s="51"/>
      <c r="V148" s="51"/>
      <c r="W148" s="51"/>
      <c r="X148" s="51"/>
      <c r="Y148" s="51"/>
      <c r="Z148" s="51"/>
      <c r="AA148" s="51"/>
      <c r="AB148" s="51"/>
    </row>
    <row r="149" customFormat="false" ht="15.75" hidden="false" customHeight="false" outlineLevel="0" collapsed="false">
      <c r="A149" s="71"/>
      <c r="B149" s="71"/>
      <c r="C149" s="6" t="s">
        <v>8</v>
      </c>
      <c r="D149" s="49"/>
      <c r="E149" s="74" t="n">
        <f aca="false">IFERROR(__xludf.dummyfunction("COUNTA(SPLIT(D149,"" ""))/COUNTA(SPLIT($B$47,"" ""))"),0.00476190476190476)</f>
        <v>0.004761904762</v>
      </c>
      <c r="F149" s="6"/>
      <c r="G149" s="6"/>
      <c r="H149" s="6"/>
      <c r="I149" s="6"/>
      <c r="J149" s="6"/>
      <c r="K149" s="51"/>
      <c r="L149" s="51"/>
      <c r="M149" s="51"/>
      <c r="N149" s="51"/>
      <c r="O149" s="51"/>
      <c r="P149" s="51"/>
      <c r="Q149" s="51"/>
      <c r="R149" s="51"/>
      <c r="S149" s="51"/>
      <c r="T149" s="51"/>
      <c r="U149" s="51"/>
      <c r="V149" s="51"/>
      <c r="W149" s="51"/>
      <c r="X149" s="51"/>
      <c r="Y149" s="51"/>
      <c r="Z149" s="51"/>
      <c r="AA149" s="51"/>
      <c r="AB149" s="51"/>
    </row>
    <row r="150" customFormat="false" ht="15.75" hidden="false" customHeight="false" outlineLevel="0" collapsed="false">
      <c r="A150" s="71"/>
      <c r="B150" s="71"/>
      <c r="C150" s="6" t="s">
        <v>20</v>
      </c>
      <c r="D150" s="49"/>
      <c r="E150" s="75" t="n">
        <f aca="false">IFERROR(__xludf.dummyfunction("COUNTA(SPLIT(D150,"" ""))/COUNTA(SPLIT($B$47,"" ""))"),0.00476190476190476)</f>
        <v>0.004761904762</v>
      </c>
      <c r="F150" s="6"/>
      <c r="G150" s="6"/>
      <c r="H150" s="6"/>
      <c r="I150" s="6"/>
      <c r="J150" s="6"/>
      <c r="K150" s="51"/>
      <c r="L150" s="51"/>
      <c r="M150" s="51"/>
      <c r="N150" s="51"/>
      <c r="O150" s="51"/>
      <c r="P150" s="51"/>
      <c r="Q150" s="51"/>
      <c r="R150" s="51"/>
      <c r="S150" s="51"/>
      <c r="T150" s="51"/>
      <c r="U150" s="51"/>
      <c r="V150" s="51"/>
      <c r="W150" s="51"/>
      <c r="X150" s="51"/>
      <c r="Y150" s="51"/>
      <c r="Z150" s="51"/>
      <c r="AA150" s="51"/>
      <c r="AB150" s="51"/>
    </row>
    <row r="151" customFormat="false" ht="15.75" hidden="false" customHeight="false" outlineLevel="0" collapsed="false">
      <c r="A151" s="51"/>
      <c r="B151" s="51"/>
      <c r="C151" s="6"/>
      <c r="D151" s="49"/>
      <c r="E151" s="51"/>
      <c r="F151" s="6"/>
      <c r="G151" s="6"/>
      <c r="H151" s="6"/>
      <c r="I151" s="6"/>
      <c r="J151" s="6"/>
      <c r="K151" s="51"/>
      <c r="L151" s="51"/>
      <c r="M151" s="51"/>
      <c r="N151" s="51"/>
      <c r="O151" s="51"/>
      <c r="P151" s="51"/>
      <c r="Q151" s="51"/>
      <c r="R151" s="51"/>
      <c r="S151" s="51"/>
      <c r="T151" s="51"/>
      <c r="U151" s="51"/>
      <c r="V151" s="51"/>
      <c r="W151" s="51"/>
      <c r="X151" s="51"/>
      <c r="Y151" s="51"/>
      <c r="Z151" s="51"/>
      <c r="AA151" s="51"/>
      <c r="AB151" s="51"/>
    </row>
    <row r="152" customFormat="false" ht="15.75" hidden="false" customHeight="false" outlineLevel="0" collapsed="false">
      <c r="A152" s="71"/>
      <c r="B152" s="55"/>
      <c r="C152" s="56" t="s">
        <v>18</v>
      </c>
      <c r="D152" s="57"/>
      <c r="E152" s="72" t="n">
        <f aca="false">IFERROR(__xludf.dummyfunction("COUNTA(SPLIT(D152,"" ""))/COUNTA(SPLIT($B$47,"" ""))"),0.00476190476190476)</f>
        <v>0.004761904762</v>
      </c>
      <c r="F152" s="56"/>
      <c r="G152" s="56"/>
      <c r="H152" s="56"/>
      <c r="I152" s="56"/>
      <c r="J152" s="56"/>
      <c r="K152" s="59"/>
      <c r="L152" s="59"/>
      <c r="M152" s="59"/>
      <c r="N152" s="59"/>
      <c r="O152" s="59"/>
      <c r="P152" s="59"/>
      <c r="Q152" s="59"/>
      <c r="R152" s="59"/>
      <c r="S152" s="59"/>
      <c r="T152" s="59"/>
      <c r="U152" s="59"/>
      <c r="V152" s="59"/>
      <c r="W152" s="59"/>
      <c r="X152" s="59"/>
      <c r="Y152" s="59"/>
      <c r="Z152" s="59"/>
      <c r="AA152" s="59"/>
      <c r="AB152" s="59"/>
    </row>
    <row r="153" customFormat="false" ht="15.75" hidden="false" customHeight="false" outlineLevel="0" collapsed="false">
      <c r="A153" s="71"/>
      <c r="B153" s="71"/>
      <c r="C153" s="6" t="s">
        <v>19</v>
      </c>
      <c r="D153" s="49"/>
      <c r="E153" s="73" t="n">
        <f aca="false">IFERROR(__xludf.dummyfunction("COUNTA(SPLIT(D153,"" ""))/COUNTA(SPLIT($B$47,"" ""))"),0.00476190476190476)</f>
        <v>0.004761904762</v>
      </c>
      <c r="F153" s="6"/>
      <c r="G153" s="6"/>
      <c r="H153" s="6"/>
      <c r="I153" s="6"/>
      <c r="J153" s="6"/>
      <c r="K153" s="51"/>
      <c r="L153" s="51"/>
      <c r="M153" s="51"/>
      <c r="N153" s="51"/>
      <c r="O153" s="51"/>
      <c r="P153" s="51"/>
      <c r="Q153" s="51"/>
      <c r="R153" s="51"/>
      <c r="S153" s="51"/>
      <c r="T153" s="51"/>
      <c r="U153" s="51"/>
      <c r="V153" s="51"/>
      <c r="W153" s="51"/>
      <c r="X153" s="51"/>
      <c r="Y153" s="51"/>
      <c r="Z153" s="51"/>
      <c r="AA153" s="51"/>
      <c r="AB153" s="51"/>
    </row>
    <row r="154" customFormat="false" ht="15.75" hidden="false" customHeight="false" outlineLevel="0" collapsed="false">
      <c r="A154" s="71"/>
      <c r="B154" s="71"/>
      <c r="C154" s="6" t="s">
        <v>8</v>
      </c>
      <c r="D154" s="49"/>
      <c r="E154" s="74" t="n">
        <f aca="false">IFERROR(__xludf.dummyfunction("COUNTA(SPLIT(D154,"" ""))/COUNTA(SPLIT($B$47,"" ""))"),0.00476190476190476)</f>
        <v>0.004761904762</v>
      </c>
      <c r="F154" s="6"/>
      <c r="G154" s="6"/>
      <c r="H154" s="6"/>
      <c r="I154" s="6"/>
      <c r="J154" s="6"/>
      <c r="K154" s="51"/>
      <c r="L154" s="51"/>
      <c r="M154" s="51"/>
      <c r="N154" s="51"/>
      <c r="O154" s="51"/>
      <c r="P154" s="51"/>
      <c r="Q154" s="51"/>
      <c r="R154" s="51"/>
      <c r="S154" s="51"/>
      <c r="T154" s="51"/>
      <c r="U154" s="51"/>
      <c r="V154" s="51"/>
      <c r="W154" s="51"/>
      <c r="X154" s="51"/>
      <c r="Y154" s="51"/>
      <c r="Z154" s="51"/>
      <c r="AA154" s="51"/>
      <c r="AB154" s="51"/>
    </row>
    <row r="155" customFormat="false" ht="15.75" hidden="false" customHeight="false" outlineLevel="0" collapsed="false">
      <c r="A155" s="71"/>
      <c r="B155" s="71"/>
      <c r="C155" s="6" t="s">
        <v>20</v>
      </c>
      <c r="D155" s="49"/>
      <c r="E155" s="75" t="n">
        <f aca="false">IFERROR(__xludf.dummyfunction("COUNTA(SPLIT(D155,"" ""))/COUNTA(SPLIT($B$47,"" ""))"),0.00476190476190476)</f>
        <v>0.004761904762</v>
      </c>
      <c r="F155" s="6"/>
      <c r="G155" s="6"/>
      <c r="H155" s="6"/>
      <c r="I155" s="6"/>
      <c r="J155" s="6"/>
      <c r="K155" s="51"/>
      <c r="L155" s="51"/>
      <c r="M155" s="51"/>
      <c r="N155" s="51"/>
      <c r="O155" s="51"/>
      <c r="P155" s="51"/>
      <c r="Q155" s="51"/>
      <c r="R155" s="51"/>
      <c r="S155" s="51"/>
      <c r="T155" s="51"/>
      <c r="U155" s="51"/>
      <c r="V155" s="51"/>
      <c r="W155" s="51"/>
      <c r="X155" s="51"/>
      <c r="Y155" s="51"/>
      <c r="Z155" s="51"/>
      <c r="AA155" s="51"/>
      <c r="AB155" s="51"/>
    </row>
    <row r="156" customFormat="false" ht="15.75" hidden="false" customHeight="false" outlineLevel="0" collapsed="false">
      <c r="A156" s="51"/>
      <c r="B156" s="51"/>
      <c r="C156" s="6"/>
      <c r="D156" s="49"/>
      <c r="E156" s="51"/>
      <c r="F156" s="6"/>
      <c r="G156" s="6"/>
      <c r="H156" s="6"/>
      <c r="I156" s="6"/>
      <c r="J156" s="6"/>
      <c r="K156" s="51"/>
      <c r="L156" s="51"/>
      <c r="M156" s="51"/>
      <c r="N156" s="51"/>
      <c r="O156" s="51"/>
      <c r="P156" s="51"/>
      <c r="Q156" s="51"/>
      <c r="R156" s="51"/>
      <c r="S156" s="51"/>
      <c r="T156" s="51"/>
      <c r="U156" s="51"/>
      <c r="V156" s="51"/>
      <c r="W156" s="51"/>
      <c r="X156" s="51"/>
      <c r="Y156" s="51"/>
      <c r="Z156" s="51"/>
      <c r="AA156" s="51"/>
      <c r="AB156" s="51"/>
    </row>
    <row r="157" customFormat="false" ht="15.75" hidden="false" customHeight="false" outlineLevel="0" collapsed="false">
      <c r="A157" s="71"/>
      <c r="B157" s="55"/>
      <c r="C157" s="56" t="s">
        <v>18</v>
      </c>
      <c r="D157" s="57"/>
      <c r="E157" s="72" t="n">
        <f aca="false">IFERROR(__xludf.dummyfunction("COUNTA(SPLIT(D157,"" ""))/COUNTA(SPLIT($B$47,"" ""))"),0.00476190476190476)</f>
        <v>0.004761904762</v>
      </c>
      <c r="F157" s="56"/>
      <c r="G157" s="56"/>
      <c r="H157" s="56"/>
      <c r="I157" s="56"/>
      <c r="J157" s="56"/>
      <c r="K157" s="59"/>
      <c r="L157" s="59"/>
      <c r="M157" s="59"/>
      <c r="N157" s="59"/>
      <c r="O157" s="59"/>
      <c r="P157" s="59"/>
      <c r="Q157" s="59"/>
      <c r="R157" s="59"/>
      <c r="S157" s="59"/>
      <c r="T157" s="59"/>
      <c r="U157" s="59"/>
      <c r="V157" s="59"/>
      <c r="W157" s="59"/>
      <c r="X157" s="59"/>
      <c r="Y157" s="59"/>
      <c r="Z157" s="59"/>
      <c r="AA157" s="59"/>
      <c r="AB157" s="59"/>
    </row>
    <row r="158" customFormat="false" ht="15.75" hidden="false" customHeight="false" outlineLevel="0" collapsed="false">
      <c r="A158" s="71"/>
      <c r="B158" s="71"/>
      <c r="C158" s="6" t="s">
        <v>19</v>
      </c>
      <c r="D158" s="49"/>
      <c r="E158" s="73" t="n">
        <f aca="false">IFERROR(__xludf.dummyfunction("COUNTA(SPLIT(D158,"" ""))/COUNTA(SPLIT($B$47,"" ""))"),0.00476190476190476)</f>
        <v>0.004761904762</v>
      </c>
      <c r="F158" s="6"/>
      <c r="G158" s="6"/>
      <c r="H158" s="6"/>
      <c r="I158" s="6"/>
      <c r="J158" s="6"/>
      <c r="K158" s="51"/>
      <c r="L158" s="51"/>
      <c r="M158" s="51"/>
      <c r="N158" s="51"/>
      <c r="O158" s="51"/>
      <c r="P158" s="51"/>
      <c r="Q158" s="51"/>
      <c r="R158" s="51"/>
      <c r="S158" s="51"/>
      <c r="T158" s="51"/>
      <c r="U158" s="51"/>
      <c r="V158" s="51"/>
      <c r="W158" s="51"/>
      <c r="X158" s="51"/>
      <c r="Y158" s="51"/>
      <c r="Z158" s="51"/>
      <c r="AA158" s="51"/>
      <c r="AB158" s="51"/>
    </row>
    <row r="159" customFormat="false" ht="15.75" hidden="false" customHeight="false" outlineLevel="0" collapsed="false">
      <c r="A159" s="71"/>
      <c r="B159" s="71"/>
      <c r="C159" s="6" t="s">
        <v>8</v>
      </c>
      <c r="D159" s="49"/>
      <c r="E159" s="74" t="n">
        <f aca="false">IFERROR(__xludf.dummyfunction("COUNTA(SPLIT(D159,"" ""))/COUNTA(SPLIT($B$47,"" ""))"),0.00476190476190476)</f>
        <v>0.004761904762</v>
      </c>
      <c r="F159" s="6"/>
      <c r="G159" s="6"/>
      <c r="H159" s="6"/>
      <c r="I159" s="6"/>
      <c r="J159" s="6"/>
      <c r="K159" s="51"/>
      <c r="L159" s="51"/>
      <c r="M159" s="51"/>
      <c r="N159" s="51"/>
      <c r="O159" s="51"/>
      <c r="P159" s="51"/>
      <c r="Q159" s="51"/>
      <c r="R159" s="51"/>
      <c r="S159" s="51"/>
      <c r="T159" s="51"/>
      <c r="U159" s="51"/>
      <c r="V159" s="51"/>
      <c r="W159" s="51"/>
      <c r="X159" s="51"/>
      <c r="Y159" s="51"/>
      <c r="Z159" s="51"/>
      <c r="AA159" s="51"/>
      <c r="AB159" s="51"/>
    </row>
    <row r="160" customFormat="false" ht="15.75" hidden="false" customHeight="false" outlineLevel="0" collapsed="false">
      <c r="A160" s="71"/>
      <c r="B160" s="71"/>
      <c r="C160" s="6" t="s">
        <v>20</v>
      </c>
      <c r="D160" s="49"/>
      <c r="E160" s="75" t="n">
        <f aca="false">IFERROR(__xludf.dummyfunction("COUNTA(SPLIT(D160,"" ""))/COUNTA(SPLIT($B$47,"" ""))"),0.00476190476190476)</f>
        <v>0.004761904762</v>
      </c>
      <c r="F160" s="6"/>
      <c r="G160" s="6"/>
      <c r="H160" s="6"/>
      <c r="I160" s="6"/>
      <c r="J160" s="6"/>
      <c r="K160" s="51"/>
      <c r="L160" s="51"/>
      <c r="M160" s="51"/>
      <c r="N160" s="51"/>
      <c r="O160" s="51"/>
      <c r="P160" s="51"/>
      <c r="Q160" s="51"/>
      <c r="R160" s="51"/>
      <c r="S160" s="51"/>
      <c r="T160" s="51"/>
      <c r="U160" s="51"/>
      <c r="V160" s="51"/>
      <c r="W160" s="51"/>
      <c r="X160" s="51"/>
      <c r="Y160" s="51"/>
      <c r="Z160" s="51"/>
      <c r="AA160" s="51"/>
      <c r="AB160" s="51"/>
    </row>
    <row r="161" customFormat="false" ht="15.75" hidden="false" customHeight="false" outlineLevel="0" collapsed="false">
      <c r="A161" s="51"/>
      <c r="B161" s="51"/>
      <c r="C161" s="6"/>
      <c r="D161" s="49"/>
      <c r="E161" s="51"/>
      <c r="F161" s="6"/>
      <c r="G161" s="6"/>
      <c r="H161" s="6"/>
      <c r="I161" s="6"/>
      <c r="J161" s="6"/>
      <c r="K161" s="51"/>
      <c r="L161" s="51"/>
      <c r="M161" s="51"/>
      <c r="N161" s="51"/>
      <c r="O161" s="51"/>
      <c r="P161" s="51"/>
      <c r="Q161" s="51"/>
      <c r="R161" s="51"/>
      <c r="S161" s="51"/>
      <c r="T161" s="51"/>
      <c r="U161" s="51"/>
      <c r="V161" s="51"/>
      <c r="W161" s="51"/>
      <c r="X161" s="51"/>
      <c r="Y161" s="51"/>
      <c r="Z161" s="51"/>
      <c r="AA161" s="51"/>
      <c r="AB161" s="51"/>
    </row>
    <row r="162" customFormat="false" ht="15.75" hidden="false" customHeight="false" outlineLevel="0" collapsed="false">
      <c r="A162" s="71"/>
      <c r="B162" s="55"/>
      <c r="C162" s="56" t="s">
        <v>18</v>
      </c>
      <c r="D162" s="57"/>
      <c r="E162" s="72" t="n">
        <f aca="false">IFERROR(__xludf.dummyfunction("COUNTA(SPLIT(D162,"" ""))/COUNTA(SPLIT($B$47,"" ""))"),0.00476190476190476)</f>
        <v>0.004761904762</v>
      </c>
      <c r="F162" s="56"/>
      <c r="G162" s="56"/>
      <c r="H162" s="56"/>
      <c r="I162" s="56"/>
      <c r="J162" s="56"/>
      <c r="K162" s="59"/>
      <c r="L162" s="59"/>
      <c r="M162" s="59"/>
      <c r="N162" s="59"/>
      <c r="O162" s="59"/>
      <c r="P162" s="59"/>
      <c r="Q162" s="59"/>
      <c r="R162" s="59"/>
      <c r="S162" s="59"/>
      <c r="T162" s="59"/>
      <c r="U162" s="59"/>
      <c r="V162" s="59"/>
      <c r="W162" s="59"/>
      <c r="X162" s="59"/>
      <c r="Y162" s="59"/>
      <c r="Z162" s="59"/>
      <c r="AA162" s="59"/>
      <c r="AB162" s="59"/>
    </row>
    <row r="163" customFormat="false" ht="15.75" hidden="false" customHeight="false" outlineLevel="0" collapsed="false">
      <c r="A163" s="71"/>
      <c r="B163" s="71"/>
      <c r="C163" s="6" t="s">
        <v>19</v>
      </c>
      <c r="D163" s="49"/>
      <c r="E163" s="73" t="n">
        <f aca="false">IFERROR(__xludf.dummyfunction("COUNTA(SPLIT(D163,"" ""))/COUNTA(SPLIT($B$47,"" ""))"),0.00476190476190476)</f>
        <v>0.004761904762</v>
      </c>
      <c r="F163" s="6"/>
      <c r="G163" s="6"/>
      <c r="H163" s="6"/>
      <c r="I163" s="6"/>
      <c r="J163" s="6"/>
      <c r="K163" s="51"/>
      <c r="L163" s="51"/>
      <c r="M163" s="51"/>
      <c r="N163" s="51"/>
      <c r="O163" s="51"/>
      <c r="P163" s="51"/>
      <c r="Q163" s="51"/>
      <c r="R163" s="51"/>
      <c r="S163" s="51"/>
      <c r="T163" s="51"/>
      <c r="U163" s="51"/>
      <c r="V163" s="51"/>
      <c r="W163" s="51"/>
      <c r="X163" s="51"/>
      <c r="Y163" s="51"/>
      <c r="Z163" s="51"/>
      <c r="AA163" s="51"/>
      <c r="AB163" s="51"/>
    </row>
    <row r="164" customFormat="false" ht="15.75" hidden="false" customHeight="false" outlineLevel="0" collapsed="false">
      <c r="A164" s="71"/>
      <c r="B164" s="71"/>
      <c r="C164" s="6" t="s">
        <v>8</v>
      </c>
      <c r="D164" s="49"/>
      <c r="E164" s="74" t="n">
        <f aca="false">IFERROR(__xludf.dummyfunction("COUNTA(SPLIT(D164,"" ""))/COUNTA(SPLIT($B$47,"" ""))"),0.00476190476190476)</f>
        <v>0.004761904762</v>
      </c>
      <c r="F164" s="6"/>
      <c r="G164" s="6"/>
      <c r="H164" s="6"/>
      <c r="I164" s="6"/>
      <c r="J164" s="6"/>
      <c r="K164" s="51"/>
      <c r="L164" s="51"/>
      <c r="M164" s="51"/>
      <c r="N164" s="51"/>
      <c r="O164" s="51"/>
      <c r="P164" s="51"/>
      <c r="Q164" s="51"/>
      <c r="R164" s="51"/>
      <c r="S164" s="51"/>
      <c r="T164" s="51"/>
      <c r="U164" s="51"/>
      <c r="V164" s="51"/>
      <c r="W164" s="51"/>
      <c r="X164" s="51"/>
      <c r="Y164" s="51"/>
      <c r="Z164" s="51"/>
      <c r="AA164" s="51"/>
      <c r="AB164" s="51"/>
    </row>
    <row r="165" customFormat="false" ht="15.75" hidden="false" customHeight="false" outlineLevel="0" collapsed="false">
      <c r="A165" s="71"/>
      <c r="B165" s="71"/>
      <c r="C165" s="6" t="s">
        <v>20</v>
      </c>
      <c r="D165" s="49"/>
      <c r="E165" s="75" t="n">
        <f aca="false">IFERROR(__xludf.dummyfunction("COUNTA(SPLIT(D165,"" ""))/COUNTA(SPLIT($B$47,"" ""))"),0.00476190476190476)</f>
        <v>0.004761904762</v>
      </c>
      <c r="F165" s="6"/>
      <c r="G165" s="6"/>
      <c r="H165" s="6"/>
      <c r="I165" s="6"/>
      <c r="J165" s="6"/>
      <c r="K165" s="51"/>
      <c r="L165" s="51"/>
      <c r="M165" s="51"/>
      <c r="N165" s="51"/>
      <c r="O165" s="51"/>
      <c r="P165" s="51"/>
      <c r="Q165" s="51"/>
      <c r="R165" s="51"/>
      <c r="S165" s="51"/>
      <c r="T165" s="51"/>
      <c r="U165" s="51"/>
      <c r="V165" s="51"/>
      <c r="W165" s="51"/>
      <c r="X165" s="51"/>
      <c r="Y165" s="51"/>
      <c r="Z165" s="51"/>
      <c r="AA165" s="51"/>
      <c r="AB165" s="51"/>
    </row>
    <row r="166" customFormat="false" ht="15.75" hidden="false" customHeight="false" outlineLevel="0" collapsed="false">
      <c r="A166" s="51"/>
      <c r="B166" s="51"/>
      <c r="C166" s="6"/>
      <c r="D166" s="49"/>
      <c r="E166" s="51"/>
      <c r="F166" s="6"/>
      <c r="G166" s="6"/>
      <c r="H166" s="6"/>
      <c r="I166" s="6"/>
      <c r="J166" s="6"/>
      <c r="K166" s="51"/>
      <c r="L166" s="51"/>
      <c r="M166" s="51"/>
      <c r="N166" s="51"/>
      <c r="O166" s="51"/>
      <c r="P166" s="51"/>
      <c r="Q166" s="51"/>
      <c r="R166" s="51"/>
      <c r="S166" s="51"/>
      <c r="T166" s="51"/>
      <c r="U166" s="51"/>
      <c r="V166" s="51"/>
      <c r="W166" s="51"/>
      <c r="X166" s="51"/>
      <c r="Y166" s="51"/>
      <c r="Z166" s="51"/>
      <c r="AA166" s="51"/>
      <c r="AB166" s="51"/>
    </row>
    <row r="167" customFormat="false" ht="15.75" hidden="false" customHeight="false" outlineLevel="0" collapsed="false">
      <c r="A167" s="51"/>
      <c r="B167" s="51"/>
      <c r="C167" s="6"/>
      <c r="D167" s="49"/>
      <c r="E167" s="51"/>
      <c r="F167" s="6"/>
      <c r="G167" s="6"/>
      <c r="H167" s="6"/>
      <c r="I167" s="6"/>
      <c r="J167" s="6"/>
      <c r="K167" s="51"/>
      <c r="L167" s="51"/>
      <c r="M167" s="51"/>
      <c r="N167" s="51"/>
      <c r="O167" s="51"/>
      <c r="P167" s="51"/>
      <c r="Q167" s="51"/>
      <c r="R167" s="51"/>
      <c r="S167" s="51"/>
      <c r="T167" s="51"/>
      <c r="U167" s="51"/>
      <c r="V167" s="51"/>
      <c r="W167" s="51"/>
      <c r="X167" s="51"/>
      <c r="Y167" s="51"/>
      <c r="Z167" s="51"/>
      <c r="AA167" s="51"/>
      <c r="AB167" s="51"/>
    </row>
    <row r="168" customFormat="false" ht="15.75" hidden="false" customHeight="false" outlineLevel="0" collapsed="false">
      <c r="A168" s="51"/>
      <c r="B168" s="51"/>
      <c r="C168" s="6"/>
      <c r="D168" s="49"/>
      <c r="E168" s="51"/>
      <c r="F168" s="6"/>
      <c r="G168" s="6"/>
      <c r="H168" s="6"/>
      <c r="I168" s="6"/>
      <c r="J168" s="6"/>
      <c r="K168" s="51"/>
      <c r="L168" s="51"/>
      <c r="M168" s="51"/>
      <c r="N168" s="51"/>
      <c r="O168" s="51"/>
      <c r="P168" s="51"/>
      <c r="Q168" s="51"/>
      <c r="R168" s="51"/>
      <c r="S168" s="51"/>
      <c r="T168" s="51"/>
      <c r="U168" s="51"/>
      <c r="V168" s="51"/>
      <c r="W168" s="51"/>
      <c r="X168" s="51"/>
      <c r="Y168" s="51"/>
      <c r="Z168" s="51"/>
      <c r="AA168" s="51"/>
      <c r="AB168" s="51"/>
    </row>
    <row r="169" customFormat="false" ht="15.75" hidden="false" customHeight="false" outlineLevel="0" collapsed="false">
      <c r="A169" s="51"/>
      <c r="B169" s="51"/>
      <c r="C169" s="6"/>
      <c r="D169" s="49"/>
      <c r="E169" s="51"/>
      <c r="F169" s="6"/>
      <c r="G169" s="6"/>
      <c r="H169" s="6"/>
      <c r="I169" s="6"/>
      <c r="J169" s="6"/>
      <c r="K169" s="51"/>
      <c r="L169" s="51"/>
      <c r="M169" s="51"/>
      <c r="N169" s="51"/>
      <c r="O169" s="51"/>
      <c r="P169" s="51"/>
      <c r="Q169" s="51"/>
      <c r="R169" s="51"/>
      <c r="S169" s="51"/>
      <c r="T169" s="51"/>
      <c r="U169" s="51"/>
      <c r="V169" s="51"/>
      <c r="W169" s="51"/>
      <c r="X169" s="51"/>
      <c r="Y169" s="51"/>
      <c r="Z169" s="51"/>
      <c r="AA169" s="51"/>
      <c r="AB169" s="51"/>
    </row>
    <row r="170" customFormat="false" ht="15.75" hidden="false" customHeight="false" outlineLevel="0" collapsed="false">
      <c r="A170" s="51"/>
      <c r="B170" s="51"/>
      <c r="C170" s="6"/>
      <c r="D170" s="49"/>
      <c r="E170" s="51"/>
      <c r="F170" s="6"/>
      <c r="G170" s="6"/>
      <c r="H170" s="6"/>
      <c r="I170" s="6"/>
      <c r="J170" s="6"/>
      <c r="K170" s="51"/>
      <c r="L170" s="51"/>
      <c r="M170" s="51"/>
      <c r="N170" s="51"/>
      <c r="O170" s="51"/>
      <c r="P170" s="51"/>
      <c r="Q170" s="51"/>
      <c r="R170" s="51"/>
      <c r="S170" s="51"/>
      <c r="T170" s="51"/>
      <c r="U170" s="51"/>
      <c r="V170" s="51"/>
      <c r="W170" s="51"/>
      <c r="X170" s="51"/>
      <c r="Y170" s="51"/>
      <c r="Z170" s="51"/>
      <c r="AA170" s="51"/>
      <c r="AB170" s="51"/>
    </row>
    <row r="171" customFormat="false" ht="15.75" hidden="false" customHeight="false" outlineLevel="0" collapsed="false">
      <c r="A171" s="51"/>
      <c r="B171" s="51"/>
      <c r="C171" s="6"/>
      <c r="D171" s="49"/>
      <c r="E171" s="51"/>
      <c r="F171" s="6"/>
      <c r="G171" s="6"/>
      <c r="H171" s="6"/>
      <c r="I171" s="6"/>
      <c r="J171" s="6"/>
      <c r="K171" s="51"/>
      <c r="L171" s="51"/>
      <c r="M171" s="51"/>
      <c r="N171" s="51"/>
      <c r="O171" s="51"/>
      <c r="P171" s="51"/>
      <c r="Q171" s="51"/>
      <c r="R171" s="51"/>
      <c r="S171" s="51"/>
      <c r="T171" s="51"/>
      <c r="U171" s="51"/>
      <c r="V171" s="51"/>
      <c r="W171" s="51"/>
      <c r="X171" s="51"/>
      <c r="Y171" s="51"/>
      <c r="Z171" s="51"/>
      <c r="AA171" s="51"/>
      <c r="AB171" s="51"/>
    </row>
    <row r="172" customFormat="false" ht="15.75" hidden="false" customHeight="false" outlineLevel="0" collapsed="false">
      <c r="A172" s="51"/>
      <c r="B172" s="51"/>
      <c r="C172" s="6"/>
      <c r="D172" s="49"/>
      <c r="E172" s="51"/>
      <c r="F172" s="6"/>
      <c r="G172" s="6"/>
      <c r="H172" s="6"/>
      <c r="I172" s="6"/>
      <c r="J172" s="6"/>
      <c r="K172" s="51"/>
      <c r="L172" s="51"/>
      <c r="M172" s="51"/>
      <c r="N172" s="51"/>
      <c r="O172" s="51"/>
      <c r="P172" s="51"/>
      <c r="Q172" s="51"/>
      <c r="R172" s="51"/>
      <c r="S172" s="51"/>
      <c r="T172" s="51"/>
      <c r="U172" s="51"/>
      <c r="V172" s="51"/>
      <c r="W172" s="51"/>
      <c r="X172" s="51"/>
      <c r="Y172" s="51"/>
      <c r="Z172" s="51"/>
      <c r="AA172" s="51"/>
      <c r="AB172" s="51"/>
    </row>
    <row r="173" customFormat="false" ht="15.75" hidden="false" customHeight="false" outlineLevel="0" collapsed="false">
      <c r="A173" s="51"/>
      <c r="B173" s="51"/>
      <c r="C173" s="6"/>
      <c r="D173" s="49"/>
      <c r="E173" s="51"/>
      <c r="F173" s="6"/>
      <c r="G173" s="6"/>
      <c r="H173" s="6"/>
      <c r="I173" s="6"/>
      <c r="J173" s="6"/>
      <c r="K173" s="51"/>
      <c r="L173" s="51"/>
      <c r="M173" s="51"/>
      <c r="N173" s="51"/>
      <c r="O173" s="51"/>
      <c r="P173" s="51"/>
      <c r="Q173" s="51"/>
      <c r="R173" s="51"/>
      <c r="S173" s="51"/>
      <c r="T173" s="51"/>
      <c r="U173" s="51"/>
      <c r="V173" s="51"/>
      <c r="W173" s="51"/>
      <c r="X173" s="51"/>
      <c r="Y173" s="51"/>
      <c r="Z173" s="51"/>
      <c r="AA173" s="51"/>
      <c r="AB173" s="51"/>
    </row>
    <row r="174" customFormat="false" ht="15.75" hidden="false" customHeight="false" outlineLevel="0" collapsed="false">
      <c r="A174" s="51"/>
      <c r="B174" s="51"/>
      <c r="C174" s="6"/>
      <c r="D174" s="49"/>
      <c r="E174" s="51"/>
      <c r="F174" s="6"/>
      <c r="G174" s="6"/>
      <c r="H174" s="6"/>
      <c r="I174" s="6"/>
      <c r="J174" s="6"/>
      <c r="K174" s="51"/>
      <c r="L174" s="51"/>
      <c r="M174" s="51"/>
      <c r="N174" s="51"/>
      <c r="O174" s="51"/>
      <c r="P174" s="51"/>
      <c r="Q174" s="51"/>
      <c r="R174" s="51"/>
      <c r="S174" s="51"/>
      <c r="T174" s="51"/>
      <c r="U174" s="51"/>
      <c r="V174" s="51"/>
      <c r="W174" s="51"/>
      <c r="X174" s="51"/>
      <c r="Y174" s="51"/>
      <c r="Z174" s="51"/>
      <c r="AA174" s="51"/>
      <c r="AB174" s="51"/>
    </row>
    <row r="175" customFormat="false" ht="15.75" hidden="false" customHeight="false" outlineLevel="0" collapsed="false">
      <c r="A175" s="51"/>
      <c r="B175" s="51"/>
      <c r="C175" s="6"/>
      <c r="D175" s="49"/>
      <c r="E175" s="51"/>
      <c r="F175" s="6"/>
      <c r="G175" s="6"/>
      <c r="H175" s="6"/>
      <c r="I175" s="6"/>
      <c r="J175" s="6"/>
      <c r="K175" s="51"/>
      <c r="L175" s="51"/>
      <c r="M175" s="51"/>
      <c r="N175" s="51"/>
      <c r="O175" s="51"/>
      <c r="P175" s="51"/>
      <c r="Q175" s="51"/>
      <c r="R175" s="51"/>
      <c r="S175" s="51"/>
      <c r="T175" s="51"/>
      <c r="U175" s="51"/>
      <c r="V175" s="51"/>
      <c r="W175" s="51"/>
      <c r="X175" s="51"/>
      <c r="Y175" s="51"/>
      <c r="Z175" s="51"/>
      <c r="AA175" s="51"/>
      <c r="AB175" s="51"/>
    </row>
    <row r="176" customFormat="false" ht="15.75" hidden="false" customHeight="false" outlineLevel="0" collapsed="false">
      <c r="A176" s="51"/>
      <c r="B176" s="51"/>
      <c r="C176" s="6"/>
      <c r="D176" s="49"/>
      <c r="E176" s="51"/>
      <c r="F176" s="6"/>
      <c r="G176" s="6"/>
      <c r="H176" s="6"/>
      <c r="I176" s="6"/>
      <c r="J176" s="6"/>
      <c r="K176" s="51"/>
      <c r="L176" s="51"/>
      <c r="M176" s="51"/>
      <c r="N176" s="51"/>
      <c r="O176" s="51"/>
      <c r="P176" s="51"/>
      <c r="Q176" s="51"/>
      <c r="R176" s="51"/>
      <c r="S176" s="51"/>
      <c r="T176" s="51"/>
      <c r="U176" s="51"/>
      <c r="V176" s="51"/>
      <c r="W176" s="51"/>
      <c r="X176" s="51"/>
      <c r="Y176" s="51"/>
      <c r="Z176" s="51"/>
      <c r="AA176" s="51"/>
      <c r="AB176" s="51"/>
    </row>
    <row r="177" customFormat="false" ht="15.75" hidden="false" customHeight="false" outlineLevel="0" collapsed="false">
      <c r="A177" s="51"/>
      <c r="B177" s="51"/>
      <c r="C177" s="6"/>
      <c r="D177" s="49"/>
      <c r="E177" s="51"/>
      <c r="F177" s="6"/>
      <c r="G177" s="6"/>
      <c r="H177" s="6"/>
      <c r="I177" s="6"/>
      <c r="J177" s="6"/>
      <c r="K177" s="51"/>
      <c r="L177" s="51"/>
      <c r="M177" s="51"/>
      <c r="N177" s="51"/>
      <c r="O177" s="51"/>
      <c r="P177" s="51"/>
      <c r="Q177" s="51"/>
      <c r="R177" s="51"/>
      <c r="S177" s="51"/>
      <c r="T177" s="51"/>
      <c r="U177" s="51"/>
      <c r="V177" s="51"/>
      <c r="W177" s="51"/>
      <c r="X177" s="51"/>
      <c r="Y177" s="51"/>
      <c r="Z177" s="51"/>
      <c r="AA177" s="51"/>
      <c r="AB177" s="51"/>
    </row>
    <row r="178" customFormat="false" ht="15.75" hidden="false" customHeight="false" outlineLevel="0" collapsed="false">
      <c r="A178" s="51"/>
      <c r="B178" s="51"/>
      <c r="C178" s="6"/>
      <c r="D178" s="49"/>
      <c r="E178" s="51"/>
      <c r="F178" s="6"/>
      <c r="G178" s="6"/>
      <c r="H178" s="6"/>
      <c r="I178" s="6"/>
      <c r="J178" s="6"/>
      <c r="K178" s="51"/>
      <c r="L178" s="51"/>
      <c r="M178" s="51"/>
      <c r="N178" s="51"/>
      <c r="O178" s="51"/>
      <c r="P178" s="51"/>
      <c r="Q178" s="51"/>
      <c r="R178" s="51"/>
      <c r="S178" s="51"/>
      <c r="T178" s="51"/>
      <c r="U178" s="51"/>
      <c r="V178" s="51"/>
      <c r="W178" s="51"/>
      <c r="X178" s="51"/>
      <c r="Y178" s="51"/>
      <c r="Z178" s="51"/>
      <c r="AA178" s="51"/>
      <c r="AB178" s="51"/>
    </row>
    <row r="179" customFormat="false" ht="15.75" hidden="false" customHeight="false" outlineLevel="0" collapsed="false">
      <c r="A179" s="51"/>
      <c r="B179" s="51"/>
      <c r="C179" s="6"/>
      <c r="D179" s="49"/>
      <c r="E179" s="51"/>
      <c r="F179" s="6"/>
      <c r="G179" s="6"/>
      <c r="H179" s="6"/>
      <c r="I179" s="6"/>
      <c r="J179" s="6"/>
      <c r="K179" s="51"/>
      <c r="L179" s="51"/>
      <c r="M179" s="51"/>
      <c r="N179" s="51"/>
      <c r="O179" s="51"/>
      <c r="P179" s="51"/>
      <c r="Q179" s="51"/>
      <c r="R179" s="51"/>
      <c r="S179" s="51"/>
      <c r="T179" s="51"/>
      <c r="U179" s="51"/>
      <c r="V179" s="51"/>
      <c r="W179" s="51"/>
      <c r="X179" s="51"/>
      <c r="Y179" s="51"/>
      <c r="Z179" s="51"/>
      <c r="AA179" s="51"/>
      <c r="AB179" s="51"/>
    </row>
    <row r="180" customFormat="false" ht="15.75" hidden="false" customHeight="false" outlineLevel="0" collapsed="false">
      <c r="A180" s="51"/>
      <c r="B180" s="51"/>
      <c r="C180" s="6"/>
      <c r="D180" s="49"/>
      <c r="E180" s="51"/>
      <c r="F180" s="6"/>
      <c r="G180" s="6"/>
      <c r="H180" s="6"/>
      <c r="I180" s="6"/>
      <c r="J180" s="6"/>
      <c r="K180" s="51"/>
      <c r="L180" s="51"/>
      <c r="M180" s="51"/>
      <c r="N180" s="51"/>
      <c r="O180" s="51"/>
      <c r="P180" s="51"/>
      <c r="Q180" s="51"/>
      <c r="R180" s="51"/>
      <c r="S180" s="51"/>
      <c r="T180" s="51"/>
      <c r="U180" s="51"/>
      <c r="V180" s="51"/>
      <c r="W180" s="51"/>
      <c r="X180" s="51"/>
      <c r="Y180" s="51"/>
      <c r="Z180" s="51"/>
      <c r="AA180" s="51"/>
      <c r="AB180" s="51"/>
    </row>
    <row r="181" customFormat="false" ht="15.75" hidden="false" customHeight="false" outlineLevel="0" collapsed="false">
      <c r="A181" s="51"/>
      <c r="B181" s="51"/>
      <c r="C181" s="6"/>
      <c r="D181" s="49"/>
      <c r="E181" s="51"/>
      <c r="F181" s="6"/>
      <c r="G181" s="6"/>
      <c r="H181" s="6"/>
      <c r="I181" s="6"/>
      <c r="J181" s="6"/>
      <c r="K181" s="51"/>
      <c r="L181" s="51"/>
      <c r="M181" s="51"/>
      <c r="N181" s="51"/>
      <c r="O181" s="51"/>
      <c r="P181" s="51"/>
      <c r="Q181" s="51"/>
      <c r="R181" s="51"/>
      <c r="S181" s="51"/>
      <c r="T181" s="51"/>
      <c r="U181" s="51"/>
      <c r="V181" s="51"/>
      <c r="W181" s="51"/>
      <c r="X181" s="51"/>
      <c r="Y181" s="51"/>
      <c r="Z181" s="51"/>
      <c r="AA181" s="51"/>
      <c r="AB181" s="51"/>
    </row>
    <row r="182" customFormat="false" ht="15.75" hidden="false" customHeight="false" outlineLevel="0" collapsed="false">
      <c r="A182" s="51"/>
      <c r="B182" s="51"/>
      <c r="C182" s="6"/>
      <c r="D182" s="49"/>
      <c r="E182" s="51"/>
      <c r="F182" s="6"/>
      <c r="G182" s="6"/>
      <c r="H182" s="6"/>
      <c r="I182" s="6"/>
      <c r="J182" s="6"/>
      <c r="K182" s="51"/>
      <c r="L182" s="51"/>
      <c r="M182" s="51"/>
      <c r="N182" s="51"/>
      <c r="O182" s="51"/>
      <c r="P182" s="51"/>
      <c r="Q182" s="51"/>
      <c r="R182" s="51"/>
      <c r="S182" s="51"/>
      <c r="T182" s="51"/>
      <c r="U182" s="51"/>
      <c r="V182" s="51"/>
      <c r="W182" s="51"/>
      <c r="X182" s="51"/>
      <c r="Y182" s="51"/>
      <c r="Z182" s="51"/>
      <c r="AA182" s="51"/>
      <c r="AB182" s="51"/>
    </row>
    <row r="183" customFormat="false" ht="15.75" hidden="false" customHeight="false" outlineLevel="0" collapsed="false">
      <c r="A183" s="51"/>
      <c r="B183" s="51"/>
      <c r="C183" s="6"/>
      <c r="D183" s="49"/>
      <c r="E183" s="51"/>
      <c r="F183" s="6"/>
      <c r="G183" s="6"/>
      <c r="H183" s="6"/>
      <c r="I183" s="6"/>
      <c r="J183" s="6"/>
      <c r="K183" s="51"/>
      <c r="L183" s="51"/>
      <c r="M183" s="51"/>
      <c r="N183" s="51"/>
      <c r="O183" s="51"/>
      <c r="P183" s="51"/>
      <c r="Q183" s="51"/>
      <c r="R183" s="51"/>
      <c r="S183" s="51"/>
      <c r="T183" s="51"/>
      <c r="U183" s="51"/>
      <c r="V183" s="51"/>
      <c r="W183" s="51"/>
      <c r="X183" s="51"/>
      <c r="Y183" s="51"/>
      <c r="Z183" s="51"/>
      <c r="AA183" s="51"/>
      <c r="AB183" s="51"/>
    </row>
    <row r="184" customFormat="false" ht="15.75" hidden="false" customHeight="false" outlineLevel="0" collapsed="false">
      <c r="A184" s="51"/>
      <c r="B184" s="51"/>
      <c r="C184" s="6"/>
      <c r="D184" s="49"/>
      <c r="E184" s="51"/>
      <c r="F184" s="6"/>
      <c r="G184" s="6"/>
      <c r="H184" s="6"/>
      <c r="I184" s="6"/>
      <c r="J184" s="6"/>
      <c r="K184" s="51"/>
      <c r="L184" s="51"/>
      <c r="M184" s="51"/>
      <c r="N184" s="51"/>
      <c r="O184" s="51"/>
      <c r="P184" s="51"/>
      <c r="Q184" s="51"/>
      <c r="R184" s="51"/>
      <c r="S184" s="51"/>
      <c r="T184" s="51"/>
      <c r="U184" s="51"/>
      <c r="V184" s="51"/>
      <c r="W184" s="51"/>
      <c r="X184" s="51"/>
      <c r="Y184" s="51"/>
      <c r="Z184" s="51"/>
      <c r="AA184" s="51"/>
      <c r="AB184" s="51"/>
    </row>
    <row r="185" customFormat="false" ht="15.75" hidden="false" customHeight="false" outlineLevel="0" collapsed="false">
      <c r="A185" s="51"/>
      <c r="B185" s="51"/>
      <c r="C185" s="6"/>
      <c r="D185" s="49"/>
      <c r="E185" s="51"/>
      <c r="F185" s="6"/>
      <c r="G185" s="6"/>
      <c r="H185" s="6"/>
      <c r="I185" s="6"/>
      <c r="J185" s="6"/>
      <c r="K185" s="51"/>
      <c r="L185" s="51"/>
      <c r="M185" s="51"/>
      <c r="N185" s="51"/>
      <c r="O185" s="51"/>
      <c r="P185" s="51"/>
      <c r="Q185" s="51"/>
      <c r="R185" s="51"/>
      <c r="S185" s="51"/>
      <c r="T185" s="51"/>
      <c r="U185" s="51"/>
      <c r="V185" s="51"/>
      <c r="W185" s="51"/>
      <c r="X185" s="51"/>
      <c r="Y185" s="51"/>
      <c r="Z185" s="51"/>
      <c r="AA185" s="51"/>
      <c r="AB185" s="51"/>
    </row>
    <row r="186" customFormat="false" ht="15.75" hidden="false" customHeight="false" outlineLevel="0" collapsed="false">
      <c r="A186" s="51"/>
      <c r="B186" s="51"/>
      <c r="C186" s="6"/>
      <c r="D186" s="49"/>
      <c r="E186" s="51"/>
      <c r="F186" s="6"/>
      <c r="G186" s="6"/>
      <c r="H186" s="6"/>
      <c r="I186" s="6"/>
      <c r="J186" s="6"/>
      <c r="K186" s="51"/>
      <c r="L186" s="51"/>
      <c r="M186" s="51"/>
      <c r="N186" s="51"/>
      <c r="O186" s="51"/>
      <c r="P186" s="51"/>
      <c r="Q186" s="51"/>
      <c r="R186" s="51"/>
      <c r="S186" s="51"/>
      <c r="T186" s="51"/>
      <c r="U186" s="51"/>
      <c r="V186" s="51"/>
      <c r="W186" s="51"/>
      <c r="X186" s="51"/>
      <c r="Y186" s="51"/>
      <c r="Z186" s="51"/>
      <c r="AA186" s="51"/>
      <c r="AB186" s="51"/>
    </row>
    <row r="187" customFormat="false" ht="15.75" hidden="false" customHeight="false" outlineLevel="0" collapsed="false">
      <c r="A187" s="51"/>
      <c r="B187" s="51"/>
      <c r="C187" s="6"/>
      <c r="D187" s="49"/>
      <c r="E187" s="51"/>
      <c r="F187" s="6"/>
      <c r="G187" s="6"/>
      <c r="H187" s="6"/>
      <c r="I187" s="6"/>
      <c r="J187" s="6"/>
      <c r="K187" s="51"/>
      <c r="L187" s="51"/>
      <c r="M187" s="51"/>
      <c r="N187" s="51"/>
      <c r="O187" s="51"/>
      <c r="P187" s="51"/>
      <c r="Q187" s="51"/>
      <c r="R187" s="51"/>
      <c r="S187" s="51"/>
      <c r="T187" s="51"/>
      <c r="U187" s="51"/>
      <c r="V187" s="51"/>
      <c r="W187" s="51"/>
      <c r="X187" s="51"/>
      <c r="Y187" s="51"/>
      <c r="Z187" s="51"/>
      <c r="AA187" s="51"/>
      <c r="AB187" s="51"/>
    </row>
    <row r="188" customFormat="false" ht="15.75" hidden="false" customHeight="false" outlineLevel="0" collapsed="false">
      <c r="A188" s="51"/>
      <c r="B188" s="51"/>
      <c r="C188" s="6"/>
      <c r="D188" s="49"/>
      <c r="E188" s="51"/>
      <c r="F188" s="6"/>
      <c r="G188" s="6"/>
      <c r="H188" s="6"/>
      <c r="I188" s="6"/>
      <c r="J188" s="6"/>
      <c r="K188" s="51"/>
      <c r="L188" s="51"/>
      <c r="M188" s="51"/>
      <c r="N188" s="51"/>
      <c r="O188" s="51"/>
      <c r="P188" s="51"/>
      <c r="Q188" s="51"/>
      <c r="R188" s="51"/>
      <c r="S188" s="51"/>
      <c r="T188" s="51"/>
      <c r="U188" s="51"/>
      <c r="V188" s="51"/>
      <c r="W188" s="51"/>
      <c r="X188" s="51"/>
      <c r="Y188" s="51"/>
      <c r="Z188" s="51"/>
      <c r="AA188" s="51"/>
      <c r="AB188" s="51"/>
    </row>
    <row r="189" customFormat="false" ht="15.75" hidden="false" customHeight="false" outlineLevel="0" collapsed="false">
      <c r="A189" s="51"/>
      <c r="B189" s="51"/>
      <c r="C189" s="6"/>
      <c r="D189" s="49"/>
      <c r="E189" s="51"/>
      <c r="F189" s="6"/>
      <c r="G189" s="6"/>
      <c r="H189" s="6"/>
      <c r="I189" s="6"/>
      <c r="J189" s="6"/>
      <c r="K189" s="51"/>
      <c r="L189" s="51"/>
      <c r="M189" s="51"/>
      <c r="N189" s="51"/>
      <c r="O189" s="51"/>
      <c r="P189" s="51"/>
      <c r="Q189" s="51"/>
      <c r="R189" s="51"/>
      <c r="S189" s="51"/>
      <c r="T189" s="51"/>
      <c r="U189" s="51"/>
      <c r="V189" s="51"/>
      <c r="W189" s="51"/>
      <c r="X189" s="51"/>
      <c r="Y189" s="51"/>
      <c r="Z189" s="51"/>
      <c r="AA189" s="51"/>
      <c r="AB189" s="51"/>
    </row>
    <row r="190" customFormat="false" ht="15.75" hidden="false" customHeight="false" outlineLevel="0" collapsed="false">
      <c r="A190" s="51"/>
      <c r="B190" s="51"/>
      <c r="C190" s="6"/>
      <c r="D190" s="49"/>
      <c r="E190" s="51"/>
      <c r="F190" s="6"/>
      <c r="G190" s="6"/>
      <c r="H190" s="6"/>
      <c r="I190" s="6"/>
      <c r="J190" s="6"/>
      <c r="K190" s="51"/>
      <c r="L190" s="51"/>
      <c r="M190" s="51"/>
      <c r="N190" s="51"/>
      <c r="O190" s="51"/>
      <c r="P190" s="51"/>
      <c r="Q190" s="51"/>
      <c r="R190" s="51"/>
      <c r="S190" s="51"/>
      <c r="T190" s="51"/>
      <c r="U190" s="51"/>
      <c r="V190" s="51"/>
      <c r="W190" s="51"/>
      <c r="X190" s="51"/>
      <c r="Y190" s="51"/>
      <c r="Z190" s="51"/>
      <c r="AA190" s="51"/>
      <c r="AB190" s="51"/>
    </row>
    <row r="191" customFormat="false" ht="15.75" hidden="false" customHeight="false" outlineLevel="0" collapsed="false">
      <c r="A191" s="51"/>
      <c r="B191" s="51"/>
      <c r="C191" s="6"/>
      <c r="D191" s="49"/>
      <c r="E191" s="51"/>
      <c r="F191" s="6"/>
      <c r="G191" s="6"/>
      <c r="H191" s="6"/>
      <c r="I191" s="6"/>
      <c r="J191" s="6"/>
      <c r="K191" s="51"/>
      <c r="L191" s="51"/>
      <c r="M191" s="51"/>
      <c r="N191" s="51"/>
      <c r="O191" s="51"/>
      <c r="P191" s="51"/>
      <c r="Q191" s="51"/>
      <c r="R191" s="51"/>
      <c r="S191" s="51"/>
      <c r="T191" s="51"/>
      <c r="U191" s="51"/>
      <c r="V191" s="51"/>
      <c r="W191" s="51"/>
      <c r="X191" s="51"/>
      <c r="Y191" s="51"/>
      <c r="Z191" s="51"/>
      <c r="AA191" s="51"/>
      <c r="AB191" s="51"/>
    </row>
    <row r="192" customFormat="false" ht="15.75" hidden="false" customHeight="false" outlineLevel="0" collapsed="false">
      <c r="A192" s="51"/>
      <c r="B192" s="51"/>
      <c r="C192" s="6"/>
      <c r="D192" s="49"/>
      <c r="E192" s="51"/>
      <c r="F192" s="6"/>
      <c r="G192" s="6"/>
      <c r="H192" s="6"/>
      <c r="I192" s="6"/>
      <c r="J192" s="6"/>
      <c r="K192" s="51"/>
      <c r="L192" s="51"/>
      <c r="M192" s="51"/>
      <c r="N192" s="51"/>
      <c r="O192" s="51"/>
      <c r="P192" s="51"/>
      <c r="Q192" s="51"/>
      <c r="R192" s="51"/>
      <c r="S192" s="51"/>
      <c r="T192" s="51"/>
      <c r="U192" s="51"/>
      <c r="V192" s="51"/>
      <c r="W192" s="51"/>
      <c r="X192" s="51"/>
      <c r="Y192" s="51"/>
      <c r="Z192" s="51"/>
      <c r="AA192" s="51"/>
      <c r="AB192" s="51"/>
    </row>
    <row r="193" customFormat="false" ht="15.75" hidden="false" customHeight="false" outlineLevel="0" collapsed="false">
      <c r="A193" s="51"/>
      <c r="B193" s="51"/>
      <c r="C193" s="6"/>
      <c r="D193" s="49"/>
      <c r="E193" s="51"/>
      <c r="F193" s="6"/>
      <c r="G193" s="6"/>
      <c r="H193" s="6"/>
      <c r="I193" s="6"/>
      <c r="J193" s="6"/>
      <c r="K193" s="51"/>
      <c r="L193" s="51"/>
      <c r="M193" s="51"/>
      <c r="N193" s="51"/>
      <c r="O193" s="51"/>
      <c r="P193" s="51"/>
      <c r="Q193" s="51"/>
      <c r="R193" s="51"/>
      <c r="S193" s="51"/>
      <c r="T193" s="51"/>
      <c r="U193" s="51"/>
      <c r="V193" s="51"/>
      <c r="W193" s="51"/>
      <c r="X193" s="51"/>
      <c r="Y193" s="51"/>
      <c r="Z193" s="51"/>
      <c r="AA193" s="51"/>
      <c r="AB193" s="51"/>
    </row>
    <row r="194" customFormat="false" ht="15.75" hidden="false" customHeight="false" outlineLevel="0" collapsed="false">
      <c r="A194" s="51"/>
      <c r="B194" s="51"/>
      <c r="C194" s="6"/>
      <c r="D194" s="49"/>
      <c r="E194" s="51"/>
      <c r="F194" s="6"/>
      <c r="G194" s="6"/>
      <c r="H194" s="6"/>
      <c r="I194" s="6"/>
      <c r="J194" s="6"/>
      <c r="K194" s="51"/>
      <c r="L194" s="51"/>
      <c r="M194" s="51"/>
      <c r="N194" s="51"/>
      <c r="O194" s="51"/>
      <c r="P194" s="51"/>
      <c r="Q194" s="51"/>
      <c r="R194" s="51"/>
      <c r="S194" s="51"/>
      <c r="T194" s="51"/>
      <c r="U194" s="51"/>
      <c r="V194" s="51"/>
      <c r="W194" s="51"/>
      <c r="X194" s="51"/>
      <c r="Y194" s="51"/>
      <c r="Z194" s="51"/>
      <c r="AA194" s="51"/>
      <c r="AB194" s="51"/>
    </row>
    <row r="195" customFormat="false" ht="15.75" hidden="false" customHeight="false" outlineLevel="0" collapsed="false">
      <c r="A195" s="51"/>
      <c r="B195" s="51"/>
      <c r="C195" s="6"/>
      <c r="D195" s="49"/>
      <c r="E195" s="51"/>
      <c r="F195" s="6"/>
      <c r="G195" s="6"/>
      <c r="H195" s="6"/>
      <c r="I195" s="6"/>
      <c r="J195" s="6"/>
      <c r="K195" s="51"/>
      <c r="L195" s="51"/>
      <c r="M195" s="51"/>
      <c r="N195" s="51"/>
      <c r="O195" s="51"/>
      <c r="P195" s="51"/>
      <c r="Q195" s="51"/>
      <c r="R195" s="51"/>
      <c r="S195" s="51"/>
      <c r="T195" s="51"/>
      <c r="U195" s="51"/>
      <c r="V195" s="51"/>
      <c r="W195" s="51"/>
      <c r="X195" s="51"/>
      <c r="Y195" s="51"/>
      <c r="Z195" s="51"/>
      <c r="AA195" s="51"/>
      <c r="AB195" s="51"/>
    </row>
    <row r="196" customFormat="false" ht="15.75" hidden="false" customHeight="false" outlineLevel="0" collapsed="false">
      <c r="A196" s="51"/>
      <c r="B196" s="51"/>
      <c r="C196" s="6"/>
      <c r="D196" s="49"/>
      <c r="E196" s="51"/>
      <c r="F196" s="6"/>
      <c r="G196" s="6"/>
      <c r="H196" s="6"/>
      <c r="I196" s="6"/>
      <c r="J196" s="6"/>
      <c r="K196" s="51"/>
      <c r="L196" s="51"/>
      <c r="M196" s="51"/>
      <c r="N196" s="51"/>
      <c r="O196" s="51"/>
      <c r="P196" s="51"/>
      <c r="Q196" s="51"/>
      <c r="R196" s="51"/>
      <c r="S196" s="51"/>
      <c r="T196" s="51"/>
      <c r="U196" s="51"/>
      <c r="V196" s="51"/>
      <c r="W196" s="51"/>
      <c r="X196" s="51"/>
      <c r="Y196" s="51"/>
      <c r="Z196" s="51"/>
      <c r="AA196" s="51"/>
      <c r="AB196" s="51"/>
    </row>
    <row r="197" customFormat="false" ht="15.75" hidden="false" customHeight="false" outlineLevel="0" collapsed="false">
      <c r="A197" s="51"/>
      <c r="B197" s="51"/>
      <c r="C197" s="6"/>
      <c r="D197" s="49"/>
      <c r="E197" s="51"/>
      <c r="F197" s="6"/>
      <c r="G197" s="6"/>
      <c r="H197" s="6"/>
      <c r="I197" s="6"/>
      <c r="J197" s="6"/>
      <c r="K197" s="51"/>
      <c r="L197" s="51"/>
      <c r="M197" s="51"/>
      <c r="N197" s="51"/>
      <c r="O197" s="51"/>
      <c r="P197" s="51"/>
      <c r="Q197" s="51"/>
      <c r="R197" s="51"/>
      <c r="S197" s="51"/>
      <c r="T197" s="51"/>
      <c r="U197" s="51"/>
      <c r="V197" s="51"/>
      <c r="W197" s="51"/>
      <c r="X197" s="51"/>
      <c r="Y197" s="51"/>
      <c r="Z197" s="51"/>
      <c r="AA197" s="51"/>
      <c r="AB197" s="51"/>
    </row>
    <row r="198" customFormat="false" ht="15.75" hidden="false" customHeight="false" outlineLevel="0" collapsed="false">
      <c r="A198" s="51"/>
      <c r="B198" s="51"/>
      <c r="C198" s="6"/>
      <c r="D198" s="49"/>
      <c r="E198" s="51"/>
      <c r="F198" s="6"/>
      <c r="G198" s="6"/>
      <c r="H198" s="6"/>
      <c r="I198" s="6"/>
      <c r="J198" s="6"/>
      <c r="K198" s="51"/>
      <c r="L198" s="51"/>
      <c r="M198" s="51"/>
      <c r="N198" s="51"/>
      <c r="O198" s="51"/>
      <c r="P198" s="51"/>
      <c r="Q198" s="51"/>
      <c r="R198" s="51"/>
      <c r="S198" s="51"/>
      <c r="T198" s="51"/>
      <c r="U198" s="51"/>
      <c r="V198" s="51"/>
      <c r="W198" s="51"/>
      <c r="X198" s="51"/>
      <c r="Y198" s="51"/>
      <c r="Z198" s="51"/>
      <c r="AA198" s="51"/>
      <c r="AB198" s="51"/>
    </row>
    <row r="199" customFormat="false" ht="15.75" hidden="false" customHeight="false" outlineLevel="0" collapsed="false">
      <c r="A199" s="51"/>
      <c r="B199" s="51"/>
      <c r="C199" s="6"/>
      <c r="D199" s="49"/>
      <c r="E199" s="51"/>
      <c r="F199" s="6"/>
      <c r="G199" s="6"/>
      <c r="H199" s="6"/>
      <c r="I199" s="6"/>
      <c r="J199" s="6"/>
      <c r="K199" s="51"/>
      <c r="L199" s="51"/>
      <c r="M199" s="51"/>
      <c r="N199" s="51"/>
      <c r="O199" s="51"/>
      <c r="P199" s="51"/>
      <c r="Q199" s="51"/>
      <c r="R199" s="51"/>
      <c r="S199" s="51"/>
      <c r="T199" s="51"/>
      <c r="U199" s="51"/>
      <c r="V199" s="51"/>
      <c r="W199" s="51"/>
      <c r="X199" s="51"/>
      <c r="Y199" s="51"/>
      <c r="Z199" s="51"/>
      <c r="AA199" s="51"/>
      <c r="AB199" s="51"/>
    </row>
    <row r="200" customFormat="false" ht="15.75" hidden="false" customHeight="false" outlineLevel="0" collapsed="false">
      <c r="A200" s="51"/>
      <c r="B200" s="51"/>
      <c r="C200" s="6"/>
      <c r="D200" s="49"/>
      <c r="E200" s="51"/>
      <c r="F200" s="6"/>
      <c r="G200" s="6"/>
      <c r="H200" s="6"/>
      <c r="I200" s="6"/>
      <c r="J200" s="6"/>
      <c r="K200" s="51"/>
      <c r="L200" s="51"/>
      <c r="M200" s="51"/>
      <c r="N200" s="51"/>
      <c r="O200" s="51"/>
      <c r="P200" s="51"/>
      <c r="Q200" s="51"/>
      <c r="R200" s="51"/>
      <c r="S200" s="51"/>
      <c r="T200" s="51"/>
      <c r="U200" s="51"/>
      <c r="V200" s="51"/>
      <c r="W200" s="51"/>
      <c r="X200" s="51"/>
      <c r="Y200" s="51"/>
      <c r="Z200" s="51"/>
      <c r="AA200" s="51"/>
      <c r="AB200" s="51"/>
    </row>
    <row r="201" customFormat="false" ht="15.75" hidden="false" customHeight="false" outlineLevel="0" collapsed="false">
      <c r="A201" s="51"/>
      <c r="B201" s="51"/>
      <c r="C201" s="6"/>
      <c r="D201" s="49"/>
      <c r="E201" s="51"/>
      <c r="F201" s="6"/>
      <c r="G201" s="6"/>
      <c r="H201" s="6"/>
      <c r="I201" s="6"/>
      <c r="J201" s="6"/>
      <c r="K201" s="51"/>
      <c r="L201" s="51"/>
      <c r="M201" s="51"/>
      <c r="N201" s="51"/>
      <c r="O201" s="51"/>
      <c r="P201" s="51"/>
      <c r="Q201" s="51"/>
      <c r="R201" s="51"/>
      <c r="S201" s="51"/>
      <c r="T201" s="51"/>
      <c r="U201" s="51"/>
      <c r="V201" s="51"/>
      <c r="W201" s="51"/>
      <c r="X201" s="51"/>
      <c r="Y201" s="51"/>
      <c r="Z201" s="51"/>
      <c r="AA201" s="51"/>
      <c r="AB201" s="51"/>
    </row>
    <row r="202" customFormat="false" ht="15.75" hidden="false" customHeight="false" outlineLevel="0" collapsed="false">
      <c r="A202" s="51"/>
      <c r="B202" s="51"/>
      <c r="C202" s="6"/>
      <c r="D202" s="49"/>
      <c r="E202" s="51"/>
      <c r="F202" s="6"/>
      <c r="G202" s="6"/>
      <c r="H202" s="6"/>
      <c r="I202" s="6"/>
      <c r="J202" s="6"/>
      <c r="K202" s="51"/>
      <c r="L202" s="51"/>
      <c r="M202" s="51"/>
      <c r="N202" s="51"/>
      <c r="O202" s="51"/>
      <c r="P202" s="51"/>
      <c r="Q202" s="51"/>
      <c r="R202" s="51"/>
      <c r="S202" s="51"/>
      <c r="T202" s="51"/>
      <c r="U202" s="51"/>
      <c r="V202" s="51"/>
      <c r="W202" s="51"/>
      <c r="X202" s="51"/>
      <c r="Y202" s="51"/>
      <c r="Z202" s="51"/>
      <c r="AA202" s="51"/>
      <c r="AB202" s="51"/>
    </row>
    <row r="203" customFormat="false" ht="15.75" hidden="false" customHeight="false" outlineLevel="0" collapsed="false">
      <c r="A203" s="51"/>
      <c r="B203" s="51"/>
      <c r="C203" s="6"/>
      <c r="D203" s="49"/>
      <c r="E203" s="51"/>
      <c r="F203" s="6"/>
      <c r="G203" s="6"/>
      <c r="H203" s="6"/>
      <c r="I203" s="6"/>
      <c r="J203" s="6"/>
      <c r="K203" s="51"/>
      <c r="L203" s="51"/>
      <c r="M203" s="51"/>
      <c r="N203" s="51"/>
      <c r="O203" s="51"/>
      <c r="P203" s="51"/>
      <c r="Q203" s="51"/>
      <c r="R203" s="51"/>
      <c r="S203" s="51"/>
      <c r="T203" s="51"/>
      <c r="U203" s="51"/>
      <c r="V203" s="51"/>
      <c r="W203" s="51"/>
      <c r="X203" s="51"/>
      <c r="Y203" s="51"/>
      <c r="Z203" s="51"/>
      <c r="AA203" s="51"/>
      <c r="AB203" s="51"/>
    </row>
    <row r="204" customFormat="false" ht="15.75" hidden="false" customHeight="false" outlineLevel="0" collapsed="false">
      <c r="A204" s="51"/>
      <c r="B204" s="51"/>
      <c r="C204" s="6"/>
      <c r="D204" s="49"/>
      <c r="E204" s="51"/>
      <c r="F204" s="6"/>
      <c r="G204" s="6"/>
      <c r="H204" s="6"/>
      <c r="I204" s="6"/>
      <c r="J204" s="6"/>
      <c r="K204" s="51"/>
      <c r="L204" s="51"/>
      <c r="M204" s="51"/>
      <c r="N204" s="51"/>
      <c r="O204" s="51"/>
      <c r="P204" s="51"/>
      <c r="Q204" s="51"/>
      <c r="R204" s="51"/>
      <c r="S204" s="51"/>
      <c r="T204" s="51"/>
      <c r="U204" s="51"/>
      <c r="V204" s="51"/>
      <c r="W204" s="51"/>
      <c r="X204" s="51"/>
      <c r="Y204" s="51"/>
      <c r="Z204" s="51"/>
      <c r="AA204" s="51"/>
      <c r="AB204" s="51"/>
    </row>
    <row r="205" customFormat="false" ht="15.75" hidden="false" customHeight="false" outlineLevel="0" collapsed="false">
      <c r="A205" s="51"/>
      <c r="B205" s="51"/>
      <c r="C205" s="6"/>
      <c r="D205" s="49"/>
      <c r="E205" s="51"/>
      <c r="F205" s="6"/>
      <c r="G205" s="6"/>
      <c r="H205" s="6"/>
      <c r="I205" s="6"/>
      <c r="J205" s="6"/>
      <c r="K205" s="51"/>
      <c r="L205" s="51"/>
      <c r="M205" s="51"/>
      <c r="N205" s="51"/>
      <c r="O205" s="51"/>
      <c r="P205" s="51"/>
      <c r="Q205" s="51"/>
      <c r="R205" s="51"/>
      <c r="S205" s="51"/>
      <c r="T205" s="51"/>
      <c r="U205" s="51"/>
      <c r="V205" s="51"/>
      <c r="W205" s="51"/>
      <c r="X205" s="51"/>
      <c r="Y205" s="51"/>
      <c r="Z205" s="51"/>
      <c r="AA205" s="51"/>
      <c r="AB205" s="51"/>
    </row>
    <row r="206" customFormat="false" ht="15.75" hidden="false" customHeight="false" outlineLevel="0" collapsed="false">
      <c r="A206" s="51"/>
      <c r="B206" s="51"/>
      <c r="C206" s="6"/>
      <c r="D206" s="49"/>
      <c r="E206" s="51"/>
      <c r="F206" s="6"/>
      <c r="G206" s="6"/>
      <c r="H206" s="6"/>
      <c r="I206" s="6"/>
      <c r="J206" s="6"/>
      <c r="K206" s="51"/>
      <c r="L206" s="51"/>
      <c r="M206" s="51"/>
      <c r="N206" s="51"/>
      <c r="O206" s="51"/>
      <c r="P206" s="51"/>
      <c r="Q206" s="51"/>
      <c r="R206" s="51"/>
      <c r="S206" s="51"/>
      <c r="T206" s="51"/>
      <c r="U206" s="51"/>
      <c r="V206" s="51"/>
      <c r="W206" s="51"/>
      <c r="X206" s="51"/>
      <c r="Y206" s="51"/>
      <c r="Z206" s="51"/>
      <c r="AA206" s="51"/>
      <c r="AB206" s="51"/>
    </row>
    <row r="207" customFormat="false" ht="15.75" hidden="false" customHeight="false" outlineLevel="0" collapsed="false">
      <c r="A207" s="51"/>
      <c r="B207" s="51"/>
      <c r="C207" s="6"/>
      <c r="D207" s="49"/>
      <c r="E207" s="51"/>
      <c r="F207" s="6"/>
      <c r="G207" s="6"/>
      <c r="H207" s="6"/>
      <c r="I207" s="6"/>
      <c r="J207" s="6"/>
      <c r="K207" s="51"/>
      <c r="L207" s="51"/>
      <c r="M207" s="51"/>
      <c r="N207" s="51"/>
      <c r="O207" s="51"/>
      <c r="P207" s="51"/>
      <c r="Q207" s="51"/>
      <c r="R207" s="51"/>
      <c r="S207" s="51"/>
      <c r="T207" s="51"/>
      <c r="U207" s="51"/>
      <c r="V207" s="51"/>
      <c r="W207" s="51"/>
      <c r="X207" s="51"/>
      <c r="Y207" s="51"/>
      <c r="Z207" s="51"/>
      <c r="AA207" s="51"/>
      <c r="AB207" s="51"/>
    </row>
    <row r="208" customFormat="false" ht="15.75" hidden="false" customHeight="false" outlineLevel="0" collapsed="false">
      <c r="A208" s="51"/>
      <c r="B208" s="51"/>
      <c r="C208" s="6"/>
      <c r="D208" s="49"/>
      <c r="E208" s="51"/>
      <c r="F208" s="6"/>
      <c r="G208" s="6"/>
      <c r="H208" s="6"/>
      <c r="I208" s="6"/>
      <c r="J208" s="6"/>
      <c r="K208" s="51"/>
      <c r="L208" s="51"/>
      <c r="M208" s="51"/>
      <c r="N208" s="51"/>
      <c r="O208" s="51"/>
      <c r="P208" s="51"/>
      <c r="Q208" s="51"/>
      <c r="R208" s="51"/>
      <c r="S208" s="51"/>
      <c r="T208" s="51"/>
      <c r="U208" s="51"/>
      <c r="V208" s="51"/>
      <c r="W208" s="51"/>
      <c r="X208" s="51"/>
      <c r="Y208" s="51"/>
      <c r="Z208" s="51"/>
      <c r="AA208" s="51"/>
      <c r="AB208" s="51"/>
    </row>
    <row r="209" customFormat="false" ht="15.75" hidden="false" customHeight="false" outlineLevel="0" collapsed="false">
      <c r="A209" s="51"/>
      <c r="B209" s="51"/>
      <c r="C209" s="6"/>
      <c r="D209" s="49"/>
      <c r="E209" s="51"/>
      <c r="F209" s="6"/>
      <c r="G209" s="6"/>
      <c r="H209" s="6"/>
      <c r="I209" s="6"/>
      <c r="J209" s="6"/>
      <c r="K209" s="51"/>
      <c r="L209" s="51"/>
      <c r="M209" s="51"/>
      <c r="N209" s="51"/>
      <c r="O209" s="51"/>
      <c r="P209" s="51"/>
      <c r="Q209" s="51"/>
      <c r="R209" s="51"/>
      <c r="S209" s="51"/>
      <c r="T209" s="51"/>
      <c r="U209" s="51"/>
      <c r="V209" s="51"/>
      <c r="W209" s="51"/>
      <c r="X209" s="51"/>
      <c r="Y209" s="51"/>
      <c r="Z209" s="51"/>
      <c r="AA209" s="51"/>
      <c r="AB209" s="51"/>
    </row>
    <row r="210" customFormat="false" ht="15.75" hidden="false" customHeight="false" outlineLevel="0" collapsed="false">
      <c r="A210" s="51"/>
      <c r="B210" s="51"/>
      <c r="C210" s="6"/>
      <c r="D210" s="49"/>
      <c r="E210" s="51"/>
      <c r="F210" s="6"/>
      <c r="G210" s="6"/>
      <c r="H210" s="6"/>
      <c r="I210" s="6"/>
      <c r="J210" s="6"/>
      <c r="K210" s="51"/>
      <c r="L210" s="51"/>
      <c r="M210" s="51"/>
      <c r="N210" s="51"/>
      <c r="O210" s="51"/>
      <c r="P210" s="51"/>
      <c r="Q210" s="51"/>
      <c r="R210" s="51"/>
      <c r="S210" s="51"/>
      <c r="T210" s="51"/>
      <c r="U210" s="51"/>
      <c r="V210" s="51"/>
      <c r="W210" s="51"/>
      <c r="X210" s="51"/>
      <c r="Y210" s="51"/>
      <c r="Z210" s="51"/>
      <c r="AA210" s="51"/>
      <c r="AB210" s="51"/>
    </row>
    <row r="211" customFormat="false" ht="15.75" hidden="false" customHeight="false" outlineLevel="0" collapsed="false">
      <c r="A211" s="51"/>
      <c r="B211" s="51"/>
      <c r="C211" s="6"/>
      <c r="D211" s="49"/>
      <c r="E211" s="51"/>
      <c r="F211" s="6"/>
      <c r="G211" s="6"/>
      <c r="H211" s="6"/>
      <c r="I211" s="6"/>
      <c r="J211" s="6"/>
      <c r="K211" s="51"/>
      <c r="L211" s="51"/>
      <c r="M211" s="51"/>
      <c r="N211" s="51"/>
      <c r="O211" s="51"/>
      <c r="P211" s="51"/>
      <c r="Q211" s="51"/>
      <c r="R211" s="51"/>
      <c r="S211" s="51"/>
      <c r="T211" s="51"/>
      <c r="U211" s="51"/>
      <c r="V211" s="51"/>
      <c r="W211" s="51"/>
      <c r="X211" s="51"/>
      <c r="Y211" s="51"/>
      <c r="Z211" s="51"/>
      <c r="AA211" s="51"/>
      <c r="AB211" s="51"/>
    </row>
    <row r="212" customFormat="false" ht="15.75" hidden="false" customHeight="false" outlineLevel="0" collapsed="false">
      <c r="A212" s="51"/>
      <c r="B212" s="51"/>
      <c r="C212" s="6"/>
      <c r="D212" s="49"/>
      <c r="E212" s="51"/>
      <c r="F212" s="6"/>
      <c r="G212" s="6"/>
      <c r="H212" s="6"/>
      <c r="I212" s="6"/>
      <c r="J212" s="6"/>
      <c r="K212" s="51"/>
      <c r="L212" s="51"/>
      <c r="M212" s="51"/>
      <c r="N212" s="51"/>
      <c r="O212" s="51"/>
      <c r="P212" s="51"/>
      <c r="Q212" s="51"/>
      <c r="R212" s="51"/>
      <c r="S212" s="51"/>
      <c r="T212" s="51"/>
      <c r="U212" s="51"/>
      <c r="V212" s="51"/>
      <c r="W212" s="51"/>
      <c r="X212" s="51"/>
      <c r="Y212" s="51"/>
      <c r="Z212" s="51"/>
      <c r="AA212" s="51"/>
      <c r="AB212" s="51"/>
    </row>
    <row r="213" customFormat="false" ht="15.75" hidden="false" customHeight="false" outlineLevel="0" collapsed="false">
      <c r="A213" s="51"/>
      <c r="B213" s="51"/>
      <c r="C213" s="6"/>
      <c r="D213" s="49"/>
      <c r="E213" s="51"/>
      <c r="F213" s="6"/>
      <c r="G213" s="6"/>
      <c r="H213" s="6"/>
      <c r="I213" s="6"/>
      <c r="J213" s="6"/>
      <c r="K213" s="51"/>
      <c r="L213" s="51"/>
      <c r="M213" s="51"/>
      <c r="N213" s="51"/>
      <c r="O213" s="51"/>
      <c r="P213" s="51"/>
      <c r="Q213" s="51"/>
      <c r="R213" s="51"/>
      <c r="S213" s="51"/>
      <c r="T213" s="51"/>
      <c r="U213" s="51"/>
      <c r="V213" s="51"/>
      <c r="W213" s="51"/>
      <c r="X213" s="51"/>
      <c r="Y213" s="51"/>
      <c r="Z213" s="51"/>
      <c r="AA213" s="51"/>
      <c r="AB213" s="51"/>
    </row>
    <row r="214" customFormat="false" ht="15.75" hidden="false" customHeight="false" outlineLevel="0" collapsed="false">
      <c r="A214" s="51"/>
      <c r="B214" s="51"/>
      <c r="C214" s="6"/>
      <c r="D214" s="49"/>
      <c r="E214" s="51"/>
      <c r="F214" s="6"/>
      <c r="G214" s="6"/>
      <c r="H214" s="6"/>
      <c r="I214" s="6"/>
      <c r="J214" s="6"/>
      <c r="K214" s="51"/>
      <c r="L214" s="51"/>
      <c r="M214" s="51"/>
      <c r="N214" s="51"/>
      <c r="O214" s="51"/>
      <c r="P214" s="51"/>
      <c r="Q214" s="51"/>
      <c r="R214" s="51"/>
      <c r="S214" s="51"/>
      <c r="T214" s="51"/>
      <c r="U214" s="51"/>
      <c r="V214" s="51"/>
      <c r="W214" s="51"/>
      <c r="X214" s="51"/>
      <c r="Y214" s="51"/>
      <c r="Z214" s="51"/>
      <c r="AA214" s="51"/>
      <c r="AB214" s="51"/>
    </row>
    <row r="215" customFormat="false" ht="15.75" hidden="false" customHeight="false" outlineLevel="0" collapsed="false">
      <c r="A215" s="51"/>
      <c r="B215" s="51"/>
      <c r="C215" s="6"/>
      <c r="D215" s="49"/>
      <c r="E215" s="51"/>
      <c r="F215" s="6"/>
      <c r="G215" s="6"/>
      <c r="H215" s="6"/>
      <c r="I215" s="6"/>
      <c r="J215" s="6"/>
      <c r="K215" s="51"/>
      <c r="L215" s="51"/>
      <c r="M215" s="51"/>
      <c r="N215" s="51"/>
      <c r="O215" s="51"/>
      <c r="P215" s="51"/>
      <c r="Q215" s="51"/>
      <c r="R215" s="51"/>
      <c r="S215" s="51"/>
      <c r="T215" s="51"/>
      <c r="U215" s="51"/>
      <c r="V215" s="51"/>
      <c r="W215" s="51"/>
      <c r="X215" s="51"/>
      <c r="Y215" s="51"/>
      <c r="Z215" s="51"/>
      <c r="AA215" s="51"/>
      <c r="AB215" s="51"/>
    </row>
    <row r="216" customFormat="false" ht="15.75" hidden="false" customHeight="false" outlineLevel="0" collapsed="false">
      <c r="A216" s="51"/>
      <c r="B216" s="51"/>
      <c r="C216" s="6"/>
      <c r="D216" s="49"/>
      <c r="E216" s="51"/>
      <c r="F216" s="6"/>
      <c r="G216" s="6"/>
      <c r="H216" s="6"/>
      <c r="I216" s="6"/>
      <c r="J216" s="6"/>
      <c r="K216" s="51"/>
      <c r="L216" s="51"/>
      <c r="M216" s="51"/>
      <c r="N216" s="51"/>
      <c r="O216" s="51"/>
      <c r="P216" s="51"/>
      <c r="Q216" s="51"/>
      <c r="R216" s="51"/>
      <c r="S216" s="51"/>
      <c r="T216" s="51"/>
      <c r="U216" s="51"/>
      <c r="V216" s="51"/>
      <c r="W216" s="51"/>
      <c r="X216" s="51"/>
      <c r="Y216" s="51"/>
      <c r="Z216" s="51"/>
      <c r="AA216" s="51"/>
      <c r="AB216" s="51"/>
    </row>
    <row r="217" customFormat="false" ht="15.75" hidden="false" customHeight="false" outlineLevel="0" collapsed="false">
      <c r="A217" s="51"/>
      <c r="B217" s="51"/>
      <c r="C217" s="6"/>
      <c r="D217" s="49"/>
      <c r="E217" s="51"/>
      <c r="F217" s="6"/>
      <c r="G217" s="6"/>
      <c r="H217" s="6"/>
      <c r="I217" s="6"/>
      <c r="J217" s="6"/>
      <c r="K217" s="51"/>
      <c r="L217" s="51"/>
      <c r="M217" s="51"/>
      <c r="N217" s="51"/>
      <c r="O217" s="51"/>
      <c r="P217" s="51"/>
      <c r="Q217" s="51"/>
      <c r="R217" s="51"/>
      <c r="S217" s="51"/>
      <c r="T217" s="51"/>
      <c r="U217" s="51"/>
      <c r="V217" s="51"/>
      <c r="W217" s="51"/>
      <c r="X217" s="51"/>
      <c r="Y217" s="51"/>
      <c r="Z217" s="51"/>
      <c r="AA217" s="51"/>
      <c r="AB217" s="51"/>
    </row>
    <row r="218" customFormat="false" ht="15.75" hidden="false" customHeight="false" outlineLevel="0" collapsed="false">
      <c r="A218" s="51"/>
      <c r="B218" s="51"/>
      <c r="C218" s="6"/>
      <c r="D218" s="49"/>
      <c r="E218" s="51"/>
      <c r="F218" s="6"/>
      <c r="G218" s="6"/>
      <c r="H218" s="6"/>
      <c r="I218" s="6"/>
      <c r="J218" s="6"/>
      <c r="K218" s="51"/>
      <c r="L218" s="51"/>
      <c r="M218" s="51"/>
      <c r="N218" s="51"/>
      <c r="O218" s="51"/>
      <c r="P218" s="51"/>
      <c r="Q218" s="51"/>
      <c r="R218" s="51"/>
      <c r="S218" s="51"/>
      <c r="T218" s="51"/>
      <c r="U218" s="51"/>
      <c r="V218" s="51"/>
      <c r="W218" s="51"/>
      <c r="X218" s="51"/>
      <c r="Y218" s="51"/>
      <c r="Z218" s="51"/>
      <c r="AA218" s="51"/>
      <c r="AB218" s="51"/>
    </row>
    <row r="219" customFormat="false" ht="15.75" hidden="false" customHeight="false" outlineLevel="0" collapsed="false">
      <c r="A219" s="51"/>
      <c r="B219" s="51"/>
      <c r="C219" s="6"/>
      <c r="D219" s="49"/>
      <c r="E219" s="51"/>
      <c r="F219" s="6"/>
      <c r="G219" s="6"/>
      <c r="H219" s="6"/>
      <c r="I219" s="6"/>
      <c r="J219" s="6"/>
      <c r="K219" s="51"/>
      <c r="L219" s="51"/>
      <c r="M219" s="51"/>
      <c r="N219" s="51"/>
      <c r="O219" s="51"/>
      <c r="P219" s="51"/>
      <c r="Q219" s="51"/>
      <c r="R219" s="51"/>
      <c r="S219" s="51"/>
      <c r="T219" s="51"/>
      <c r="U219" s="51"/>
      <c r="V219" s="51"/>
      <c r="W219" s="51"/>
      <c r="X219" s="51"/>
      <c r="Y219" s="51"/>
      <c r="Z219" s="51"/>
      <c r="AA219" s="51"/>
      <c r="AB219" s="51"/>
    </row>
    <row r="220" customFormat="false" ht="15.75" hidden="false" customHeight="false" outlineLevel="0" collapsed="false">
      <c r="A220" s="51"/>
      <c r="B220" s="51"/>
      <c r="C220" s="6"/>
      <c r="D220" s="49"/>
      <c r="E220" s="51"/>
      <c r="F220" s="6"/>
      <c r="G220" s="6"/>
      <c r="H220" s="6"/>
      <c r="I220" s="6"/>
      <c r="J220" s="6"/>
      <c r="K220" s="51"/>
      <c r="L220" s="51"/>
      <c r="M220" s="51"/>
      <c r="N220" s="51"/>
      <c r="O220" s="51"/>
      <c r="P220" s="51"/>
      <c r="Q220" s="51"/>
      <c r="R220" s="51"/>
      <c r="S220" s="51"/>
      <c r="T220" s="51"/>
      <c r="U220" s="51"/>
      <c r="V220" s="51"/>
      <c r="W220" s="51"/>
      <c r="X220" s="51"/>
      <c r="Y220" s="51"/>
      <c r="Z220" s="51"/>
      <c r="AA220" s="51"/>
      <c r="AB220" s="51"/>
    </row>
    <row r="221" customFormat="false" ht="15.75" hidden="false" customHeight="false" outlineLevel="0" collapsed="false">
      <c r="A221" s="51"/>
      <c r="B221" s="51"/>
      <c r="C221" s="6"/>
      <c r="D221" s="49"/>
      <c r="E221" s="51"/>
      <c r="F221" s="6"/>
      <c r="G221" s="6"/>
      <c r="H221" s="6"/>
      <c r="I221" s="6"/>
      <c r="J221" s="6"/>
      <c r="K221" s="51"/>
      <c r="L221" s="51"/>
      <c r="M221" s="51"/>
      <c r="N221" s="51"/>
      <c r="O221" s="51"/>
      <c r="P221" s="51"/>
      <c r="Q221" s="51"/>
      <c r="R221" s="51"/>
      <c r="S221" s="51"/>
      <c r="T221" s="51"/>
      <c r="U221" s="51"/>
      <c r="V221" s="51"/>
      <c r="W221" s="51"/>
      <c r="X221" s="51"/>
      <c r="Y221" s="51"/>
      <c r="Z221" s="51"/>
      <c r="AA221" s="51"/>
      <c r="AB221" s="51"/>
    </row>
    <row r="222" customFormat="false" ht="15.75" hidden="false" customHeight="false" outlineLevel="0" collapsed="false">
      <c r="A222" s="51"/>
      <c r="B222" s="51"/>
      <c r="C222" s="6"/>
      <c r="D222" s="49"/>
      <c r="E222" s="51"/>
      <c r="F222" s="6"/>
      <c r="G222" s="6"/>
      <c r="H222" s="6"/>
      <c r="I222" s="6"/>
      <c r="J222" s="6"/>
      <c r="K222" s="51"/>
      <c r="L222" s="51"/>
      <c r="M222" s="51"/>
      <c r="N222" s="51"/>
      <c r="O222" s="51"/>
      <c r="P222" s="51"/>
      <c r="Q222" s="51"/>
      <c r="R222" s="51"/>
      <c r="S222" s="51"/>
      <c r="T222" s="51"/>
      <c r="U222" s="51"/>
      <c r="V222" s="51"/>
      <c r="W222" s="51"/>
      <c r="X222" s="51"/>
      <c r="Y222" s="51"/>
      <c r="Z222" s="51"/>
      <c r="AA222" s="51"/>
      <c r="AB222" s="51"/>
    </row>
    <row r="223" customFormat="false" ht="15.75" hidden="false" customHeight="false" outlineLevel="0" collapsed="false">
      <c r="A223" s="51"/>
      <c r="B223" s="51"/>
      <c r="C223" s="6"/>
      <c r="D223" s="49"/>
      <c r="E223" s="51"/>
      <c r="F223" s="6"/>
      <c r="G223" s="6"/>
      <c r="H223" s="6"/>
      <c r="I223" s="6"/>
      <c r="J223" s="6"/>
      <c r="K223" s="51"/>
      <c r="L223" s="51"/>
      <c r="M223" s="51"/>
      <c r="N223" s="51"/>
      <c r="O223" s="51"/>
      <c r="P223" s="51"/>
      <c r="Q223" s="51"/>
      <c r="R223" s="51"/>
      <c r="S223" s="51"/>
      <c r="T223" s="51"/>
      <c r="U223" s="51"/>
      <c r="V223" s="51"/>
      <c r="W223" s="51"/>
      <c r="X223" s="51"/>
      <c r="Y223" s="51"/>
      <c r="Z223" s="51"/>
      <c r="AA223" s="51"/>
      <c r="AB223" s="51"/>
    </row>
    <row r="224" customFormat="false" ht="15.75" hidden="false" customHeight="false" outlineLevel="0" collapsed="false">
      <c r="A224" s="51"/>
      <c r="B224" s="51"/>
      <c r="C224" s="6"/>
      <c r="D224" s="49"/>
      <c r="E224" s="51"/>
      <c r="F224" s="6"/>
      <c r="G224" s="6"/>
      <c r="H224" s="6"/>
      <c r="I224" s="6"/>
      <c r="J224" s="6"/>
      <c r="K224" s="51"/>
      <c r="L224" s="51"/>
      <c r="M224" s="51"/>
      <c r="N224" s="51"/>
      <c r="O224" s="51"/>
      <c r="P224" s="51"/>
      <c r="Q224" s="51"/>
      <c r="R224" s="51"/>
      <c r="S224" s="51"/>
      <c r="T224" s="51"/>
      <c r="U224" s="51"/>
      <c r="V224" s="51"/>
      <c r="W224" s="51"/>
      <c r="X224" s="51"/>
      <c r="Y224" s="51"/>
      <c r="Z224" s="51"/>
      <c r="AA224" s="51"/>
      <c r="AB224" s="51"/>
    </row>
    <row r="225" customFormat="false" ht="15.75" hidden="false" customHeight="false" outlineLevel="0" collapsed="false">
      <c r="A225" s="51"/>
      <c r="B225" s="51"/>
      <c r="C225" s="6"/>
      <c r="D225" s="49"/>
      <c r="E225" s="51"/>
      <c r="F225" s="6"/>
      <c r="G225" s="6"/>
      <c r="H225" s="6"/>
      <c r="I225" s="6"/>
      <c r="J225" s="6"/>
      <c r="K225" s="51"/>
      <c r="L225" s="51"/>
      <c r="M225" s="51"/>
      <c r="N225" s="51"/>
      <c r="O225" s="51"/>
      <c r="P225" s="51"/>
      <c r="Q225" s="51"/>
      <c r="R225" s="51"/>
      <c r="S225" s="51"/>
      <c r="T225" s="51"/>
      <c r="U225" s="51"/>
      <c r="V225" s="51"/>
      <c r="W225" s="51"/>
      <c r="X225" s="51"/>
      <c r="Y225" s="51"/>
      <c r="Z225" s="51"/>
      <c r="AA225" s="51"/>
      <c r="AB225" s="51"/>
    </row>
    <row r="226" customFormat="false" ht="15.75" hidden="false" customHeight="false" outlineLevel="0" collapsed="false">
      <c r="A226" s="51"/>
      <c r="B226" s="51"/>
      <c r="C226" s="6"/>
      <c r="D226" s="49"/>
      <c r="E226" s="51"/>
      <c r="F226" s="6"/>
      <c r="G226" s="6"/>
      <c r="H226" s="6"/>
      <c r="I226" s="6"/>
      <c r="J226" s="6"/>
      <c r="K226" s="51"/>
      <c r="L226" s="51"/>
      <c r="M226" s="51"/>
      <c r="N226" s="51"/>
      <c r="O226" s="51"/>
      <c r="P226" s="51"/>
      <c r="Q226" s="51"/>
      <c r="R226" s="51"/>
      <c r="S226" s="51"/>
      <c r="T226" s="51"/>
      <c r="U226" s="51"/>
      <c r="V226" s="51"/>
      <c r="W226" s="51"/>
      <c r="X226" s="51"/>
      <c r="Y226" s="51"/>
      <c r="Z226" s="51"/>
      <c r="AA226" s="51"/>
      <c r="AB226" s="51"/>
    </row>
    <row r="227" customFormat="false" ht="15.75" hidden="false" customHeight="false" outlineLevel="0" collapsed="false">
      <c r="A227" s="51"/>
      <c r="B227" s="51"/>
      <c r="C227" s="6"/>
      <c r="D227" s="49"/>
      <c r="E227" s="51"/>
      <c r="F227" s="6"/>
      <c r="G227" s="6"/>
      <c r="H227" s="6"/>
      <c r="I227" s="6"/>
      <c r="J227" s="6"/>
      <c r="K227" s="51"/>
      <c r="L227" s="51"/>
      <c r="M227" s="51"/>
      <c r="N227" s="51"/>
      <c r="O227" s="51"/>
      <c r="P227" s="51"/>
      <c r="Q227" s="51"/>
      <c r="R227" s="51"/>
      <c r="S227" s="51"/>
      <c r="T227" s="51"/>
      <c r="U227" s="51"/>
      <c r="V227" s="51"/>
      <c r="W227" s="51"/>
      <c r="X227" s="51"/>
      <c r="Y227" s="51"/>
      <c r="Z227" s="51"/>
      <c r="AA227" s="51"/>
      <c r="AB227" s="51"/>
    </row>
    <row r="228" customFormat="false" ht="15.75" hidden="false" customHeight="false" outlineLevel="0" collapsed="false">
      <c r="A228" s="51"/>
      <c r="B228" s="51"/>
      <c r="C228" s="6"/>
      <c r="D228" s="49"/>
      <c r="E228" s="51"/>
      <c r="F228" s="6"/>
      <c r="G228" s="6"/>
      <c r="H228" s="6"/>
      <c r="I228" s="6"/>
      <c r="J228" s="6"/>
      <c r="K228" s="51"/>
      <c r="L228" s="51"/>
      <c r="M228" s="51"/>
      <c r="N228" s="51"/>
      <c r="O228" s="51"/>
      <c r="P228" s="51"/>
      <c r="Q228" s="51"/>
      <c r="R228" s="51"/>
      <c r="S228" s="51"/>
      <c r="T228" s="51"/>
      <c r="U228" s="51"/>
      <c r="V228" s="51"/>
      <c r="W228" s="51"/>
      <c r="X228" s="51"/>
      <c r="Y228" s="51"/>
      <c r="Z228" s="51"/>
      <c r="AA228" s="51"/>
      <c r="AB228" s="51"/>
    </row>
    <row r="229" customFormat="false" ht="15.75" hidden="false" customHeight="false" outlineLevel="0" collapsed="false">
      <c r="A229" s="51"/>
      <c r="B229" s="51"/>
      <c r="C229" s="6"/>
      <c r="D229" s="49"/>
      <c r="E229" s="51"/>
      <c r="F229" s="6"/>
      <c r="G229" s="6"/>
      <c r="H229" s="6"/>
      <c r="I229" s="6"/>
      <c r="J229" s="6"/>
      <c r="K229" s="51"/>
      <c r="L229" s="51"/>
      <c r="M229" s="51"/>
      <c r="N229" s="51"/>
      <c r="O229" s="51"/>
      <c r="P229" s="51"/>
      <c r="Q229" s="51"/>
      <c r="R229" s="51"/>
      <c r="S229" s="51"/>
      <c r="T229" s="51"/>
      <c r="U229" s="51"/>
      <c r="V229" s="51"/>
      <c r="W229" s="51"/>
      <c r="X229" s="51"/>
      <c r="Y229" s="51"/>
      <c r="Z229" s="51"/>
      <c r="AA229" s="51"/>
      <c r="AB229" s="51"/>
    </row>
    <row r="230" customFormat="false" ht="15.75" hidden="false" customHeight="false" outlineLevel="0" collapsed="false">
      <c r="A230" s="51"/>
      <c r="B230" s="51"/>
      <c r="C230" s="6"/>
      <c r="D230" s="49"/>
      <c r="E230" s="51"/>
      <c r="F230" s="6"/>
      <c r="G230" s="6"/>
      <c r="H230" s="6"/>
      <c r="I230" s="6"/>
      <c r="J230" s="6"/>
      <c r="K230" s="51"/>
      <c r="L230" s="51"/>
      <c r="M230" s="51"/>
      <c r="N230" s="51"/>
      <c r="O230" s="51"/>
      <c r="P230" s="51"/>
      <c r="Q230" s="51"/>
      <c r="R230" s="51"/>
      <c r="S230" s="51"/>
      <c r="T230" s="51"/>
      <c r="U230" s="51"/>
      <c r="V230" s="51"/>
      <c r="W230" s="51"/>
      <c r="X230" s="51"/>
      <c r="Y230" s="51"/>
      <c r="Z230" s="51"/>
      <c r="AA230" s="51"/>
      <c r="AB230" s="51"/>
    </row>
    <row r="231" customFormat="false" ht="15.75" hidden="false" customHeight="false" outlineLevel="0" collapsed="false">
      <c r="A231" s="51"/>
      <c r="B231" s="51"/>
      <c r="C231" s="6"/>
      <c r="D231" s="49"/>
      <c r="E231" s="51"/>
      <c r="F231" s="6"/>
      <c r="G231" s="6"/>
      <c r="H231" s="6"/>
      <c r="I231" s="6"/>
      <c r="J231" s="6"/>
      <c r="K231" s="51"/>
      <c r="L231" s="51"/>
      <c r="M231" s="51"/>
      <c r="N231" s="51"/>
      <c r="O231" s="51"/>
      <c r="P231" s="51"/>
      <c r="Q231" s="51"/>
      <c r="R231" s="51"/>
      <c r="S231" s="51"/>
      <c r="T231" s="51"/>
      <c r="U231" s="51"/>
      <c r="V231" s="51"/>
      <c r="W231" s="51"/>
      <c r="X231" s="51"/>
      <c r="Y231" s="51"/>
      <c r="Z231" s="51"/>
      <c r="AA231" s="51"/>
      <c r="AB231" s="51"/>
    </row>
    <row r="232" customFormat="false" ht="15.75" hidden="false" customHeight="false" outlineLevel="0" collapsed="false">
      <c r="A232" s="51"/>
      <c r="B232" s="51"/>
      <c r="C232" s="6"/>
      <c r="D232" s="49"/>
      <c r="E232" s="51"/>
      <c r="F232" s="6"/>
      <c r="G232" s="6"/>
      <c r="H232" s="6"/>
      <c r="I232" s="6"/>
      <c r="J232" s="6"/>
      <c r="K232" s="51"/>
      <c r="L232" s="51"/>
      <c r="M232" s="51"/>
      <c r="N232" s="51"/>
      <c r="O232" s="51"/>
      <c r="P232" s="51"/>
      <c r="Q232" s="51"/>
      <c r="R232" s="51"/>
      <c r="S232" s="51"/>
      <c r="T232" s="51"/>
      <c r="U232" s="51"/>
      <c r="V232" s="51"/>
      <c r="W232" s="51"/>
      <c r="X232" s="51"/>
      <c r="Y232" s="51"/>
      <c r="Z232" s="51"/>
      <c r="AA232" s="51"/>
      <c r="AB232" s="51"/>
    </row>
    <row r="233" customFormat="false" ht="15.75" hidden="false" customHeight="false" outlineLevel="0" collapsed="false">
      <c r="A233" s="51"/>
      <c r="B233" s="51"/>
      <c r="C233" s="6"/>
      <c r="D233" s="49"/>
      <c r="E233" s="51"/>
      <c r="F233" s="6"/>
      <c r="G233" s="6"/>
      <c r="H233" s="6"/>
      <c r="I233" s="6"/>
      <c r="J233" s="6"/>
      <c r="K233" s="51"/>
      <c r="L233" s="51"/>
      <c r="M233" s="51"/>
      <c r="N233" s="51"/>
      <c r="O233" s="51"/>
      <c r="P233" s="51"/>
      <c r="Q233" s="51"/>
      <c r="R233" s="51"/>
      <c r="S233" s="51"/>
      <c r="T233" s="51"/>
      <c r="U233" s="51"/>
      <c r="V233" s="51"/>
      <c r="W233" s="51"/>
      <c r="X233" s="51"/>
      <c r="Y233" s="51"/>
      <c r="Z233" s="51"/>
      <c r="AA233" s="51"/>
      <c r="AB233" s="51"/>
    </row>
    <row r="234" customFormat="false" ht="15.75" hidden="false" customHeight="false" outlineLevel="0" collapsed="false">
      <c r="A234" s="51"/>
      <c r="B234" s="51"/>
      <c r="C234" s="6"/>
      <c r="D234" s="49"/>
      <c r="E234" s="51"/>
      <c r="F234" s="6"/>
      <c r="G234" s="6"/>
      <c r="H234" s="6"/>
      <c r="I234" s="6"/>
      <c r="J234" s="6"/>
      <c r="K234" s="51"/>
      <c r="L234" s="51"/>
      <c r="M234" s="51"/>
      <c r="N234" s="51"/>
      <c r="O234" s="51"/>
      <c r="P234" s="51"/>
      <c r="Q234" s="51"/>
      <c r="R234" s="51"/>
      <c r="S234" s="51"/>
      <c r="T234" s="51"/>
      <c r="U234" s="51"/>
      <c r="V234" s="51"/>
      <c r="W234" s="51"/>
      <c r="X234" s="51"/>
      <c r="Y234" s="51"/>
      <c r="Z234" s="51"/>
      <c r="AA234" s="51"/>
      <c r="AB234" s="51"/>
    </row>
    <row r="235" customFormat="false" ht="15.75" hidden="false" customHeight="false" outlineLevel="0" collapsed="false">
      <c r="A235" s="51"/>
      <c r="B235" s="51"/>
      <c r="C235" s="6"/>
      <c r="D235" s="49"/>
      <c r="E235" s="51"/>
      <c r="F235" s="6"/>
      <c r="G235" s="6"/>
      <c r="H235" s="6"/>
      <c r="I235" s="6"/>
      <c r="J235" s="6"/>
      <c r="K235" s="51"/>
      <c r="L235" s="51"/>
      <c r="M235" s="51"/>
      <c r="N235" s="51"/>
      <c r="O235" s="51"/>
      <c r="P235" s="51"/>
      <c r="Q235" s="51"/>
      <c r="R235" s="51"/>
      <c r="S235" s="51"/>
      <c r="T235" s="51"/>
      <c r="U235" s="51"/>
      <c r="V235" s="51"/>
      <c r="W235" s="51"/>
      <c r="X235" s="51"/>
      <c r="Y235" s="51"/>
      <c r="Z235" s="51"/>
      <c r="AA235" s="51"/>
      <c r="AB235" s="51"/>
    </row>
    <row r="236" customFormat="false" ht="15.75" hidden="false" customHeight="false" outlineLevel="0" collapsed="false">
      <c r="A236" s="51"/>
      <c r="B236" s="51"/>
      <c r="C236" s="6"/>
      <c r="D236" s="49"/>
      <c r="E236" s="51"/>
      <c r="F236" s="6"/>
      <c r="G236" s="6"/>
      <c r="H236" s="6"/>
      <c r="I236" s="6"/>
      <c r="J236" s="6"/>
      <c r="K236" s="51"/>
      <c r="L236" s="51"/>
      <c r="M236" s="51"/>
      <c r="N236" s="51"/>
      <c r="O236" s="51"/>
      <c r="P236" s="51"/>
      <c r="Q236" s="51"/>
      <c r="R236" s="51"/>
      <c r="S236" s="51"/>
      <c r="T236" s="51"/>
      <c r="U236" s="51"/>
      <c r="V236" s="51"/>
      <c r="W236" s="51"/>
      <c r="X236" s="51"/>
      <c r="Y236" s="51"/>
      <c r="Z236" s="51"/>
      <c r="AA236" s="51"/>
      <c r="AB236" s="51"/>
    </row>
    <row r="237" customFormat="false" ht="15.75" hidden="false" customHeight="false" outlineLevel="0" collapsed="false">
      <c r="A237" s="51"/>
      <c r="B237" s="51"/>
      <c r="C237" s="6"/>
      <c r="D237" s="49"/>
      <c r="E237" s="51"/>
      <c r="F237" s="6"/>
      <c r="G237" s="6"/>
      <c r="H237" s="6"/>
      <c r="I237" s="6"/>
      <c r="J237" s="6"/>
      <c r="K237" s="51"/>
      <c r="L237" s="51"/>
      <c r="M237" s="51"/>
      <c r="N237" s="51"/>
      <c r="O237" s="51"/>
      <c r="P237" s="51"/>
      <c r="Q237" s="51"/>
      <c r="R237" s="51"/>
      <c r="S237" s="51"/>
      <c r="T237" s="51"/>
      <c r="U237" s="51"/>
      <c r="V237" s="51"/>
      <c r="W237" s="51"/>
      <c r="X237" s="51"/>
      <c r="Y237" s="51"/>
      <c r="Z237" s="51"/>
      <c r="AA237" s="51"/>
      <c r="AB237" s="51"/>
    </row>
    <row r="238" customFormat="false" ht="15.75" hidden="false" customHeight="false" outlineLevel="0" collapsed="false">
      <c r="A238" s="51"/>
      <c r="B238" s="51"/>
      <c r="C238" s="6"/>
      <c r="D238" s="49"/>
      <c r="E238" s="51"/>
      <c r="F238" s="6"/>
      <c r="G238" s="6"/>
      <c r="H238" s="6"/>
      <c r="I238" s="6"/>
      <c r="J238" s="6"/>
      <c r="K238" s="51"/>
      <c r="L238" s="51"/>
      <c r="M238" s="51"/>
      <c r="N238" s="51"/>
      <c r="O238" s="51"/>
      <c r="P238" s="51"/>
      <c r="Q238" s="51"/>
      <c r="R238" s="51"/>
      <c r="S238" s="51"/>
      <c r="T238" s="51"/>
      <c r="U238" s="51"/>
      <c r="V238" s="51"/>
      <c r="W238" s="51"/>
      <c r="X238" s="51"/>
      <c r="Y238" s="51"/>
      <c r="Z238" s="51"/>
      <c r="AA238" s="51"/>
      <c r="AB238" s="51"/>
    </row>
    <row r="239" customFormat="false" ht="15.75" hidden="false" customHeight="false" outlineLevel="0" collapsed="false">
      <c r="A239" s="51"/>
      <c r="B239" s="51"/>
      <c r="C239" s="6"/>
      <c r="D239" s="49"/>
      <c r="E239" s="51"/>
      <c r="F239" s="6"/>
      <c r="G239" s="6"/>
      <c r="H239" s="6"/>
      <c r="I239" s="6"/>
      <c r="J239" s="6"/>
      <c r="K239" s="51"/>
      <c r="L239" s="51"/>
      <c r="M239" s="51"/>
      <c r="N239" s="51"/>
      <c r="O239" s="51"/>
      <c r="P239" s="51"/>
      <c r="Q239" s="51"/>
      <c r="R239" s="51"/>
      <c r="S239" s="51"/>
      <c r="T239" s="51"/>
      <c r="U239" s="51"/>
      <c r="V239" s="51"/>
      <c r="W239" s="51"/>
      <c r="X239" s="51"/>
      <c r="Y239" s="51"/>
      <c r="Z239" s="51"/>
      <c r="AA239" s="51"/>
      <c r="AB239" s="51"/>
    </row>
    <row r="240" customFormat="false" ht="15.75" hidden="false" customHeight="false" outlineLevel="0" collapsed="false">
      <c r="A240" s="51"/>
      <c r="B240" s="51"/>
      <c r="C240" s="6"/>
      <c r="D240" s="49"/>
      <c r="E240" s="51"/>
      <c r="F240" s="6"/>
      <c r="G240" s="6"/>
      <c r="H240" s="6"/>
      <c r="I240" s="6"/>
      <c r="J240" s="6"/>
      <c r="K240" s="51"/>
      <c r="L240" s="51"/>
      <c r="M240" s="51"/>
      <c r="N240" s="51"/>
      <c r="O240" s="51"/>
      <c r="P240" s="51"/>
      <c r="Q240" s="51"/>
      <c r="R240" s="51"/>
      <c r="S240" s="51"/>
      <c r="T240" s="51"/>
      <c r="U240" s="51"/>
      <c r="V240" s="51"/>
      <c r="W240" s="51"/>
      <c r="X240" s="51"/>
      <c r="Y240" s="51"/>
      <c r="Z240" s="51"/>
      <c r="AA240" s="51"/>
      <c r="AB240" s="51"/>
    </row>
    <row r="241" customFormat="false" ht="15.75" hidden="false" customHeight="false" outlineLevel="0" collapsed="false">
      <c r="A241" s="51"/>
      <c r="B241" s="51"/>
      <c r="C241" s="6"/>
      <c r="D241" s="49"/>
      <c r="E241" s="51"/>
      <c r="F241" s="6"/>
      <c r="G241" s="6"/>
      <c r="H241" s="6"/>
      <c r="I241" s="6"/>
      <c r="J241" s="6"/>
      <c r="K241" s="51"/>
      <c r="L241" s="51"/>
      <c r="M241" s="51"/>
      <c r="N241" s="51"/>
      <c r="O241" s="51"/>
      <c r="P241" s="51"/>
      <c r="Q241" s="51"/>
      <c r="R241" s="51"/>
      <c r="S241" s="51"/>
      <c r="T241" s="51"/>
      <c r="U241" s="51"/>
      <c r="V241" s="51"/>
      <c r="W241" s="51"/>
      <c r="X241" s="51"/>
      <c r="Y241" s="51"/>
      <c r="Z241" s="51"/>
      <c r="AA241" s="51"/>
      <c r="AB241" s="51"/>
    </row>
    <row r="242" customFormat="false" ht="15.75" hidden="false" customHeight="false" outlineLevel="0" collapsed="false">
      <c r="A242" s="51"/>
      <c r="B242" s="51"/>
      <c r="C242" s="6"/>
      <c r="D242" s="49"/>
      <c r="E242" s="51"/>
      <c r="F242" s="6"/>
      <c r="G242" s="6"/>
      <c r="H242" s="6"/>
      <c r="I242" s="6"/>
      <c r="J242" s="6"/>
      <c r="K242" s="51"/>
      <c r="L242" s="51"/>
      <c r="M242" s="51"/>
      <c r="N242" s="51"/>
      <c r="O242" s="51"/>
      <c r="P242" s="51"/>
      <c r="Q242" s="51"/>
      <c r="R242" s="51"/>
      <c r="S242" s="51"/>
      <c r="T242" s="51"/>
      <c r="U242" s="51"/>
      <c r="V242" s="51"/>
      <c r="W242" s="51"/>
      <c r="X242" s="51"/>
      <c r="Y242" s="51"/>
      <c r="Z242" s="51"/>
      <c r="AA242" s="51"/>
      <c r="AB242" s="51"/>
    </row>
    <row r="243" customFormat="false" ht="15.75" hidden="false" customHeight="false" outlineLevel="0" collapsed="false">
      <c r="A243" s="51"/>
      <c r="B243" s="51"/>
      <c r="C243" s="6"/>
      <c r="D243" s="49"/>
      <c r="E243" s="51"/>
      <c r="F243" s="6"/>
      <c r="G243" s="6"/>
      <c r="H243" s="6"/>
      <c r="I243" s="6"/>
      <c r="J243" s="6"/>
      <c r="K243" s="51"/>
      <c r="L243" s="51"/>
      <c r="M243" s="51"/>
      <c r="N243" s="51"/>
      <c r="O243" s="51"/>
      <c r="P243" s="51"/>
      <c r="Q243" s="51"/>
      <c r="R243" s="51"/>
      <c r="S243" s="51"/>
      <c r="T243" s="51"/>
      <c r="U243" s="51"/>
      <c r="V243" s="51"/>
      <c r="W243" s="51"/>
      <c r="X243" s="51"/>
      <c r="Y243" s="51"/>
      <c r="Z243" s="51"/>
      <c r="AA243" s="51"/>
      <c r="AB243" s="51"/>
    </row>
    <row r="244" customFormat="false" ht="15.75" hidden="false" customHeight="false" outlineLevel="0" collapsed="false">
      <c r="A244" s="51"/>
      <c r="B244" s="51"/>
      <c r="C244" s="6"/>
      <c r="D244" s="49"/>
      <c r="E244" s="51"/>
      <c r="F244" s="6"/>
      <c r="G244" s="6"/>
      <c r="H244" s="6"/>
      <c r="I244" s="6"/>
      <c r="J244" s="6"/>
      <c r="K244" s="51"/>
      <c r="L244" s="51"/>
      <c r="M244" s="51"/>
      <c r="N244" s="51"/>
      <c r="O244" s="51"/>
      <c r="P244" s="51"/>
      <c r="Q244" s="51"/>
      <c r="R244" s="51"/>
      <c r="S244" s="51"/>
      <c r="T244" s="51"/>
      <c r="U244" s="51"/>
      <c r="V244" s="51"/>
      <c r="W244" s="51"/>
      <c r="X244" s="51"/>
      <c r="Y244" s="51"/>
      <c r="Z244" s="51"/>
      <c r="AA244" s="51"/>
      <c r="AB244" s="51"/>
    </row>
    <row r="245" customFormat="false" ht="15.75" hidden="false" customHeight="false" outlineLevel="0" collapsed="false">
      <c r="A245" s="51"/>
      <c r="B245" s="51"/>
      <c r="C245" s="6"/>
      <c r="D245" s="49"/>
      <c r="E245" s="51"/>
      <c r="F245" s="6"/>
      <c r="G245" s="6"/>
      <c r="H245" s="6"/>
      <c r="I245" s="6"/>
      <c r="J245" s="6"/>
      <c r="K245" s="51"/>
      <c r="L245" s="51"/>
      <c r="M245" s="51"/>
      <c r="N245" s="51"/>
      <c r="O245" s="51"/>
      <c r="P245" s="51"/>
      <c r="Q245" s="51"/>
      <c r="R245" s="51"/>
      <c r="S245" s="51"/>
      <c r="T245" s="51"/>
      <c r="U245" s="51"/>
      <c r="V245" s="51"/>
      <c r="W245" s="51"/>
      <c r="X245" s="51"/>
      <c r="Y245" s="51"/>
      <c r="Z245" s="51"/>
      <c r="AA245" s="51"/>
      <c r="AB245" s="51"/>
    </row>
    <row r="246" customFormat="false" ht="15.75" hidden="false" customHeight="false" outlineLevel="0" collapsed="false">
      <c r="A246" s="51"/>
      <c r="B246" s="51"/>
      <c r="C246" s="6"/>
      <c r="D246" s="49"/>
      <c r="E246" s="51"/>
      <c r="F246" s="6"/>
      <c r="G246" s="6"/>
      <c r="H246" s="6"/>
      <c r="I246" s="6"/>
      <c r="J246" s="6"/>
      <c r="K246" s="51"/>
      <c r="L246" s="51"/>
      <c r="M246" s="51"/>
      <c r="N246" s="51"/>
      <c r="O246" s="51"/>
      <c r="P246" s="51"/>
      <c r="Q246" s="51"/>
      <c r="R246" s="51"/>
      <c r="S246" s="51"/>
      <c r="T246" s="51"/>
      <c r="U246" s="51"/>
      <c r="V246" s="51"/>
      <c r="W246" s="51"/>
      <c r="X246" s="51"/>
      <c r="Y246" s="51"/>
      <c r="Z246" s="51"/>
      <c r="AA246" s="51"/>
      <c r="AB246" s="51"/>
    </row>
    <row r="247" customFormat="false" ht="15.75" hidden="false" customHeight="false" outlineLevel="0" collapsed="false">
      <c r="A247" s="51"/>
      <c r="B247" s="51"/>
      <c r="C247" s="6"/>
      <c r="D247" s="49"/>
      <c r="E247" s="51"/>
      <c r="F247" s="6"/>
      <c r="G247" s="6"/>
      <c r="H247" s="6"/>
      <c r="I247" s="6"/>
      <c r="J247" s="6"/>
      <c r="K247" s="51"/>
      <c r="L247" s="51"/>
      <c r="M247" s="51"/>
      <c r="N247" s="51"/>
      <c r="O247" s="51"/>
      <c r="P247" s="51"/>
      <c r="Q247" s="51"/>
      <c r="R247" s="51"/>
      <c r="S247" s="51"/>
      <c r="T247" s="51"/>
      <c r="U247" s="51"/>
      <c r="V247" s="51"/>
      <c r="W247" s="51"/>
      <c r="X247" s="51"/>
      <c r="Y247" s="51"/>
      <c r="Z247" s="51"/>
      <c r="AA247" s="51"/>
      <c r="AB247" s="51"/>
    </row>
    <row r="248" customFormat="false" ht="15.75" hidden="false" customHeight="false" outlineLevel="0" collapsed="false">
      <c r="A248" s="51"/>
      <c r="B248" s="51"/>
      <c r="C248" s="6"/>
      <c r="D248" s="49"/>
      <c r="E248" s="51"/>
      <c r="F248" s="6"/>
      <c r="G248" s="6"/>
      <c r="H248" s="6"/>
      <c r="I248" s="6"/>
      <c r="J248" s="6"/>
      <c r="K248" s="51"/>
      <c r="L248" s="51"/>
      <c r="M248" s="51"/>
      <c r="N248" s="51"/>
      <c r="O248" s="51"/>
      <c r="P248" s="51"/>
      <c r="Q248" s="51"/>
      <c r="R248" s="51"/>
      <c r="S248" s="51"/>
      <c r="T248" s="51"/>
      <c r="U248" s="51"/>
      <c r="V248" s="51"/>
      <c r="W248" s="51"/>
      <c r="X248" s="51"/>
      <c r="Y248" s="51"/>
      <c r="Z248" s="51"/>
      <c r="AA248" s="51"/>
      <c r="AB248" s="51"/>
    </row>
    <row r="249" customFormat="false" ht="15.75" hidden="false" customHeight="false" outlineLevel="0" collapsed="false">
      <c r="A249" s="51"/>
      <c r="B249" s="51"/>
      <c r="C249" s="6"/>
      <c r="D249" s="49"/>
      <c r="E249" s="51"/>
      <c r="F249" s="6"/>
      <c r="G249" s="6"/>
      <c r="H249" s="6"/>
      <c r="I249" s="6"/>
      <c r="J249" s="6"/>
      <c r="K249" s="51"/>
      <c r="L249" s="51"/>
      <c r="M249" s="51"/>
      <c r="N249" s="51"/>
      <c r="O249" s="51"/>
      <c r="P249" s="51"/>
      <c r="Q249" s="51"/>
      <c r="R249" s="51"/>
      <c r="S249" s="51"/>
      <c r="T249" s="51"/>
      <c r="U249" s="51"/>
      <c r="V249" s="51"/>
      <c r="W249" s="51"/>
      <c r="X249" s="51"/>
      <c r="Y249" s="51"/>
      <c r="Z249" s="51"/>
      <c r="AA249" s="51"/>
      <c r="AB249" s="51"/>
    </row>
    <row r="250" customFormat="false" ht="15.75" hidden="false" customHeight="false" outlineLevel="0" collapsed="false">
      <c r="A250" s="51"/>
      <c r="B250" s="51"/>
      <c r="C250" s="6"/>
      <c r="D250" s="49"/>
      <c r="E250" s="51"/>
      <c r="F250" s="6"/>
      <c r="G250" s="6"/>
      <c r="H250" s="6"/>
      <c r="I250" s="6"/>
      <c r="J250" s="6"/>
      <c r="K250" s="51"/>
      <c r="L250" s="51"/>
      <c r="M250" s="51"/>
      <c r="N250" s="51"/>
      <c r="O250" s="51"/>
      <c r="P250" s="51"/>
      <c r="Q250" s="51"/>
      <c r="R250" s="51"/>
      <c r="S250" s="51"/>
      <c r="T250" s="51"/>
      <c r="U250" s="51"/>
      <c r="V250" s="51"/>
      <c r="W250" s="51"/>
      <c r="X250" s="51"/>
      <c r="Y250" s="51"/>
      <c r="Z250" s="51"/>
      <c r="AA250" s="51"/>
      <c r="AB250" s="51"/>
    </row>
    <row r="251" customFormat="false" ht="15.75" hidden="false" customHeight="false" outlineLevel="0" collapsed="false">
      <c r="A251" s="51"/>
      <c r="B251" s="51"/>
      <c r="C251" s="6"/>
      <c r="D251" s="49"/>
      <c r="E251" s="51"/>
      <c r="F251" s="6"/>
      <c r="G251" s="6"/>
      <c r="H251" s="6"/>
      <c r="I251" s="6"/>
      <c r="J251" s="6"/>
      <c r="K251" s="51"/>
      <c r="L251" s="51"/>
      <c r="M251" s="51"/>
      <c r="N251" s="51"/>
      <c r="O251" s="51"/>
      <c r="P251" s="51"/>
      <c r="Q251" s="51"/>
      <c r="R251" s="51"/>
      <c r="S251" s="51"/>
      <c r="T251" s="51"/>
      <c r="U251" s="51"/>
      <c r="V251" s="51"/>
      <c r="W251" s="51"/>
      <c r="X251" s="51"/>
      <c r="Y251" s="51"/>
      <c r="Z251" s="51"/>
      <c r="AA251" s="51"/>
      <c r="AB251" s="51"/>
    </row>
    <row r="252" customFormat="false" ht="15.75" hidden="false" customHeight="false" outlineLevel="0" collapsed="false">
      <c r="A252" s="51"/>
      <c r="B252" s="51"/>
      <c r="C252" s="6"/>
      <c r="D252" s="49"/>
      <c r="E252" s="51"/>
      <c r="F252" s="6"/>
      <c r="G252" s="6"/>
      <c r="H252" s="6"/>
      <c r="I252" s="6"/>
      <c r="J252" s="6"/>
      <c r="K252" s="51"/>
      <c r="L252" s="51"/>
      <c r="M252" s="51"/>
      <c r="N252" s="51"/>
      <c r="O252" s="51"/>
      <c r="P252" s="51"/>
      <c r="Q252" s="51"/>
      <c r="R252" s="51"/>
      <c r="S252" s="51"/>
      <c r="T252" s="51"/>
      <c r="U252" s="51"/>
      <c r="V252" s="51"/>
      <c r="W252" s="51"/>
      <c r="X252" s="51"/>
      <c r="Y252" s="51"/>
      <c r="Z252" s="51"/>
      <c r="AA252" s="51"/>
      <c r="AB252" s="51"/>
    </row>
    <row r="253" customFormat="false" ht="15.75" hidden="false" customHeight="false" outlineLevel="0" collapsed="false">
      <c r="A253" s="51"/>
      <c r="B253" s="51"/>
      <c r="C253" s="6"/>
      <c r="D253" s="49"/>
      <c r="E253" s="51"/>
      <c r="F253" s="6"/>
      <c r="G253" s="6"/>
      <c r="H253" s="6"/>
      <c r="I253" s="6"/>
      <c r="J253" s="6"/>
      <c r="K253" s="51"/>
      <c r="L253" s="51"/>
      <c r="M253" s="51"/>
      <c r="N253" s="51"/>
      <c r="O253" s="51"/>
      <c r="P253" s="51"/>
      <c r="Q253" s="51"/>
      <c r="R253" s="51"/>
      <c r="S253" s="51"/>
      <c r="T253" s="51"/>
      <c r="U253" s="51"/>
      <c r="V253" s="51"/>
      <c r="W253" s="51"/>
      <c r="X253" s="51"/>
      <c r="Y253" s="51"/>
      <c r="Z253" s="51"/>
      <c r="AA253" s="51"/>
      <c r="AB253" s="51"/>
    </row>
    <row r="254" customFormat="false" ht="15.75" hidden="false" customHeight="false" outlineLevel="0" collapsed="false">
      <c r="A254" s="51"/>
      <c r="B254" s="51"/>
      <c r="C254" s="6"/>
      <c r="D254" s="49"/>
      <c r="E254" s="51"/>
      <c r="F254" s="6"/>
      <c r="G254" s="6"/>
      <c r="H254" s="6"/>
      <c r="I254" s="6"/>
      <c r="J254" s="6"/>
      <c r="K254" s="51"/>
      <c r="L254" s="51"/>
      <c r="M254" s="51"/>
      <c r="N254" s="51"/>
      <c r="O254" s="51"/>
      <c r="P254" s="51"/>
      <c r="Q254" s="51"/>
      <c r="R254" s="51"/>
      <c r="S254" s="51"/>
      <c r="T254" s="51"/>
      <c r="U254" s="51"/>
      <c r="V254" s="51"/>
      <c r="W254" s="51"/>
      <c r="X254" s="51"/>
      <c r="Y254" s="51"/>
      <c r="Z254" s="51"/>
      <c r="AA254" s="51"/>
      <c r="AB254" s="51"/>
    </row>
    <row r="255" customFormat="false" ht="15.75" hidden="false" customHeight="false" outlineLevel="0" collapsed="false">
      <c r="A255" s="51"/>
      <c r="B255" s="51"/>
      <c r="C255" s="6"/>
      <c r="D255" s="49"/>
      <c r="E255" s="51"/>
      <c r="F255" s="6"/>
      <c r="G255" s="6"/>
      <c r="H255" s="6"/>
      <c r="I255" s="6"/>
      <c r="J255" s="6"/>
      <c r="K255" s="51"/>
      <c r="L255" s="51"/>
      <c r="M255" s="51"/>
      <c r="N255" s="51"/>
      <c r="O255" s="51"/>
      <c r="P255" s="51"/>
      <c r="Q255" s="51"/>
      <c r="R255" s="51"/>
      <c r="S255" s="51"/>
      <c r="T255" s="51"/>
      <c r="U255" s="51"/>
      <c r="V255" s="51"/>
      <c r="W255" s="51"/>
      <c r="X255" s="51"/>
      <c r="Y255" s="51"/>
      <c r="Z255" s="51"/>
      <c r="AA255" s="51"/>
      <c r="AB255" s="51"/>
    </row>
    <row r="256" customFormat="false" ht="15.75" hidden="false" customHeight="false" outlineLevel="0" collapsed="false">
      <c r="A256" s="51"/>
      <c r="B256" s="51"/>
      <c r="C256" s="6"/>
      <c r="D256" s="49"/>
      <c r="E256" s="51"/>
      <c r="F256" s="6"/>
      <c r="G256" s="6"/>
      <c r="H256" s="6"/>
      <c r="I256" s="6"/>
      <c r="J256" s="6"/>
      <c r="K256" s="51"/>
      <c r="L256" s="51"/>
      <c r="M256" s="51"/>
      <c r="N256" s="51"/>
      <c r="O256" s="51"/>
      <c r="P256" s="51"/>
      <c r="Q256" s="51"/>
      <c r="R256" s="51"/>
      <c r="S256" s="51"/>
      <c r="T256" s="51"/>
      <c r="U256" s="51"/>
      <c r="V256" s="51"/>
      <c r="W256" s="51"/>
      <c r="X256" s="51"/>
      <c r="Y256" s="51"/>
      <c r="Z256" s="51"/>
      <c r="AA256" s="51"/>
      <c r="AB256" s="51"/>
    </row>
    <row r="257" customFormat="false" ht="15.75" hidden="false" customHeight="false" outlineLevel="0" collapsed="false">
      <c r="A257" s="51"/>
      <c r="B257" s="51"/>
      <c r="C257" s="6"/>
      <c r="D257" s="49"/>
      <c r="E257" s="51"/>
      <c r="F257" s="6"/>
      <c r="G257" s="6"/>
      <c r="H257" s="6"/>
      <c r="I257" s="6"/>
      <c r="J257" s="6"/>
      <c r="K257" s="51"/>
      <c r="L257" s="51"/>
      <c r="M257" s="51"/>
      <c r="N257" s="51"/>
      <c r="O257" s="51"/>
      <c r="P257" s="51"/>
      <c r="Q257" s="51"/>
      <c r="R257" s="51"/>
      <c r="S257" s="51"/>
      <c r="T257" s="51"/>
      <c r="U257" s="51"/>
      <c r="V257" s="51"/>
      <c r="W257" s="51"/>
      <c r="X257" s="51"/>
      <c r="Y257" s="51"/>
      <c r="Z257" s="51"/>
      <c r="AA257" s="51"/>
      <c r="AB257" s="51"/>
    </row>
    <row r="258" customFormat="false" ht="15.75" hidden="false" customHeight="false" outlineLevel="0" collapsed="false">
      <c r="A258" s="51"/>
      <c r="B258" s="51"/>
      <c r="C258" s="6"/>
      <c r="D258" s="49"/>
      <c r="E258" s="51"/>
      <c r="F258" s="6"/>
      <c r="G258" s="6"/>
      <c r="H258" s="6"/>
      <c r="I258" s="6"/>
      <c r="J258" s="6"/>
      <c r="K258" s="51"/>
      <c r="L258" s="51"/>
      <c r="M258" s="51"/>
      <c r="N258" s="51"/>
      <c r="O258" s="51"/>
      <c r="P258" s="51"/>
      <c r="Q258" s="51"/>
      <c r="R258" s="51"/>
      <c r="S258" s="51"/>
      <c r="T258" s="51"/>
      <c r="U258" s="51"/>
      <c r="V258" s="51"/>
      <c r="W258" s="51"/>
      <c r="X258" s="51"/>
      <c r="Y258" s="51"/>
      <c r="Z258" s="51"/>
      <c r="AA258" s="51"/>
      <c r="AB258" s="51"/>
    </row>
    <row r="259" customFormat="false" ht="15.75" hidden="false" customHeight="false" outlineLevel="0" collapsed="false">
      <c r="A259" s="51"/>
      <c r="B259" s="51"/>
      <c r="C259" s="6"/>
      <c r="D259" s="49"/>
      <c r="E259" s="51"/>
      <c r="F259" s="6"/>
      <c r="G259" s="6"/>
      <c r="H259" s="6"/>
      <c r="I259" s="6"/>
      <c r="J259" s="6"/>
      <c r="K259" s="51"/>
      <c r="L259" s="51"/>
      <c r="M259" s="51"/>
      <c r="N259" s="51"/>
      <c r="O259" s="51"/>
      <c r="P259" s="51"/>
      <c r="Q259" s="51"/>
      <c r="R259" s="51"/>
      <c r="S259" s="51"/>
      <c r="T259" s="51"/>
      <c r="U259" s="51"/>
      <c r="V259" s="51"/>
      <c r="W259" s="51"/>
      <c r="X259" s="51"/>
      <c r="Y259" s="51"/>
      <c r="Z259" s="51"/>
      <c r="AA259" s="51"/>
      <c r="AB259" s="51"/>
    </row>
    <row r="260" customFormat="false" ht="15.75" hidden="false" customHeight="false" outlineLevel="0" collapsed="false">
      <c r="A260" s="51"/>
      <c r="B260" s="51"/>
      <c r="C260" s="6"/>
      <c r="D260" s="49"/>
      <c r="E260" s="51"/>
      <c r="F260" s="6"/>
      <c r="G260" s="6"/>
      <c r="H260" s="6"/>
      <c r="I260" s="6"/>
      <c r="J260" s="6"/>
      <c r="K260" s="51"/>
      <c r="L260" s="51"/>
      <c r="M260" s="51"/>
      <c r="N260" s="51"/>
      <c r="O260" s="51"/>
      <c r="P260" s="51"/>
      <c r="Q260" s="51"/>
      <c r="R260" s="51"/>
      <c r="S260" s="51"/>
      <c r="T260" s="51"/>
      <c r="U260" s="51"/>
      <c r="V260" s="51"/>
      <c r="W260" s="51"/>
      <c r="X260" s="51"/>
      <c r="Y260" s="51"/>
      <c r="Z260" s="51"/>
      <c r="AA260" s="51"/>
      <c r="AB260" s="51"/>
    </row>
    <row r="261" customFormat="false" ht="15.75" hidden="false" customHeight="false" outlineLevel="0" collapsed="false">
      <c r="A261" s="51"/>
      <c r="B261" s="51"/>
      <c r="C261" s="6"/>
      <c r="D261" s="49"/>
      <c r="E261" s="51"/>
      <c r="F261" s="6"/>
      <c r="G261" s="6"/>
      <c r="H261" s="6"/>
      <c r="I261" s="6"/>
      <c r="J261" s="6"/>
      <c r="K261" s="51"/>
      <c r="L261" s="51"/>
      <c r="M261" s="51"/>
      <c r="N261" s="51"/>
      <c r="O261" s="51"/>
      <c r="P261" s="51"/>
      <c r="Q261" s="51"/>
      <c r="R261" s="51"/>
      <c r="S261" s="51"/>
      <c r="T261" s="51"/>
      <c r="U261" s="51"/>
      <c r="V261" s="51"/>
      <c r="W261" s="51"/>
      <c r="X261" s="51"/>
      <c r="Y261" s="51"/>
      <c r="Z261" s="51"/>
      <c r="AA261" s="51"/>
      <c r="AB261" s="51"/>
    </row>
    <row r="262" customFormat="false" ht="15.75" hidden="false" customHeight="false" outlineLevel="0" collapsed="false">
      <c r="A262" s="51"/>
      <c r="B262" s="51"/>
      <c r="C262" s="6"/>
      <c r="D262" s="49"/>
      <c r="E262" s="51"/>
      <c r="F262" s="6"/>
      <c r="G262" s="6"/>
      <c r="H262" s="6"/>
      <c r="I262" s="6"/>
      <c r="J262" s="6"/>
      <c r="K262" s="51"/>
      <c r="L262" s="51"/>
      <c r="M262" s="51"/>
      <c r="N262" s="51"/>
      <c r="O262" s="51"/>
      <c r="P262" s="51"/>
      <c r="Q262" s="51"/>
      <c r="R262" s="51"/>
      <c r="S262" s="51"/>
      <c r="T262" s="51"/>
      <c r="U262" s="51"/>
      <c r="V262" s="51"/>
      <c r="W262" s="51"/>
      <c r="X262" s="51"/>
      <c r="Y262" s="51"/>
      <c r="Z262" s="51"/>
      <c r="AA262" s="51"/>
      <c r="AB262" s="51"/>
    </row>
    <row r="263" customFormat="false" ht="15.75" hidden="false" customHeight="false" outlineLevel="0" collapsed="false">
      <c r="A263" s="51"/>
      <c r="B263" s="51"/>
      <c r="C263" s="6"/>
      <c r="D263" s="49"/>
      <c r="E263" s="51"/>
      <c r="F263" s="6"/>
      <c r="G263" s="6"/>
      <c r="H263" s="6"/>
      <c r="I263" s="6"/>
      <c r="J263" s="6"/>
      <c r="K263" s="51"/>
      <c r="L263" s="51"/>
      <c r="M263" s="51"/>
      <c r="N263" s="51"/>
      <c r="O263" s="51"/>
      <c r="P263" s="51"/>
      <c r="Q263" s="51"/>
      <c r="R263" s="51"/>
      <c r="S263" s="51"/>
      <c r="T263" s="51"/>
      <c r="U263" s="51"/>
      <c r="V263" s="51"/>
      <c r="W263" s="51"/>
      <c r="X263" s="51"/>
      <c r="Y263" s="51"/>
      <c r="Z263" s="51"/>
      <c r="AA263" s="51"/>
      <c r="AB263" s="51"/>
    </row>
    <row r="264" customFormat="false" ht="15.75" hidden="false" customHeight="false" outlineLevel="0" collapsed="false">
      <c r="A264" s="51"/>
      <c r="B264" s="51"/>
      <c r="C264" s="6"/>
      <c r="D264" s="49"/>
      <c r="E264" s="51"/>
      <c r="F264" s="6"/>
      <c r="G264" s="6"/>
      <c r="H264" s="6"/>
      <c r="I264" s="6"/>
      <c r="J264" s="6"/>
      <c r="K264" s="51"/>
      <c r="L264" s="51"/>
      <c r="M264" s="51"/>
      <c r="N264" s="51"/>
      <c r="O264" s="51"/>
      <c r="P264" s="51"/>
      <c r="Q264" s="51"/>
      <c r="R264" s="51"/>
      <c r="S264" s="51"/>
      <c r="T264" s="51"/>
      <c r="U264" s="51"/>
      <c r="V264" s="51"/>
      <c r="W264" s="51"/>
      <c r="X264" s="51"/>
      <c r="Y264" s="51"/>
      <c r="Z264" s="51"/>
      <c r="AA264" s="51"/>
      <c r="AB264" s="51"/>
    </row>
    <row r="265" customFormat="false" ht="15.75" hidden="false" customHeight="false" outlineLevel="0" collapsed="false">
      <c r="A265" s="51"/>
      <c r="B265" s="51"/>
      <c r="C265" s="6"/>
      <c r="D265" s="49"/>
      <c r="E265" s="51"/>
      <c r="F265" s="6"/>
      <c r="G265" s="6"/>
      <c r="H265" s="6"/>
      <c r="I265" s="6"/>
      <c r="J265" s="6"/>
      <c r="K265" s="51"/>
      <c r="L265" s="51"/>
      <c r="M265" s="51"/>
      <c r="N265" s="51"/>
      <c r="O265" s="51"/>
      <c r="P265" s="51"/>
      <c r="Q265" s="51"/>
      <c r="R265" s="51"/>
      <c r="S265" s="51"/>
      <c r="T265" s="51"/>
      <c r="U265" s="51"/>
      <c r="V265" s="51"/>
      <c r="W265" s="51"/>
      <c r="X265" s="51"/>
      <c r="Y265" s="51"/>
      <c r="Z265" s="51"/>
      <c r="AA265" s="51"/>
      <c r="AB265" s="51"/>
    </row>
    <row r="266" customFormat="false" ht="15.75" hidden="false" customHeight="false" outlineLevel="0" collapsed="false">
      <c r="A266" s="51"/>
      <c r="B266" s="51"/>
      <c r="C266" s="6"/>
      <c r="D266" s="49"/>
      <c r="E266" s="51"/>
      <c r="F266" s="6"/>
      <c r="G266" s="6"/>
      <c r="H266" s="6"/>
      <c r="I266" s="6"/>
      <c r="J266" s="6"/>
      <c r="K266" s="51"/>
      <c r="L266" s="51"/>
      <c r="M266" s="51"/>
      <c r="N266" s="51"/>
      <c r="O266" s="51"/>
      <c r="P266" s="51"/>
      <c r="Q266" s="51"/>
      <c r="R266" s="51"/>
      <c r="S266" s="51"/>
      <c r="T266" s="51"/>
      <c r="U266" s="51"/>
      <c r="V266" s="51"/>
      <c r="W266" s="51"/>
      <c r="X266" s="51"/>
      <c r="Y266" s="51"/>
      <c r="Z266" s="51"/>
      <c r="AA266" s="51"/>
      <c r="AB266" s="51"/>
    </row>
    <row r="267" customFormat="false" ht="15.75" hidden="false" customHeight="false" outlineLevel="0" collapsed="false">
      <c r="A267" s="51"/>
      <c r="B267" s="51"/>
      <c r="C267" s="6"/>
      <c r="D267" s="49"/>
      <c r="E267" s="51"/>
      <c r="F267" s="6"/>
      <c r="G267" s="6"/>
      <c r="H267" s="6"/>
      <c r="I267" s="6"/>
      <c r="J267" s="6"/>
      <c r="K267" s="51"/>
      <c r="L267" s="51"/>
      <c r="M267" s="51"/>
      <c r="N267" s="51"/>
      <c r="O267" s="51"/>
      <c r="P267" s="51"/>
      <c r="Q267" s="51"/>
      <c r="R267" s="51"/>
      <c r="S267" s="51"/>
      <c r="T267" s="51"/>
      <c r="U267" s="51"/>
      <c r="V267" s="51"/>
      <c r="W267" s="51"/>
      <c r="X267" s="51"/>
      <c r="Y267" s="51"/>
      <c r="Z267" s="51"/>
      <c r="AA267" s="51"/>
      <c r="AB267" s="51"/>
    </row>
    <row r="268" customFormat="false" ht="15.75" hidden="false" customHeight="false" outlineLevel="0" collapsed="false">
      <c r="A268" s="51"/>
      <c r="B268" s="51"/>
      <c r="C268" s="6"/>
      <c r="D268" s="49"/>
      <c r="E268" s="51"/>
      <c r="F268" s="6"/>
      <c r="G268" s="6"/>
      <c r="H268" s="6"/>
      <c r="I268" s="6"/>
      <c r="J268" s="6"/>
      <c r="K268" s="51"/>
      <c r="L268" s="51"/>
      <c r="M268" s="51"/>
      <c r="N268" s="51"/>
      <c r="O268" s="51"/>
      <c r="P268" s="51"/>
      <c r="Q268" s="51"/>
      <c r="R268" s="51"/>
      <c r="S268" s="51"/>
      <c r="T268" s="51"/>
      <c r="U268" s="51"/>
      <c r="V268" s="51"/>
      <c r="W268" s="51"/>
      <c r="X268" s="51"/>
      <c r="Y268" s="51"/>
      <c r="Z268" s="51"/>
      <c r="AA268" s="51"/>
      <c r="AB268" s="51"/>
    </row>
    <row r="269" customFormat="false" ht="15.75" hidden="false" customHeight="false" outlineLevel="0" collapsed="false">
      <c r="A269" s="51"/>
      <c r="B269" s="51"/>
      <c r="C269" s="6"/>
      <c r="D269" s="49"/>
      <c r="E269" s="51"/>
      <c r="F269" s="6"/>
      <c r="G269" s="6"/>
      <c r="H269" s="6"/>
      <c r="I269" s="6"/>
      <c r="J269" s="6"/>
      <c r="K269" s="51"/>
      <c r="L269" s="51"/>
      <c r="M269" s="51"/>
      <c r="N269" s="51"/>
      <c r="O269" s="51"/>
      <c r="P269" s="51"/>
      <c r="Q269" s="51"/>
      <c r="R269" s="51"/>
      <c r="S269" s="51"/>
      <c r="T269" s="51"/>
      <c r="U269" s="51"/>
      <c r="V269" s="51"/>
      <c r="W269" s="51"/>
      <c r="X269" s="51"/>
      <c r="Y269" s="51"/>
      <c r="Z269" s="51"/>
      <c r="AA269" s="51"/>
      <c r="AB269" s="51"/>
    </row>
    <row r="270" customFormat="false" ht="15.75" hidden="false" customHeight="false" outlineLevel="0" collapsed="false">
      <c r="A270" s="51"/>
      <c r="B270" s="51"/>
      <c r="C270" s="6"/>
      <c r="D270" s="49"/>
      <c r="E270" s="51"/>
      <c r="F270" s="6"/>
      <c r="G270" s="6"/>
      <c r="H270" s="6"/>
      <c r="I270" s="6"/>
      <c r="J270" s="6"/>
      <c r="K270" s="51"/>
      <c r="L270" s="51"/>
      <c r="M270" s="51"/>
      <c r="N270" s="51"/>
      <c r="O270" s="51"/>
      <c r="P270" s="51"/>
      <c r="Q270" s="51"/>
      <c r="R270" s="51"/>
      <c r="S270" s="51"/>
      <c r="T270" s="51"/>
      <c r="U270" s="51"/>
      <c r="V270" s="51"/>
      <c r="W270" s="51"/>
      <c r="X270" s="51"/>
      <c r="Y270" s="51"/>
      <c r="Z270" s="51"/>
      <c r="AA270" s="51"/>
      <c r="AB270" s="51"/>
    </row>
    <row r="271" customFormat="false" ht="15.75" hidden="false" customHeight="false" outlineLevel="0" collapsed="false">
      <c r="A271" s="51"/>
      <c r="B271" s="51"/>
      <c r="C271" s="6"/>
      <c r="D271" s="49"/>
      <c r="E271" s="51"/>
      <c r="F271" s="6"/>
      <c r="G271" s="6"/>
      <c r="H271" s="6"/>
      <c r="I271" s="6"/>
      <c r="J271" s="6"/>
      <c r="K271" s="51"/>
      <c r="L271" s="51"/>
      <c r="M271" s="51"/>
      <c r="N271" s="51"/>
      <c r="O271" s="51"/>
      <c r="P271" s="51"/>
      <c r="Q271" s="51"/>
      <c r="R271" s="51"/>
      <c r="S271" s="51"/>
      <c r="T271" s="51"/>
      <c r="U271" s="51"/>
      <c r="V271" s="51"/>
      <c r="W271" s="51"/>
      <c r="X271" s="51"/>
      <c r="Y271" s="51"/>
      <c r="Z271" s="51"/>
      <c r="AA271" s="51"/>
      <c r="AB271" s="51"/>
    </row>
    <row r="272" customFormat="false" ht="15.75" hidden="false" customHeight="false" outlineLevel="0" collapsed="false">
      <c r="A272" s="51"/>
      <c r="B272" s="51"/>
      <c r="C272" s="6"/>
      <c r="D272" s="49"/>
      <c r="E272" s="51"/>
      <c r="F272" s="6"/>
      <c r="G272" s="6"/>
      <c r="H272" s="6"/>
      <c r="I272" s="6"/>
      <c r="J272" s="6"/>
      <c r="K272" s="51"/>
      <c r="L272" s="51"/>
      <c r="M272" s="51"/>
      <c r="N272" s="51"/>
      <c r="O272" s="51"/>
      <c r="P272" s="51"/>
      <c r="Q272" s="51"/>
      <c r="R272" s="51"/>
      <c r="S272" s="51"/>
      <c r="T272" s="51"/>
      <c r="U272" s="51"/>
      <c r="V272" s="51"/>
      <c r="W272" s="51"/>
      <c r="X272" s="51"/>
      <c r="Y272" s="51"/>
      <c r="Z272" s="51"/>
      <c r="AA272" s="51"/>
      <c r="AB272" s="51"/>
    </row>
    <row r="273" customFormat="false" ht="15.75" hidden="false" customHeight="false" outlineLevel="0" collapsed="false">
      <c r="A273" s="51"/>
      <c r="B273" s="51"/>
      <c r="C273" s="6"/>
      <c r="D273" s="49"/>
      <c r="E273" s="51"/>
      <c r="F273" s="6"/>
      <c r="G273" s="6"/>
      <c r="H273" s="6"/>
      <c r="I273" s="6"/>
      <c r="J273" s="6"/>
      <c r="K273" s="51"/>
      <c r="L273" s="51"/>
      <c r="M273" s="51"/>
      <c r="N273" s="51"/>
      <c r="O273" s="51"/>
      <c r="P273" s="51"/>
      <c r="Q273" s="51"/>
      <c r="R273" s="51"/>
      <c r="S273" s="51"/>
      <c r="T273" s="51"/>
      <c r="U273" s="51"/>
      <c r="V273" s="51"/>
      <c r="W273" s="51"/>
      <c r="X273" s="51"/>
      <c r="Y273" s="51"/>
      <c r="Z273" s="51"/>
      <c r="AA273" s="51"/>
      <c r="AB273" s="51"/>
    </row>
    <row r="274" customFormat="false" ht="15.75" hidden="false" customHeight="false" outlineLevel="0" collapsed="false">
      <c r="A274" s="51"/>
      <c r="B274" s="51"/>
      <c r="C274" s="6"/>
      <c r="D274" s="49"/>
      <c r="E274" s="51"/>
      <c r="F274" s="6"/>
      <c r="G274" s="6"/>
      <c r="H274" s="6"/>
      <c r="I274" s="6"/>
      <c r="J274" s="6"/>
      <c r="K274" s="51"/>
      <c r="L274" s="51"/>
      <c r="M274" s="51"/>
      <c r="N274" s="51"/>
      <c r="O274" s="51"/>
      <c r="P274" s="51"/>
      <c r="Q274" s="51"/>
      <c r="R274" s="51"/>
      <c r="S274" s="51"/>
      <c r="T274" s="51"/>
      <c r="U274" s="51"/>
      <c r="V274" s="51"/>
      <c r="W274" s="51"/>
      <c r="X274" s="51"/>
      <c r="Y274" s="51"/>
      <c r="Z274" s="51"/>
      <c r="AA274" s="51"/>
      <c r="AB274" s="51"/>
    </row>
    <row r="275" customFormat="false" ht="15.75" hidden="false" customHeight="false" outlineLevel="0" collapsed="false">
      <c r="A275" s="51"/>
      <c r="B275" s="51"/>
      <c r="C275" s="6"/>
      <c r="D275" s="49"/>
      <c r="E275" s="51"/>
      <c r="F275" s="6"/>
      <c r="G275" s="6"/>
      <c r="H275" s="6"/>
      <c r="I275" s="6"/>
      <c r="J275" s="6"/>
      <c r="K275" s="51"/>
      <c r="L275" s="51"/>
      <c r="M275" s="51"/>
      <c r="N275" s="51"/>
      <c r="O275" s="51"/>
      <c r="P275" s="51"/>
      <c r="Q275" s="51"/>
      <c r="R275" s="51"/>
      <c r="S275" s="51"/>
      <c r="T275" s="51"/>
      <c r="U275" s="51"/>
      <c r="V275" s="51"/>
      <c r="W275" s="51"/>
      <c r="X275" s="51"/>
      <c r="Y275" s="51"/>
      <c r="Z275" s="51"/>
      <c r="AA275" s="51"/>
      <c r="AB275" s="51"/>
    </row>
    <row r="276" customFormat="false" ht="15.75" hidden="false" customHeight="false" outlineLevel="0" collapsed="false">
      <c r="A276" s="51"/>
      <c r="B276" s="51"/>
      <c r="C276" s="6"/>
      <c r="D276" s="49"/>
      <c r="E276" s="51"/>
      <c r="F276" s="6"/>
      <c r="G276" s="6"/>
      <c r="H276" s="6"/>
      <c r="I276" s="6"/>
      <c r="J276" s="6"/>
      <c r="K276" s="51"/>
      <c r="L276" s="51"/>
      <c r="M276" s="51"/>
      <c r="N276" s="51"/>
      <c r="O276" s="51"/>
      <c r="P276" s="51"/>
      <c r="Q276" s="51"/>
      <c r="R276" s="51"/>
      <c r="S276" s="51"/>
      <c r="T276" s="51"/>
      <c r="U276" s="51"/>
      <c r="V276" s="51"/>
      <c r="W276" s="51"/>
      <c r="X276" s="51"/>
      <c r="Y276" s="51"/>
      <c r="Z276" s="51"/>
      <c r="AA276" s="51"/>
      <c r="AB276" s="51"/>
    </row>
    <row r="277" customFormat="false" ht="15.75" hidden="false" customHeight="false" outlineLevel="0" collapsed="false">
      <c r="A277" s="51"/>
      <c r="B277" s="51"/>
      <c r="C277" s="6"/>
      <c r="D277" s="49"/>
      <c r="E277" s="51"/>
      <c r="F277" s="6"/>
      <c r="G277" s="6"/>
      <c r="H277" s="6"/>
      <c r="I277" s="6"/>
      <c r="J277" s="6"/>
      <c r="K277" s="51"/>
      <c r="L277" s="51"/>
      <c r="M277" s="51"/>
      <c r="N277" s="51"/>
      <c r="O277" s="51"/>
      <c r="P277" s="51"/>
      <c r="Q277" s="51"/>
      <c r="R277" s="51"/>
      <c r="S277" s="51"/>
      <c r="T277" s="51"/>
      <c r="U277" s="51"/>
      <c r="V277" s="51"/>
      <c r="W277" s="51"/>
      <c r="X277" s="51"/>
      <c r="Y277" s="51"/>
      <c r="Z277" s="51"/>
      <c r="AA277" s="51"/>
      <c r="AB277" s="51"/>
    </row>
    <row r="278" customFormat="false" ht="15.75" hidden="false" customHeight="false" outlineLevel="0" collapsed="false">
      <c r="A278" s="51"/>
      <c r="B278" s="51"/>
      <c r="C278" s="6"/>
      <c r="D278" s="49"/>
      <c r="E278" s="51"/>
      <c r="F278" s="6"/>
      <c r="G278" s="6"/>
      <c r="H278" s="6"/>
      <c r="I278" s="6"/>
      <c r="J278" s="6"/>
      <c r="K278" s="51"/>
      <c r="L278" s="51"/>
      <c r="M278" s="51"/>
      <c r="N278" s="51"/>
      <c r="O278" s="51"/>
      <c r="P278" s="51"/>
      <c r="Q278" s="51"/>
      <c r="R278" s="51"/>
      <c r="S278" s="51"/>
      <c r="T278" s="51"/>
      <c r="U278" s="51"/>
      <c r="V278" s="51"/>
      <c r="W278" s="51"/>
      <c r="X278" s="51"/>
      <c r="Y278" s="51"/>
      <c r="Z278" s="51"/>
      <c r="AA278" s="51"/>
      <c r="AB278" s="51"/>
    </row>
    <row r="279" customFormat="false" ht="15.75" hidden="false" customHeight="false" outlineLevel="0" collapsed="false">
      <c r="A279" s="51"/>
      <c r="B279" s="51"/>
      <c r="C279" s="6"/>
      <c r="D279" s="49"/>
      <c r="E279" s="51"/>
      <c r="F279" s="6"/>
      <c r="G279" s="6"/>
      <c r="H279" s="6"/>
      <c r="I279" s="6"/>
      <c r="J279" s="6"/>
      <c r="K279" s="51"/>
      <c r="L279" s="51"/>
      <c r="M279" s="51"/>
      <c r="N279" s="51"/>
      <c r="O279" s="51"/>
      <c r="P279" s="51"/>
      <c r="Q279" s="51"/>
      <c r="R279" s="51"/>
      <c r="S279" s="51"/>
      <c r="T279" s="51"/>
      <c r="U279" s="51"/>
      <c r="V279" s="51"/>
      <c r="W279" s="51"/>
      <c r="X279" s="51"/>
      <c r="Y279" s="51"/>
      <c r="Z279" s="51"/>
      <c r="AA279" s="51"/>
      <c r="AB279" s="51"/>
    </row>
    <row r="280" customFormat="false" ht="15.75" hidden="false" customHeight="false" outlineLevel="0" collapsed="false">
      <c r="A280" s="51"/>
      <c r="B280" s="51"/>
      <c r="C280" s="6"/>
      <c r="D280" s="49"/>
      <c r="E280" s="51"/>
      <c r="F280" s="6"/>
      <c r="G280" s="6"/>
      <c r="H280" s="6"/>
      <c r="I280" s="6"/>
      <c r="J280" s="6"/>
      <c r="K280" s="51"/>
      <c r="L280" s="51"/>
      <c r="M280" s="51"/>
      <c r="N280" s="51"/>
      <c r="O280" s="51"/>
      <c r="P280" s="51"/>
      <c r="Q280" s="51"/>
      <c r="R280" s="51"/>
      <c r="S280" s="51"/>
      <c r="T280" s="51"/>
      <c r="U280" s="51"/>
      <c r="V280" s="51"/>
      <c r="W280" s="51"/>
      <c r="X280" s="51"/>
      <c r="Y280" s="51"/>
      <c r="Z280" s="51"/>
      <c r="AA280" s="51"/>
      <c r="AB280" s="51"/>
    </row>
    <row r="281" customFormat="false" ht="15.75" hidden="false" customHeight="false" outlineLevel="0" collapsed="false">
      <c r="A281" s="51"/>
      <c r="B281" s="51"/>
      <c r="C281" s="6"/>
      <c r="D281" s="49"/>
      <c r="E281" s="51"/>
      <c r="F281" s="6"/>
      <c r="G281" s="6"/>
      <c r="H281" s="6"/>
      <c r="I281" s="6"/>
      <c r="J281" s="6"/>
      <c r="K281" s="51"/>
      <c r="L281" s="51"/>
      <c r="M281" s="51"/>
      <c r="N281" s="51"/>
      <c r="O281" s="51"/>
      <c r="P281" s="51"/>
      <c r="Q281" s="51"/>
      <c r="R281" s="51"/>
      <c r="S281" s="51"/>
      <c r="T281" s="51"/>
      <c r="U281" s="51"/>
      <c r="V281" s="51"/>
      <c r="W281" s="51"/>
      <c r="X281" s="51"/>
      <c r="Y281" s="51"/>
      <c r="Z281" s="51"/>
      <c r="AA281" s="51"/>
      <c r="AB281" s="51"/>
    </row>
    <row r="282" customFormat="false" ht="15.75" hidden="false" customHeight="false" outlineLevel="0" collapsed="false">
      <c r="A282" s="51"/>
      <c r="B282" s="51"/>
      <c r="C282" s="6"/>
      <c r="D282" s="49"/>
      <c r="E282" s="51"/>
      <c r="F282" s="6"/>
      <c r="G282" s="6"/>
      <c r="H282" s="6"/>
      <c r="I282" s="6"/>
      <c r="J282" s="6"/>
      <c r="K282" s="51"/>
      <c r="L282" s="51"/>
      <c r="M282" s="51"/>
      <c r="N282" s="51"/>
      <c r="O282" s="51"/>
      <c r="P282" s="51"/>
      <c r="Q282" s="51"/>
      <c r="R282" s="51"/>
      <c r="S282" s="51"/>
      <c r="T282" s="51"/>
      <c r="U282" s="51"/>
      <c r="V282" s="51"/>
      <c r="W282" s="51"/>
      <c r="X282" s="51"/>
      <c r="Y282" s="51"/>
      <c r="Z282" s="51"/>
      <c r="AA282" s="51"/>
      <c r="AB282" s="51"/>
    </row>
    <row r="283" customFormat="false" ht="15.75" hidden="false" customHeight="false" outlineLevel="0" collapsed="false">
      <c r="A283" s="51"/>
      <c r="B283" s="51"/>
      <c r="C283" s="6"/>
      <c r="D283" s="49"/>
      <c r="E283" s="51"/>
      <c r="F283" s="6"/>
      <c r="G283" s="6"/>
      <c r="H283" s="6"/>
      <c r="I283" s="6"/>
      <c r="J283" s="6"/>
      <c r="K283" s="51"/>
      <c r="L283" s="51"/>
      <c r="M283" s="51"/>
      <c r="N283" s="51"/>
      <c r="O283" s="51"/>
      <c r="P283" s="51"/>
      <c r="Q283" s="51"/>
      <c r="R283" s="51"/>
      <c r="S283" s="51"/>
      <c r="T283" s="51"/>
      <c r="U283" s="51"/>
      <c r="V283" s="51"/>
      <c r="W283" s="51"/>
      <c r="X283" s="51"/>
      <c r="Y283" s="51"/>
      <c r="Z283" s="51"/>
      <c r="AA283" s="51"/>
      <c r="AB283" s="51"/>
    </row>
    <row r="284" customFormat="false" ht="15.75" hidden="false" customHeight="false" outlineLevel="0" collapsed="false">
      <c r="A284" s="51"/>
      <c r="B284" s="51"/>
      <c r="C284" s="6"/>
      <c r="D284" s="49"/>
      <c r="E284" s="51"/>
      <c r="F284" s="6"/>
      <c r="G284" s="6"/>
      <c r="H284" s="6"/>
      <c r="I284" s="6"/>
      <c r="J284" s="6"/>
      <c r="K284" s="51"/>
      <c r="L284" s="51"/>
      <c r="M284" s="51"/>
      <c r="N284" s="51"/>
      <c r="O284" s="51"/>
      <c r="P284" s="51"/>
      <c r="Q284" s="51"/>
      <c r="R284" s="51"/>
      <c r="S284" s="51"/>
      <c r="T284" s="51"/>
      <c r="U284" s="51"/>
      <c r="V284" s="51"/>
      <c r="W284" s="51"/>
      <c r="X284" s="51"/>
      <c r="Y284" s="51"/>
      <c r="Z284" s="51"/>
      <c r="AA284" s="51"/>
      <c r="AB284" s="51"/>
    </row>
    <row r="285" customFormat="false" ht="15.75" hidden="false" customHeight="false" outlineLevel="0" collapsed="false">
      <c r="A285" s="51"/>
      <c r="B285" s="51"/>
      <c r="C285" s="6"/>
      <c r="D285" s="49"/>
      <c r="E285" s="51"/>
      <c r="F285" s="6"/>
      <c r="G285" s="6"/>
      <c r="H285" s="6"/>
      <c r="I285" s="6"/>
      <c r="J285" s="6"/>
      <c r="K285" s="51"/>
      <c r="L285" s="51"/>
      <c r="M285" s="51"/>
      <c r="N285" s="51"/>
      <c r="O285" s="51"/>
      <c r="P285" s="51"/>
      <c r="Q285" s="51"/>
      <c r="R285" s="51"/>
      <c r="S285" s="51"/>
      <c r="T285" s="51"/>
      <c r="U285" s="51"/>
      <c r="V285" s="51"/>
      <c r="W285" s="51"/>
      <c r="X285" s="51"/>
      <c r="Y285" s="51"/>
      <c r="Z285" s="51"/>
      <c r="AA285" s="51"/>
      <c r="AB285" s="51"/>
    </row>
    <row r="286" customFormat="false" ht="15.75" hidden="false" customHeight="false" outlineLevel="0" collapsed="false">
      <c r="A286" s="51"/>
      <c r="B286" s="51"/>
      <c r="C286" s="6"/>
      <c r="D286" s="49"/>
      <c r="E286" s="51"/>
      <c r="F286" s="6"/>
      <c r="G286" s="6"/>
      <c r="H286" s="6"/>
      <c r="I286" s="6"/>
      <c r="J286" s="6"/>
      <c r="K286" s="51"/>
      <c r="L286" s="51"/>
      <c r="M286" s="51"/>
      <c r="N286" s="51"/>
      <c r="O286" s="51"/>
      <c r="P286" s="51"/>
      <c r="Q286" s="51"/>
      <c r="R286" s="51"/>
      <c r="S286" s="51"/>
      <c r="T286" s="51"/>
      <c r="U286" s="51"/>
      <c r="V286" s="51"/>
      <c r="W286" s="51"/>
      <c r="X286" s="51"/>
      <c r="Y286" s="51"/>
      <c r="Z286" s="51"/>
      <c r="AA286" s="51"/>
      <c r="AB286" s="51"/>
    </row>
    <row r="287" customFormat="false" ht="15.75" hidden="false" customHeight="false" outlineLevel="0" collapsed="false">
      <c r="A287" s="51"/>
      <c r="B287" s="51"/>
      <c r="C287" s="6"/>
      <c r="D287" s="49"/>
      <c r="E287" s="51"/>
      <c r="F287" s="6"/>
      <c r="G287" s="6"/>
      <c r="H287" s="6"/>
      <c r="I287" s="6"/>
      <c r="J287" s="6"/>
      <c r="K287" s="51"/>
      <c r="L287" s="51"/>
      <c r="M287" s="51"/>
      <c r="N287" s="51"/>
      <c r="O287" s="51"/>
      <c r="P287" s="51"/>
      <c r="Q287" s="51"/>
      <c r="R287" s="51"/>
      <c r="S287" s="51"/>
      <c r="T287" s="51"/>
      <c r="U287" s="51"/>
      <c r="V287" s="51"/>
      <c r="W287" s="51"/>
      <c r="X287" s="51"/>
      <c r="Y287" s="51"/>
      <c r="Z287" s="51"/>
      <c r="AA287" s="51"/>
      <c r="AB287" s="51"/>
    </row>
    <row r="288" customFormat="false" ht="15.75" hidden="false" customHeight="false" outlineLevel="0" collapsed="false">
      <c r="A288" s="51"/>
      <c r="B288" s="51"/>
      <c r="C288" s="6"/>
      <c r="D288" s="49"/>
      <c r="E288" s="51"/>
      <c r="F288" s="6"/>
      <c r="G288" s="6"/>
      <c r="H288" s="6"/>
      <c r="I288" s="6"/>
      <c r="J288" s="6"/>
      <c r="K288" s="51"/>
      <c r="L288" s="51"/>
      <c r="M288" s="51"/>
      <c r="N288" s="51"/>
      <c r="O288" s="51"/>
      <c r="P288" s="51"/>
      <c r="Q288" s="51"/>
      <c r="R288" s="51"/>
      <c r="S288" s="51"/>
      <c r="T288" s="51"/>
      <c r="U288" s="51"/>
      <c r="V288" s="51"/>
      <c r="W288" s="51"/>
      <c r="X288" s="51"/>
      <c r="Y288" s="51"/>
      <c r="Z288" s="51"/>
      <c r="AA288" s="51"/>
      <c r="AB288" s="51"/>
    </row>
    <row r="289" customFormat="false" ht="15.75" hidden="false" customHeight="false" outlineLevel="0" collapsed="false">
      <c r="A289" s="51"/>
      <c r="B289" s="51"/>
      <c r="C289" s="6"/>
      <c r="D289" s="49"/>
      <c r="E289" s="51"/>
      <c r="F289" s="6"/>
      <c r="G289" s="6"/>
      <c r="H289" s="6"/>
      <c r="I289" s="6"/>
      <c r="J289" s="6"/>
      <c r="K289" s="51"/>
      <c r="L289" s="51"/>
      <c r="M289" s="51"/>
      <c r="N289" s="51"/>
      <c r="O289" s="51"/>
      <c r="P289" s="51"/>
      <c r="Q289" s="51"/>
      <c r="R289" s="51"/>
      <c r="S289" s="51"/>
      <c r="T289" s="51"/>
      <c r="U289" s="51"/>
      <c r="V289" s="51"/>
      <c r="W289" s="51"/>
      <c r="X289" s="51"/>
      <c r="Y289" s="51"/>
      <c r="Z289" s="51"/>
      <c r="AA289" s="51"/>
      <c r="AB289" s="51"/>
    </row>
    <row r="290" customFormat="false" ht="15.75" hidden="false" customHeight="false" outlineLevel="0" collapsed="false">
      <c r="A290" s="51"/>
      <c r="B290" s="51"/>
      <c r="C290" s="6"/>
      <c r="D290" s="49"/>
      <c r="E290" s="51"/>
      <c r="F290" s="6"/>
      <c r="G290" s="6"/>
      <c r="H290" s="6"/>
      <c r="I290" s="6"/>
      <c r="J290" s="6"/>
      <c r="K290" s="51"/>
      <c r="L290" s="51"/>
      <c r="M290" s="51"/>
      <c r="N290" s="51"/>
      <c r="O290" s="51"/>
      <c r="P290" s="51"/>
      <c r="Q290" s="51"/>
      <c r="R290" s="51"/>
      <c r="S290" s="51"/>
      <c r="T290" s="51"/>
      <c r="U290" s="51"/>
      <c r="V290" s="51"/>
      <c r="W290" s="51"/>
      <c r="X290" s="51"/>
      <c r="Y290" s="51"/>
      <c r="Z290" s="51"/>
      <c r="AA290" s="51"/>
      <c r="AB290" s="51"/>
    </row>
    <row r="291" customFormat="false" ht="15.75" hidden="false" customHeight="false" outlineLevel="0" collapsed="false">
      <c r="A291" s="51"/>
      <c r="B291" s="51"/>
      <c r="C291" s="6"/>
      <c r="D291" s="49"/>
      <c r="E291" s="51"/>
      <c r="F291" s="6"/>
      <c r="G291" s="6"/>
      <c r="H291" s="6"/>
      <c r="I291" s="6"/>
      <c r="J291" s="6"/>
      <c r="K291" s="51"/>
      <c r="L291" s="51"/>
      <c r="M291" s="51"/>
      <c r="N291" s="51"/>
      <c r="O291" s="51"/>
      <c r="P291" s="51"/>
      <c r="Q291" s="51"/>
      <c r="R291" s="51"/>
      <c r="S291" s="51"/>
      <c r="T291" s="51"/>
      <c r="U291" s="51"/>
      <c r="V291" s="51"/>
      <c r="W291" s="51"/>
      <c r="X291" s="51"/>
      <c r="Y291" s="51"/>
      <c r="Z291" s="51"/>
      <c r="AA291" s="51"/>
      <c r="AB291" s="51"/>
    </row>
    <row r="292" customFormat="false" ht="15.75" hidden="false" customHeight="false" outlineLevel="0" collapsed="false">
      <c r="A292" s="51"/>
      <c r="B292" s="51"/>
      <c r="C292" s="6"/>
      <c r="D292" s="49"/>
      <c r="E292" s="51"/>
      <c r="F292" s="6"/>
      <c r="G292" s="6"/>
      <c r="H292" s="6"/>
      <c r="I292" s="6"/>
      <c r="J292" s="6"/>
      <c r="K292" s="51"/>
      <c r="L292" s="51"/>
      <c r="M292" s="51"/>
      <c r="N292" s="51"/>
      <c r="O292" s="51"/>
      <c r="P292" s="51"/>
      <c r="Q292" s="51"/>
      <c r="R292" s="51"/>
      <c r="S292" s="51"/>
      <c r="T292" s="51"/>
      <c r="U292" s="51"/>
      <c r="V292" s="51"/>
      <c r="W292" s="51"/>
      <c r="X292" s="51"/>
      <c r="Y292" s="51"/>
      <c r="Z292" s="51"/>
      <c r="AA292" s="51"/>
      <c r="AB292" s="51"/>
    </row>
    <row r="293" customFormat="false" ht="15.75" hidden="false" customHeight="false" outlineLevel="0" collapsed="false">
      <c r="A293" s="51"/>
      <c r="B293" s="51"/>
      <c r="C293" s="6"/>
      <c r="D293" s="49"/>
      <c r="E293" s="51"/>
      <c r="F293" s="6"/>
      <c r="G293" s="6"/>
      <c r="H293" s="6"/>
      <c r="I293" s="6"/>
      <c r="J293" s="6"/>
      <c r="K293" s="51"/>
      <c r="L293" s="51"/>
      <c r="M293" s="51"/>
      <c r="N293" s="51"/>
      <c r="O293" s="51"/>
      <c r="P293" s="51"/>
      <c r="Q293" s="51"/>
      <c r="R293" s="51"/>
      <c r="S293" s="51"/>
      <c r="T293" s="51"/>
      <c r="U293" s="51"/>
      <c r="V293" s="51"/>
      <c r="W293" s="51"/>
      <c r="X293" s="51"/>
      <c r="Y293" s="51"/>
      <c r="Z293" s="51"/>
      <c r="AA293" s="51"/>
      <c r="AB293" s="51"/>
    </row>
    <row r="294" customFormat="false" ht="15.75" hidden="false" customHeight="false" outlineLevel="0" collapsed="false">
      <c r="A294" s="51"/>
      <c r="B294" s="51"/>
      <c r="C294" s="6"/>
      <c r="D294" s="49"/>
      <c r="E294" s="51"/>
      <c r="F294" s="6"/>
      <c r="G294" s="6"/>
      <c r="H294" s="6"/>
      <c r="I294" s="6"/>
      <c r="J294" s="6"/>
      <c r="K294" s="51"/>
      <c r="L294" s="51"/>
      <c r="M294" s="51"/>
      <c r="N294" s="51"/>
      <c r="O294" s="51"/>
      <c r="P294" s="51"/>
      <c r="Q294" s="51"/>
      <c r="R294" s="51"/>
      <c r="S294" s="51"/>
      <c r="T294" s="51"/>
      <c r="U294" s="51"/>
      <c r="V294" s="51"/>
      <c r="W294" s="51"/>
      <c r="X294" s="51"/>
      <c r="Y294" s="51"/>
      <c r="Z294" s="51"/>
      <c r="AA294" s="51"/>
      <c r="AB294" s="51"/>
    </row>
    <row r="295" customFormat="false" ht="15.75" hidden="false" customHeight="false" outlineLevel="0" collapsed="false">
      <c r="A295" s="51"/>
      <c r="B295" s="51"/>
      <c r="C295" s="6"/>
      <c r="D295" s="49"/>
      <c r="E295" s="51"/>
      <c r="F295" s="6"/>
      <c r="G295" s="6"/>
      <c r="H295" s="6"/>
      <c r="I295" s="6"/>
      <c r="J295" s="6"/>
      <c r="K295" s="51"/>
      <c r="L295" s="51"/>
      <c r="M295" s="51"/>
      <c r="N295" s="51"/>
      <c r="O295" s="51"/>
      <c r="P295" s="51"/>
      <c r="Q295" s="51"/>
      <c r="R295" s="51"/>
      <c r="S295" s="51"/>
      <c r="T295" s="51"/>
      <c r="U295" s="51"/>
      <c r="V295" s="51"/>
      <c r="W295" s="51"/>
      <c r="X295" s="51"/>
      <c r="Y295" s="51"/>
      <c r="Z295" s="51"/>
      <c r="AA295" s="51"/>
      <c r="AB295" s="51"/>
    </row>
    <row r="296" customFormat="false" ht="15.75" hidden="false" customHeight="false" outlineLevel="0" collapsed="false">
      <c r="A296" s="51"/>
      <c r="B296" s="51"/>
      <c r="C296" s="6"/>
      <c r="D296" s="49"/>
      <c r="E296" s="51"/>
      <c r="F296" s="6"/>
      <c r="G296" s="6"/>
      <c r="H296" s="6"/>
      <c r="I296" s="6"/>
      <c r="J296" s="6"/>
      <c r="K296" s="51"/>
      <c r="L296" s="51"/>
      <c r="M296" s="51"/>
      <c r="N296" s="51"/>
      <c r="O296" s="51"/>
      <c r="P296" s="51"/>
      <c r="Q296" s="51"/>
      <c r="R296" s="51"/>
      <c r="S296" s="51"/>
      <c r="T296" s="51"/>
      <c r="U296" s="51"/>
      <c r="V296" s="51"/>
      <c r="W296" s="51"/>
      <c r="X296" s="51"/>
      <c r="Y296" s="51"/>
      <c r="Z296" s="51"/>
      <c r="AA296" s="51"/>
      <c r="AB296" s="51"/>
    </row>
    <row r="297" customFormat="false" ht="15.75" hidden="false" customHeight="false" outlineLevel="0" collapsed="false">
      <c r="A297" s="51"/>
      <c r="B297" s="51"/>
      <c r="C297" s="6"/>
      <c r="D297" s="49"/>
      <c r="E297" s="51"/>
      <c r="F297" s="6"/>
      <c r="G297" s="6"/>
      <c r="H297" s="6"/>
      <c r="I297" s="6"/>
      <c r="J297" s="6"/>
      <c r="K297" s="51"/>
      <c r="L297" s="51"/>
      <c r="M297" s="51"/>
      <c r="N297" s="51"/>
      <c r="O297" s="51"/>
      <c r="P297" s="51"/>
      <c r="Q297" s="51"/>
      <c r="R297" s="51"/>
      <c r="S297" s="51"/>
      <c r="T297" s="51"/>
      <c r="U297" s="51"/>
      <c r="V297" s="51"/>
      <c r="W297" s="51"/>
      <c r="X297" s="51"/>
      <c r="Y297" s="51"/>
      <c r="Z297" s="51"/>
      <c r="AA297" s="51"/>
      <c r="AB297" s="51"/>
    </row>
    <row r="298" customFormat="false" ht="15.75" hidden="false" customHeight="false" outlineLevel="0" collapsed="false">
      <c r="A298" s="51"/>
      <c r="B298" s="51"/>
      <c r="C298" s="6"/>
      <c r="D298" s="49"/>
      <c r="E298" s="51"/>
      <c r="F298" s="6"/>
      <c r="G298" s="6"/>
      <c r="H298" s="6"/>
      <c r="I298" s="6"/>
      <c r="J298" s="6"/>
      <c r="K298" s="51"/>
      <c r="L298" s="51"/>
      <c r="M298" s="51"/>
      <c r="N298" s="51"/>
      <c r="O298" s="51"/>
      <c r="P298" s="51"/>
      <c r="Q298" s="51"/>
      <c r="R298" s="51"/>
      <c r="S298" s="51"/>
      <c r="T298" s="51"/>
      <c r="U298" s="51"/>
      <c r="V298" s="51"/>
      <c r="W298" s="51"/>
      <c r="X298" s="51"/>
      <c r="Y298" s="51"/>
      <c r="Z298" s="51"/>
      <c r="AA298" s="51"/>
      <c r="AB298" s="51"/>
    </row>
    <row r="299" customFormat="false" ht="15.75" hidden="false" customHeight="false" outlineLevel="0" collapsed="false">
      <c r="A299" s="51"/>
      <c r="B299" s="51"/>
      <c r="C299" s="6"/>
      <c r="D299" s="49"/>
      <c r="E299" s="51"/>
      <c r="F299" s="6"/>
      <c r="G299" s="6"/>
      <c r="H299" s="6"/>
      <c r="I299" s="6"/>
      <c r="J299" s="6"/>
      <c r="K299" s="51"/>
      <c r="L299" s="51"/>
      <c r="M299" s="51"/>
      <c r="N299" s="51"/>
      <c r="O299" s="51"/>
      <c r="P299" s="51"/>
      <c r="Q299" s="51"/>
      <c r="R299" s="51"/>
      <c r="S299" s="51"/>
      <c r="T299" s="51"/>
      <c r="U299" s="51"/>
      <c r="V299" s="51"/>
      <c r="W299" s="51"/>
      <c r="X299" s="51"/>
      <c r="Y299" s="51"/>
      <c r="Z299" s="51"/>
      <c r="AA299" s="51"/>
      <c r="AB299" s="51"/>
    </row>
    <row r="300" customFormat="false" ht="15.75" hidden="false" customHeight="false" outlineLevel="0" collapsed="false">
      <c r="A300" s="51"/>
      <c r="B300" s="51"/>
      <c r="C300" s="6"/>
      <c r="D300" s="49"/>
      <c r="E300" s="51"/>
      <c r="F300" s="6"/>
      <c r="G300" s="6"/>
      <c r="H300" s="6"/>
      <c r="I300" s="6"/>
      <c r="J300" s="6"/>
      <c r="K300" s="51"/>
      <c r="L300" s="51"/>
      <c r="M300" s="51"/>
      <c r="N300" s="51"/>
      <c r="O300" s="51"/>
      <c r="P300" s="51"/>
      <c r="Q300" s="51"/>
      <c r="R300" s="51"/>
      <c r="S300" s="51"/>
      <c r="T300" s="51"/>
      <c r="U300" s="51"/>
      <c r="V300" s="51"/>
      <c r="W300" s="51"/>
      <c r="X300" s="51"/>
      <c r="Y300" s="51"/>
      <c r="Z300" s="51"/>
      <c r="AA300" s="51"/>
      <c r="AB300" s="51"/>
    </row>
    <row r="301" customFormat="false" ht="15.75" hidden="false" customHeight="false" outlineLevel="0" collapsed="false">
      <c r="A301" s="51"/>
      <c r="B301" s="51"/>
      <c r="C301" s="6"/>
      <c r="D301" s="49"/>
      <c r="E301" s="51"/>
      <c r="F301" s="6"/>
      <c r="G301" s="6"/>
      <c r="H301" s="6"/>
      <c r="I301" s="6"/>
      <c r="J301" s="6"/>
      <c r="K301" s="51"/>
      <c r="L301" s="51"/>
      <c r="M301" s="51"/>
      <c r="N301" s="51"/>
      <c r="O301" s="51"/>
      <c r="P301" s="51"/>
      <c r="Q301" s="51"/>
      <c r="R301" s="51"/>
      <c r="S301" s="51"/>
      <c r="T301" s="51"/>
      <c r="U301" s="51"/>
      <c r="V301" s="51"/>
      <c r="W301" s="51"/>
      <c r="X301" s="51"/>
      <c r="Y301" s="51"/>
      <c r="Z301" s="51"/>
      <c r="AA301" s="51"/>
      <c r="AB301" s="51"/>
    </row>
    <row r="302" customFormat="false" ht="15.75" hidden="false" customHeight="false" outlineLevel="0" collapsed="false">
      <c r="A302" s="51"/>
      <c r="B302" s="51"/>
      <c r="C302" s="6"/>
      <c r="D302" s="49"/>
      <c r="E302" s="51"/>
      <c r="F302" s="6"/>
      <c r="G302" s="6"/>
      <c r="H302" s="6"/>
      <c r="I302" s="6"/>
      <c r="J302" s="6"/>
      <c r="K302" s="51"/>
      <c r="L302" s="51"/>
      <c r="M302" s="51"/>
      <c r="N302" s="51"/>
      <c r="O302" s="51"/>
      <c r="P302" s="51"/>
      <c r="Q302" s="51"/>
      <c r="R302" s="51"/>
      <c r="S302" s="51"/>
      <c r="T302" s="51"/>
      <c r="U302" s="51"/>
      <c r="V302" s="51"/>
      <c r="W302" s="51"/>
      <c r="X302" s="51"/>
      <c r="Y302" s="51"/>
      <c r="Z302" s="51"/>
      <c r="AA302" s="51"/>
      <c r="AB302" s="51"/>
    </row>
    <row r="303" customFormat="false" ht="15.75" hidden="false" customHeight="false" outlineLevel="0" collapsed="false">
      <c r="A303" s="51"/>
      <c r="B303" s="51"/>
      <c r="C303" s="6"/>
      <c r="D303" s="49"/>
      <c r="E303" s="51"/>
      <c r="F303" s="6"/>
      <c r="G303" s="6"/>
      <c r="H303" s="6"/>
      <c r="I303" s="6"/>
      <c r="J303" s="6"/>
      <c r="K303" s="51"/>
      <c r="L303" s="51"/>
      <c r="M303" s="51"/>
      <c r="N303" s="51"/>
      <c r="O303" s="51"/>
      <c r="P303" s="51"/>
      <c r="Q303" s="51"/>
      <c r="R303" s="51"/>
      <c r="S303" s="51"/>
      <c r="T303" s="51"/>
      <c r="U303" s="51"/>
      <c r="V303" s="51"/>
      <c r="W303" s="51"/>
      <c r="X303" s="51"/>
      <c r="Y303" s="51"/>
      <c r="Z303" s="51"/>
      <c r="AA303" s="51"/>
      <c r="AB303" s="51"/>
    </row>
    <row r="304" customFormat="false" ht="15.75" hidden="false" customHeight="false" outlineLevel="0" collapsed="false">
      <c r="A304" s="51"/>
      <c r="B304" s="51"/>
      <c r="C304" s="6"/>
      <c r="D304" s="49"/>
      <c r="E304" s="51"/>
      <c r="F304" s="6"/>
      <c r="G304" s="6"/>
      <c r="H304" s="6"/>
      <c r="I304" s="6"/>
      <c r="J304" s="6"/>
      <c r="K304" s="51"/>
      <c r="L304" s="51"/>
      <c r="M304" s="51"/>
      <c r="N304" s="51"/>
      <c r="O304" s="51"/>
      <c r="P304" s="51"/>
      <c r="Q304" s="51"/>
      <c r="R304" s="51"/>
      <c r="S304" s="51"/>
      <c r="T304" s="51"/>
      <c r="U304" s="51"/>
      <c r="V304" s="51"/>
      <c r="W304" s="51"/>
      <c r="X304" s="51"/>
      <c r="Y304" s="51"/>
      <c r="Z304" s="51"/>
      <c r="AA304" s="51"/>
      <c r="AB304" s="51"/>
    </row>
    <row r="305" customFormat="false" ht="15.75" hidden="false" customHeight="false" outlineLevel="0" collapsed="false">
      <c r="A305" s="51"/>
      <c r="B305" s="51"/>
      <c r="C305" s="6"/>
      <c r="D305" s="49"/>
      <c r="E305" s="51"/>
      <c r="F305" s="6"/>
      <c r="G305" s="6"/>
      <c r="H305" s="6"/>
      <c r="I305" s="6"/>
      <c r="J305" s="6"/>
      <c r="K305" s="51"/>
      <c r="L305" s="51"/>
      <c r="M305" s="51"/>
      <c r="N305" s="51"/>
      <c r="O305" s="51"/>
      <c r="P305" s="51"/>
      <c r="Q305" s="51"/>
      <c r="R305" s="51"/>
      <c r="S305" s="51"/>
      <c r="T305" s="51"/>
      <c r="U305" s="51"/>
      <c r="V305" s="51"/>
      <c r="W305" s="51"/>
      <c r="X305" s="51"/>
      <c r="Y305" s="51"/>
      <c r="Z305" s="51"/>
      <c r="AA305" s="51"/>
      <c r="AB305" s="51"/>
    </row>
    <row r="306" customFormat="false" ht="15.75" hidden="false" customHeight="false" outlineLevel="0" collapsed="false">
      <c r="A306" s="51"/>
      <c r="B306" s="51"/>
      <c r="C306" s="6"/>
      <c r="D306" s="49"/>
      <c r="E306" s="51"/>
      <c r="F306" s="6"/>
      <c r="G306" s="6"/>
      <c r="H306" s="6"/>
      <c r="I306" s="6"/>
      <c r="J306" s="6"/>
      <c r="K306" s="51"/>
      <c r="L306" s="51"/>
      <c r="M306" s="51"/>
      <c r="N306" s="51"/>
      <c r="O306" s="51"/>
      <c r="P306" s="51"/>
      <c r="Q306" s="51"/>
      <c r="R306" s="51"/>
      <c r="S306" s="51"/>
      <c r="T306" s="51"/>
      <c r="U306" s="51"/>
      <c r="V306" s="51"/>
      <c r="W306" s="51"/>
      <c r="X306" s="51"/>
      <c r="Y306" s="51"/>
      <c r="Z306" s="51"/>
      <c r="AA306" s="51"/>
      <c r="AB306" s="51"/>
    </row>
    <row r="307" customFormat="false" ht="15.75" hidden="false" customHeight="false" outlineLevel="0" collapsed="false">
      <c r="A307" s="51"/>
      <c r="B307" s="51"/>
      <c r="C307" s="6"/>
      <c r="D307" s="49"/>
      <c r="E307" s="51"/>
      <c r="F307" s="6"/>
      <c r="G307" s="6"/>
      <c r="H307" s="6"/>
      <c r="I307" s="6"/>
      <c r="J307" s="6"/>
      <c r="K307" s="51"/>
      <c r="L307" s="51"/>
      <c r="M307" s="51"/>
      <c r="N307" s="51"/>
      <c r="O307" s="51"/>
      <c r="P307" s="51"/>
      <c r="Q307" s="51"/>
      <c r="R307" s="51"/>
      <c r="S307" s="51"/>
      <c r="T307" s="51"/>
      <c r="U307" s="51"/>
      <c r="V307" s="51"/>
      <c r="W307" s="51"/>
      <c r="X307" s="51"/>
      <c r="Y307" s="51"/>
      <c r="Z307" s="51"/>
      <c r="AA307" s="51"/>
      <c r="AB307" s="51"/>
    </row>
    <row r="308" customFormat="false" ht="15.75" hidden="false" customHeight="false" outlineLevel="0" collapsed="false">
      <c r="A308" s="51"/>
      <c r="B308" s="51"/>
      <c r="C308" s="6"/>
      <c r="D308" s="49"/>
      <c r="E308" s="51"/>
      <c r="F308" s="6"/>
      <c r="G308" s="6"/>
      <c r="H308" s="6"/>
      <c r="I308" s="6"/>
      <c r="J308" s="6"/>
      <c r="K308" s="51"/>
      <c r="L308" s="51"/>
      <c r="M308" s="51"/>
      <c r="N308" s="51"/>
      <c r="O308" s="51"/>
      <c r="P308" s="51"/>
      <c r="Q308" s="51"/>
      <c r="R308" s="51"/>
      <c r="S308" s="51"/>
      <c r="T308" s="51"/>
      <c r="U308" s="51"/>
      <c r="V308" s="51"/>
      <c r="W308" s="51"/>
      <c r="X308" s="51"/>
      <c r="Y308" s="51"/>
      <c r="Z308" s="51"/>
      <c r="AA308" s="51"/>
      <c r="AB308" s="51"/>
    </row>
    <row r="309" customFormat="false" ht="15.75" hidden="false" customHeight="false" outlineLevel="0" collapsed="false">
      <c r="A309" s="51"/>
      <c r="B309" s="51"/>
      <c r="C309" s="6"/>
      <c r="D309" s="49"/>
      <c r="E309" s="51"/>
      <c r="F309" s="6"/>
      <c r="G309" s="6"/>
      <c r="H309" s="6"/>
      <c r="I309" s="6"/>
      <c r="J309" s="6"/>
      <c r="K309" s="51"/>
      <c r="L309" s="51"/>
      <c r="M309" s="51"/>
      <c r="N309" s="51"/>
      <c r="O309" s="51"/>
      <c r="P309" s="51"/>
      <c r="Q309" s="51"/>
      <c r="R309" s="51"/>
      <c r="S309" s="51"/>
      <c r="T309" s="51"/>
      <c r="U309" s="51"/>
      <c r="V309" s="51"/>
      <c r="W309" s="51"/>
      <c r="X309" s="51"/>
      <c r="Y309" s="51"/>
      <c r="Z309" s="51"/>
      <c r="AA309" s="51"/>
      <c r="AB309" s="51"/>
    </row>
    <row r="310" customFormat="false" ht="15.75" hidden="false" customHeight="false" outlineLevel="0" collapsed="false">
      <c r="A310" s="51"/>
      <c r="B310" s="51"/>
      <c r="C310" s="6"/>
      <c r="D310" s="49"/>
      <c r="E310" s="51"/>
      <c r="F310" s="6"/>
      <c r="G310" s="6"/>
      <c r="H310" s="6"/>
      <c r="I310" s="6"/>
      <c r="J310" s="6"/>
      <c r="K310" s="51"/>
      <c r="L310" s="51"/>
      <c r="M310" s="51"/>
      <c r="N310" s="51"/>
      <c r="O310" s="51"/>
      <c r="P310" s="51"/>
      <c r="Q310" s="51"/>
      <c r="R310" s="51"/>
      <c r="S310" s="51"/>
      <c r="T310" s="51"/>
      <c r="U310" s="51"/>
      <c r="V310" s="51"/>
      <c r="W310" s="51"/>
      <c r="X310" s="51"/>
      <c r="Y310" s="51"/>
      <c r="Z310" s="51"/>
      <c r="AA310" s="51"/>
      <c r="AB310" s="51"/>
    </row>
    <row r="311" customFormat="false" ht="15.75" hidden="false" customHeight="false" outlineLevel="0" collapsed="false">
      <c r="A311" s="51"/>
      <c r="B311" s="51"/>
      <c r="C311" s="6"/>
      <c r="D311" s="49"/>
      <c r="E311" s="51"/>
      <c r="F311" s="6"/>
      <c r="G311" s="6"/>
      <c r="H311" s="6"/>
      <c r="I311" s="6"/>
      <c r="J311" s="6"/>
      <c r="K311" s="51"/>
      <c r="L311" s="51"/>
      <c r="M311" s="51"/>
      <c r="N311" s="51"/>
      <c r="O311" s="51"/>
      <c r="P311" s="51"/>
      <c r="Q311" s="51"/>
      <c r="R311" s="51"/>
      <c r="S311" s="51"/>
      <c r="T311" s="51"/>
      <c r="U311" s="51"/>
      <c r="V311" s="51"/>
      <c r="W311" s="51"/>
      <c r="X311" s="51"/>
      <c r="Y311" s="51"/>
      <c r="Z311" s="51"/>
      <c r="AA311" s="51"/>
      <c r="AB311" s="51"/>
    </row>
    <row r="312" customFormat="false" ht="15.75" hidden="false" customHeight="false" outlineLevel="0" collapsed="false">
      <c r="A312" s="51"/>
      <c r="B312" s="51"/>
      <c r="C312" s="6"/>
      <c r="D312" s="49"/>
      <c r="E312" s="51"/>
      <c r="F312" s="6"/>
      <c r="G312" s="6"/>
      <c r="H312" s="6"/>
      <c r="I312" s="6"/>
      <c r="J312" s="6"/>
      <c r="K312" s="51"/>
      <c r="L312" s="51"/>
      <c r="M312" s="51"/>
      <c r="N312" s="51"/>
      <c r="O312" s="51"/>
      <c r="P312" s="51"/>
      <c r="Q312" s="51"/>
      <c r="R312" s="51"/>
      <c r="S312" s="51"/>
      <c r="T312" s="51"/>
      <c r="U312" s="51"/>
      <c r="V312" s="51"/>
      <c r="W312" s="51"/>
      <c r="X312" s="51"/>
      <c r="Y312" s="51"/>
      <c r="Z312" s="51"/>
      <c r="AA312" s="51"/>
      <c r="AB312" s="51"/>
    </row>
    <row r="313" customFormat="false" ht="15.75" hidden="false" customHeight="false" outlineLevel="0" collapsed="false">
      <c r="A313" s="51"/>
      <c r="B313" s="51"/>
      <c r="C313" s="6"/>
      <c r="D313" s="49"/>
      <c r="E313" s="51"/>
      <c r="F313" s="6"/>
      <c r="G313" s="6"/>
      <c r="H313" s="6"/>
      <c r="I313" s="6"/>
      <c r="J313" s="6"/>
      <c r="K313" s="51"/>
      <c r="L313" s="51"/>
      <c r="M313" s="51"/>
      <c r="N313" s="51"/>
      <c r="O313" s="51"/>
      <c r="P313" s="51"/>
      <c r="Q313" s="51"/>
      <c r="R313" s="51"/>
      <c r="S313" s="51"/>
      <c r="T313" s="51"/>
      <c r="U313" s="51"/>
      <c r="V313" s="51"/>
      <c r="W313" s="51"/>
      <c r="X313" s="51"/>
      <c r="Y313" s="51"/>
      <c r="Z313" s="51"/>
      <c r="AA313" s="51"/>
      <c r="AB313" s="51"/>
    </row>
    <row r="314" customFormat="false" ht="15.75" hidden="false" customHeight="false" outlineLevel="0" collapsed="false">
      <c r="A314" s="51"/>
      <c r="B314" s="51"/>
      <c r="C314" s="6"/>
      <c r="D314" s="49"/>
      <c r="E314" s="51"/>
      <c r="F314" s="6"/>
      <c r="G314" s="6"/>
      <c r="H314" s="6"/>
      <c r="I314" s="6"/>
      <c r="J314" s="6"/>
      <c r="K314" s="51"/>
      <c r="L314" s="51"/>
      <c r="M314" s="51"/>
      <c r="N314" s="51"/>
      <c r="O314" s="51"/>
      <c r="P314" s="51"/>
      <c r="Q314" s="51"/>
      <c r="R314" s="51"/>
      <c r="S314" s="51"/>
      <c r="T314" s="51"/>
      <c r="U314" s="51"/>
      <c r="V314" s="51"/>
      <c r="W314" s="51"/>
      <c r="X314" s="51"/>
      <c r="Y314" s="51"/>
      <c r="Z314" s="51"/>
      <c r="AA314" s="51"/>
      <c r="AB314" s="51"/>
    </row>
    <row r="315" customFormat="false" ht="15.75" hidden="false" customHeight="false" outlineLevel="0" collapsed="false">
      <c r="A315" s="51"/>
      <c r="B315" s="51"/>
      <c r="C315" s="6"/>
      <c r="D315" s="49"/>
      <c r="E315" s="51"/>
      <c r="F315" s="6"/>
      <c r="G315" s="6"/>
      <c r="H315" s="6"/>
      <c r="I315" s="6"/>
      <c r="J315" s="6"/>
      <c r="K315" s="51"/>
      <c r="L315" s="51"/>
      <c r="M315" s="51"/>
      <c r="N315" s="51"/>
      <c r="O315" s="51"/>
      <c r="P315" s="51"/>
      <c r="Q315" s="51"/>
      <c r="R315" s="51"/>
      <c r="S315" s="51"/>
      <c r="T315" s="51"/>
      <c r="U315" s="51"/>
      <c r="V315" s="51"/>
      <c r="W315" s="51"/>
      <c r="X315" s="51"/>
      <c r="Y315" s="51"/>
      <c r="Z315" s="51"/>
      <c r="AA315" s="51"/>
      <c r="AB315" s="51"/>
    </row>
    <row r="316" customFormat="false" ht="15.75" hidden="false" customHeight="false" outlineLevel="0" collapsed="false">
      <c r="A316" s="51"/>
      <c r="B316" s="51"/>
      <c r="C316" s="6"/>
      <c r="D316" s="49"/>
      <c r="E316" s="51"/>
      <c r="F316" s="6"/>
      <c r="G316" s="6"/>
      <c r="H316" s="6"/>
      <c r="I316" s="6"/>
      <c r="J316" s="6"/>
      <c r="K316" s="51"/>
      <c r="L316" s="51"/>
      <c r="M316" s="51"/>
      <c r="N316" s="51"/>
      <c r="O316" s="51"/>
      <c r="P316" s="51"/>
      <c r="Q316" s="51"/>
      <c r="R316" s="51"/>
      <c r="S316" s="51"/>
      <c r="T316" s="51"/>
      <c r="U316" s="51"/>
      <c r="V316" s="51"/>
      <c r="W316" s="51"/>
      <c r="X316" s="51"/>
      <c r="Y316" s="51"/>
      <c r="Z316" s="51"/>
      <c r="AA316" s="51"/>
      <c r="AB316" s="51"/>
    </row>
    <row r="317" customFormat="false" ht="15.75" hidden="false" customHeight="false" outlineLevel="0" collapsed="false">
      <c r="A317" s="51"/>
      <c r="B317" s="51"/>
      <c r="C317" s="6"/>
      <c r="D317" s="49"/>
      <c r="E317" s="51"/>
      <c r="F317" s="6"/>
      <c r="G317" s="6"/>
      <c r="H317" s="6"/>
      <c r="I317" s="6"/>
      <c r="J317" s="6"/>
      <c r="K317" s="51"/>
      <c r="L317" s="51"/>
      <c r="M317" s="51"/>
      <c r="N317" s="51"/>
      <c r="O317" s="51"/>
      <c r="P317" s="51"/>
      <c r="Q317" s="51"/>
      <c r="R317" s="51"/>
      <c r="S317" s="51"/>
      <c r="T317" s="51"/>
      <c r="U317" s="51"/>
      <c r="V317" s="51"/>
      <c r="W317" s="51"/>
      <c r="X317" s="51"/>
      <c r="Y317" s="51"/>
      <c r="Z317" s="51"/>
      <c r="AA317" s="51"/>
      <c r="AB317" s="51"/>
    </row>
    <row r="318" customFormat="false" ht="15.75" hidden="false" customHeight="false" outlineLevel="0" collapsed="false">
      <c r="A318" s="51"/>
      <c r="B318" s="51"/>
      <c r="C318" s="6"/>
      <c r="D318" s="49"/>
      <c r="E318" s="51"/>
      <c r="F318" s="6"/>
      <c r="G318" s="6"/>
      <c r="H318" s="6"/>
      <c r="I318" s="6"/>
      <c r="J318" s="6"/>
      <c r="K318" s="51"/>
      <c r="L318" s="51"/>
      <c r="M318" s="51"/>
      <c r="N318" s="51"/>
      <c r="O318" s="51"/>
      <c r="P318" s="51"/>
      <c r="Q318" s="51"/>
      <c r="R318" s="51"/>
      <c r="S318" s="51"/>
      <c r="T318" s="51"/>
      <c r="U318" s="51"/>
      <c r="V318" s="51"/>
      <c r="W318" s="51"/>
      <c r="X318" s="51"/>
      <c r="Y318" s="51"/>
      <c r="Z318" s="51"/>
      <c r="AA318" s="51"/>
      <c r="AB318" s="51"/>
    </row>
    <row r="319" customFormat="false" ht="15.75" hidden="false" customHeight="false" outlineLevel="0" collapsed="false">
      <c r="A319" s="51"/>
      <c r="B319" s="51"/>
      <c r="C319" s="6"/>
      <c r="D319" s="49"/>
      <c r="E319" s="51"/>
      <c r="F319" s="6"/>
      <c r="G319" s="6"/>
      <c r="H319" s="6"/>
      <c r="I319" s="6"/>
      <c r="J319" s="6"/>
      <c r="K319" s="51"/>
      <c r="L319" s="51"/>
      <c r="M319" s="51"/>
      <c r="N319" s="51"/>
      <c r="O319" s="51"/>
      <c r="P319" s="51"/>
      <c r="Q319" s="51"/>
      <c r="R319" s="51"/>
      <c r="S319" s="51"/>
      <c r="T319" s="51"/>
      <c r="U319" s="51"/>
      <c r="V319" s="51"/>
      <c r="W319" s="51"/>
      <c r="X319" s="51"/>
      <c r="Y319" s="51"/>
      <c r="Z319" s="51"/>
      <c r="AA319" s="51"/>
      <c r="AB319" s="51"/>
    </row>
    <row r="320" customFormat="false" ht="15.75" hidden="false" customHeight="false" outlineLevel="0" collapsed="false">
      <c r="A320" s="51"/>
      <c r="B320" s="51"/>
      <c r="C320" s="6"/>
      <c r="D320" s="49"/>
      <c r="E320" s="51"/>
      <c r="F320" s="6"/>
      <c r="G320" s="6"/>
      <c r="H320" s="6"/>
      <c r="I320" s="6"/>
      <c r="J320" s="6"/>
      <c r="K320" s="51"/>
      <c r="L320" s="51"/>
      <c r="M320" s="51"/>
      <c r="N320" s="51"/>
      <c r="O320" s="51"/>
      <c r="P320" s="51"/>
      <c r="Q320" s="51"/>
      <c r="R320" s="51"/>
      <c r="S320" s="51"/>
      <c r="T320" s="51"/>
      <c r="U320" s="51"/>
      <c r="V320" s="51"/>
      <c r="W320" s="51"/>
      <c r="X320" s="51"/>
      <c r="Y320" s="51"/>
      <c r="Z320" s="51"/>
      <c r="AA320" s="51"/>
      <c r="AB320" s="51"/>
    </row>
    <row r="321" customFormat="false" ht="15.75" hidden="false" customHeight="false" outlineLevel="0" collapsed="false">
      <c r="A321" s="51"/>
      <c r="B321" s="51"/>
      <c r="C321" s="6"/>
      <c r="D321" s="49"/>
      <c r="E321" s="51"/>
      <c r="F321" s="6"/>
      <c r="G321" s="6"/>
      <c r="H321" s="6"/>
      <c r="I321" s="6"/>
      <c r="J321" s="6"/>
      <c r="K321" s="51"/>
      <c r="L321" s="51"/>
      <c r="M321" s="51"/>
      <c r="N321" s="51"/>
      <c r="O321" s="51"/>
      <c r="P321" s="51"/>
      <c r="Q321" s="51"/>
      <c r="R321" s="51"/>
      <c r="S321" s="51"/>
      <c r="T321" s="51"/>
      <c r="U321" s="51"/>
      <c r="V321" s="51"/>
      <c r="W321" s="51"/>
      <c r="X321" s="51"/>
      <c r="Y321" s="51"/>
      <c r="Z321" s="51"/>
      <c r="AA321" s="51"/>
      <c r="AB321" s="51"/>
    </row>
    <row r="322" customFormat="false" ht="15.75" hidden="false" customHeight="false" outlineLevel="0" collapsed="false">
      <c r="A322" s="51"/>
      <c r="B322" s="51"/>
      <c r="C322" s="6"/>
      <c r="D322" s="49"/>
      <c r="E322" s="51"/>
      <c r="F322" s="6"/>
      <c r="G322" s="6"/>
      <c r="H322" s="6"/>
      <c r="I322" s="6"/>
      <c r="J322" s="6"/>
      <c r="K322" s="51"/>
      <c r="L322" s="51"/>
      <c r="M322" s="51"/>
      <c r="N322" s="51"/>
      <c r="O322" s="51"/>
      <c r="P322" s="51"/>
      <c r="Q322" s="51"/>
      <c r="R322" s="51"/>
      <c r="S322" s="51"/>
      <c r="T322" s="51"/>
      <c r="U322" s="51"/>
      <c r="V322" s="51"/>
      <c r="W322" s="51"/>
      <c r="X322" s="51"/>
      <c r="Y322" s="51"/>
      <c r="Z322" s="51"/>
      <c r="AA322" s="51"/>
      <c r="AB322" s="51"/>
    </row>
    <row r="323" customFormat="false" ht="15.75" hidden="false" customHeight="false" outlineLevel="0" collapsed="false">
      <c r="A323" s="51"/>
      <c r="B323" s="51"/>
      <c r="C323" s="6"/>
      <c r="D323" s="49"/>
      <c r="E323" s="51"/>
      <c r="F323" s="6"/>
      <c r="G323" s="6"/>
      <c r="H323" s="6"/>
      <c r="I323" s="6"/>
      <c r="J323" s="6"/>
      <c r="K323" s="51"/>
      <c r="L323" s="51"/>
      <c r="M323" s="51"/>
      <c r="N323" s="51"/>
      <c r="O323" s="51"/>
      <c r="P323" s="51"/>
      <c r="Q323" s="51"/>
      <c r="R323" s="51"/>
      <c r="S323" s="51"/>
      <c r="T323" s="51"/>
      <c r="U323" s="51"/>
      <c r="V323" s="51"/>
      <c r="W323" s="51"/>
      <c r="X323" s="51"/>
      <c r="Y323" s="51"/>
      <c r="Z323" s="51"/>
      <c r="AA323" s="51"/>
      <c r="AB323" s="51"/>
    </row>
    <row r="324" customFormat="false" ht="15.75" hidden="false" customHeight="false" outlineLevel="0" collapsed="false">
      <c r="A324" s="51"/>
      <c r="B324" s="51"/>
      <c r="C324" s="6"/>
      <c r="D324" s="49"/>
      <c r="E324" s="51"/>
      <c r="F324" s="6"/>
      <c r="G324" s="6"/>
      <c r="H324" s="6"/>
      <c r="I324" s="6"/>
      <c r="J324" s="6"/>
      <c r="K324" s="51"/>
      <c r="L324" s="51"/>
      <c r="M324" s="51"/>
      <c r="N324" s="51"/>
      <c r="O324" s="51"/>
      <c r="P324" s="51"/>
      <c r="Q324" s="51"/>
      <c r="R324" s="51"/>
      <c r="S324" s="51"/>
      <c r="T324" s="51"/>
      <c r="U324" s="51"/>
      <c r="V324" s="51"/>
      <c r="W324" s="51"/>
      <c r="X324" s="51"/>
      <c r="Y324" s="51"/>
      <c r="Z324" s="51"/>
      <c r="AA324" s="51"/>
      <c r="AB324" s="51"/>
    </row>
    <row r="325" customFormat="false" ht="15.75" hidden="false" customHeight="false" outlineLevel="0" collapsed="false">
      <c r="A325" s="51"/>
      <c r="B325" s="51"/>
      <c r="C325" s="6"/>
      <c r="D325" s="49"/>
      <c r="E325" s="51"/>
      <c r="F325" s="6"/>
      <c r="G325" s="6"/>
      <c r="H325" s="6"/>
      <c r="I325" s="6"/>
      <c r="J325" s="6"/>
      <c r="K325" s="51"/>
      <c r="L325" s="51"/>
      <c r="M325" s="51"/>
      <c r="N325" s="51"/>
      <c r="O325" s="51"/>
      <c r="P325" s="51"/>
      <c r="Q325" s="51"/>
      <c r="R325" s="51"/>
      <c r="S325" s="51"/>
      <c r="T325" s="51"/>
      <c r="U325" s="51"/>
      <c r="V325" s="51"/>
      <c r="W325" s="51"/>
      <c r="X325" s="51"/>
      <c r="Y325" s="51"/>
      <c r="Z325" s="51"/>
      <c r="AA325" s="51"/>
      <c r="AB325" s="51"/>
    </row>
    <row r="326" customFormat="false" ht="15.75" hidden="false" customHeight="false" outlineLevel="0" collapsed="false">
      <c r="A326" s="51"/>
      <c r="B326" s="51"/>
      <c r="C326" s="6"/>
      <c r="D326" s="49"/>
      <c r="E326" s="51"/>
      <c r="F326" s="6"/>
      <c r="G326" s="6"/>
      <c r="H326" s="6"/>
      <c r="I326" s="6"/>
      <c r="J326" s="6"/>
      <c r="K326" s="51"/>
      <c r="L326" s="51"/>
      <c r="M326" s="51"/>
      <c r="N326" s="51"/>
      <c r="O326" s="51"/>
      <c r="P326" s="51"/>
      <c r="Q326" s="51"/>
      <c r="R326" s="51"/>
      <c r="S326" s="51"/>
      <c r="T326" s="51"/>
      <c r="U326" s="51"/>
      <c r="V326" s="51"/>
      <c r="W326" s="51"/>
      <c r="X326" s="51"/>
      <c r="Y326" s="51"/>
      <c r="Z326" s="51"/>
      <c r="AA326" s="51"/>
      <c r="AB326" s="51"/>
    </row>
    <row r="327" customFormat="false" ht="15.75" hidden="false" customHeight="false" outlineLevel="0" collapsed="false">
      <c r="A327" s="51"/>
      <c r="B327" s="51"/>
      <c r="C327" s="6"/>
      <c r="D327" s="49"/>
      <c r="E327" s="51"/>
      <c r="F327" s="6"/>
      <c r="G327" s="6"/>
      <c r="H327" s="6"/>
      <c r="I327" s="6"/>
      <c r="J327" s="6"/>
      <c r="K327" s="51"/>
      <c r="L327" s="51"/>
      <c r="M327" s="51"/>
      <c r="N327" s="51"/>
      <c r="O327" s="51"/>
      <c r="P327" s="51"/>
      <c r="Q327" s="51"/>
      <c r="R327" s="51"/>
      <c r="S327" s="51"/>
      <c r="T327" s="51"/>
      <c r="U327" s="51"/>
      <c r="V327" s="51"/>
      <c r="W327" s="51"/>
      <c r="X327" s="51"/>
      <c r="Y327" s="51"/>
      <c r="Z327" s="51"/>
      <c r="AA327" s="51"/>
      <c r="AB327" s="51"/>
    </row>
    <row r="328" customFormat="false" ht="15.75" hidden="false" customHeight="false" outlineLevel="0" collapsed="false">
      <c r="A328" s="51"/>
      <c r="B328" s="51"/>
      <c r="C328" s="6"/>
      <c r="D328" s="49"/>
      <c r="E328" s="51"/>
      <c r="F328" s="6"/>
      <c r="G328" s="6"/>
      <c r="H328" s="6"/>
      <c r="I328" s="6"/>
      <c r="J328" s="6"/>
      <c r="K328" s="51"/>
      <c r="L328" s="51"/>
      <c r="M328" s="51"/>
      <c r="N328" s="51"/>
      <c r="O328" s="51"/>
      <c r="P328" s="51"/>
      <c r="Q328" s="51"/>
      <c r="R328" s="51"/>
      <c r="S328" s="51"/>
      <c r="T328" s="51"/>
      <c r="U328" s="51"/>
      <c r="V328" s="51"/>
      <c r="W328" s="51"/>
      <c r="X328" s="51"/>
      <c r="Y328" s="51"/>
      <c r="Z328" s="51"/>
      <c r="AA328" s="51"/>
      <c r="AB328" s="51"/>
    </row>
    <row r="329" customFormat="false" ht="15.75" hidden="false" customHeight="false" outlineLevel="0" collapsed="false">
      <c r="A329" s="51"/>
      <c r="B329" s="51"/>
      <c r="C329" s="6"/>
      <c r="D329" s="49"/>
      <c r="E329" s="51"/>
      <c r="F329" s="6"/>
      <c r="G329" s="6"/>
      <c r="H329" s="6"/>
      <c r="I329" s="6"/>
      <c r="J329" s="6"/>
      <c r="K329" s="51"/>
      <c r="L329" s="51"/>
      <c r="M329" s="51"/>
      <c r="N329" s="51"/>
      <c r="O329" s="51"/>
      <c r="P329" s="51"/>
      <c r="Q329" s="51"/>
      <c r="R329" s="51"/>
      <c r="S329" s="51"/>
      <c r="T329" s="51"/>
      <c r="U329" s="51"/>
      <c r="V329" s="51"/>
      <c r="W329" s="51"/>
      <c r="X329" s="51"/>
      <c r="Y329" s="51"/>
      <c r="Z329" s="51"/>
      <c r="AA329" s="51"/>
      <c r="AB329" s="51"/>
    </row>
    <row r="330" customFormat="false" ht="15.75" hidden="false" customHeight="false" outlineLevel="0" collapsed="false">
      <c r="A330" s="51"/>
      <c r="B330" s="51"/>
      <c r="C330" s="6"/>
      <c r="D330" s="49"/>
      <c r="E330" s="51"/>
      <c r="F330" s="6"/>
      <c r="G330" s="6"/>
      <c r="H330" s="6"/>
      <c r="I330" s="6"/>
      <c r="J330" s="6"/>
      <c r="K330" s="51"/>
      <c r="L330" s="51"/>
      <c r="M330" s="51"/>
      <c r="N330" s="51"/>
      <c r="O330" s="51"/>
      <c r="P330" s="51"/>
      <c r="Q330" s="51"/>
      <c r="R330" s="51"/>
      <c r="S330" s="51"/>
      <c r="T330" s="51"/>
      <c r="U330" s="51"/>
      <c r="V330" s="51"/>
      <c r="W330" s="51"/>
      <c r="X330" s="51"/>
      <c r="Y330" s="51"/>
      <c r="Z330" s="51"/>
      <c r="AA330" s="51"/>
      <c r="AB330" s="51"/>
    </row>
    <row r="331" customFormat="false" ht="15.75" hidden="false" customHeight="false" outlineLevel="0" collapsed="false">
      <c r="A331" s="51"/>
      <c r="B331" s="51"/>
      <c r="C331" s="6"/>
      <c r="D331" s="49"/>
      <c r="E331" s="51"/>
      <c r="F331" s="6"/>
      <c r="G331" s="6"/>
      <c r="H331" s="6"/>
      <c r="I331" s="6"/>
      <c r="J331" s="6"/>
      <c r="K331" s="51"/>
      <c r="L331" s="51"/>
      <c r="M331" s="51"/>
      <c r="N331" s="51"/>
      <c r="O331" s="51"/>
      <c r="P331" s="51"/>
      <c r="Q331" s="51"/>
      <c r="R331" s="51"/>
      <c r="S331" s="51"/>
      <c r="T331" s="51"/>
      <c r="U331" s="51"/>
      <c r="V331" s="51"/>
      <c r="W331" s="51"/>
      <c r="X331" s="51"/>
      <c r="Y331" s="51"/>
      <c r="Z331" s="51"/>
      <c r="AA331" s="51"/>
      <c r="AB331" s="51"/>
    </row>
    <row r="332" customFormat="false" ht="15.75" hidden="false" customHeight="false" outlineLevel="0" collapsed="false">
      <c r="A332" s="51"/>
      <c r="B332" s="51"/>
      <c r="C332" s="6"/>
      <c r="D332" s="49"/>
      <c r="E332" s="51"/>
      <c r="F332" s="6"/>
      <c r="G332" s="6"/>
      <c r="H332" s="6"/>
      <c r="I332" s="6"/>
      <c r="J332" s="6"/>
      <c r="K332" s="51"/>
      <c r="L332" s="51"/>
      <c r="M332" s="51"/>
      <c r="N332" s="51"/>
      <c r="O332" s="51"/>
      <c r="P332" s="51"/>
      <c r="Q332" s="51"/>
      <c r="R332" s="51"/>
      <c r="S332" s="51"/>
      <c r="T332" s="51"/>
      <c r="U332" s="51"/>
      <c r="V332" s="51"/>
      <c r="W332" s="51"/>
      <c r="X332" s="51"/>
      <c r="Y332" s="51"/>
      <c r="Z332" s="51"/>
      <c r="AA332" s="51"/>
      <c r="AB332" s="51"/>
    </row>
    <row r="333" customFormat="false" ht="15.75" hidden="false" customHeight="false" outlineLevel="0" collapsed="false">
      <c r="A333" s="51"/>
      <c r="B333" s="51"/>
      <c r="C333" s="6"/>
      <c r="D333" s="49"/>
      <c r="E333" s="51"/>
      <c r="F333" s="6"/>
      <c r="G333" s="6"/>
      <c r="H333" s="6"/>
      <c r="I333" s="6"/>
      <c r="J333" s="6"/>
      <c r="K333" s="51"/>
      <c r="L333" s="51"/>
      <c r="M333" s="51"/>
      <c r="N333" s="51"/>
      <c r="O333" s="51"/>
      <c r="P333" s="51"/>
      <c r="Q333" s="51"/>
      <c r="R333" s="51"/>
      <c r="S333" s="51"/>
      <c r="T333" s="51"/>
      <c r="U333" s="51"/>
      <c r="V333" s="51"/>
      <c r="W333" s="51"/>
      <c r="X333" s="51"/>
      <c r="Y333" s="51"/>
      <c r="Z333" s="51"/>
      <c r="AA333" s="51"/>
      <c r="AB333" s="51"/>
    </row>
    <row r="334" customFormat="false" ht="15.75" hidden="false" customHeight="false" outlineLevel="0" collapsed="false">
      <c r="A334" s="51"/>
      <c r="B334" s="51"/>
      <c r="C334" s="6"/>
      <c r="D334" s="49"/>
      <c r="E334" s="51"/>
      <c r="F334" s="6"/>
      <c r="G334" s="6"/>
      <c r="H334" s="6"/>
      <c r="I334" s="6"/>
      <c r="J334" s="6"/>
      <c r="K334" s="51"/>
      <c r="L334" s="51"/>
      <c r="M334" s="51"/>
      <c r="N334" s="51"/>
      <c r="O334" s="51"/>
      <c r="P334" s="51"/>
      <c r="Q334" s="51"/>
      <c r="R334" s="51"/>
      <c r="S334" s="51"/>
      <c r="T334" s="51"/>
      <c r="U334" s="51"/>
      <c r="V334" s="51"/>
      <c r="W334" s="51"/>
      <c r="X334" s="51"/>
      <c r="Y334" s="51"/>
      <c r="Z334" s="51"/>
      <c r="AA334" s="51"/>
      <c r="AB334" s="51"/>
    </row>
    <row r="335" customFormat="false" ht="15.75" hidden="false" customHeight="false" outlineLevel="0" collapsed="false">
      <c r="A335" s="51"/>
      <c r="B335" s="51"/>
      <c r="C335" s="6"/>
      <c r="D335" s="49"/>
      <c r="E335" s="51"/>
      <c r="F335" s="6"/>
      <c r="G335" s="6"/>
      <c r="H335" s="6"/>
      <c r="I335" s="6"/>
      <c r="J335" s="6"/>
      <c r="K335" s="51"/>
      <c r="L335" s="51"/>
      <c r="M335" s="51"/>
      <c r="N335" s="51"/>
      <c r="O335" s="51"/>
      <c r="P335" s="51"/>
      <c r="Q335" s="51"/>
      <c r="R335" s="51"/>
      <c r="S335" s="51"/>
      <c r="T335" s="51"/>
      <c r="U335" s="51"/>
      <c r="V335" s="51"/>
      <c r="W335" s="51"/>
      <c r="X335" s="51"/>
      <c r="Y335" s="51"/>
      <c r="Z335" s="51"/>
      <c r="AA335" s="51"/>
      <c r="AB335" s="51"/>
    </row>
    <row r="336" customFormat="false" ht="15.75" hidden="false" customHeight="false" outlineLevel="0" collapsed="false">
      <c r="A336" s="51"/>
      <c r="B336" s="51"/>
      <c r="C336" s="6"/>
      <c r="D336" s="49"/>
      <c r="E336" s="51"/>
      <c r="F336" s="6"/>
      <c r="G336" s="6"/>
      <c r="H336" s="6"/>
      <c r="I336" s="6"/>
      <c r="J336" s="6"/>
      <c r="K336" s="51"/>
      <c r="L336" s="51"/>
      <c r="M336" s="51"/>
      <c r="N336" s="51"/>
      <c r="O336" s="51"/>
      <c r="P336" s="51"/>
      <c r="Q336" s="51"/>
      <c r="R336" s="51"/>
      <c r="S336" s="51"/>
      <c r="T336" s="51"/>
      <c r="U336" s="51"/>
      <c r="V336" s="51"/>
      <c r="W336" s="51"/>
      <c r="X336" s="51"/>
      <c r="Y336" s="51"/>
      <c r="Z336" s="51"/>
      <c r="AA336" s="51"/>
      <c r="AB336" s="51"/>
    </row>
    <row r="337" customFormat="false" ht="15.75" hidden="false" customHeight="false" outlineLevel="0" collapsed="false">
      <c r="A337" s="51"/>
      <c r="B337" s="51"/>
      <c r="C337" s="6"/>
      <c r="D337" s="49"/>
      <c r="E337" s="51"/>
      <c r="F337" s="6"/>
      <c r="G337" s="6"/>
      <c r="H337" s="6"/>
      <c r="I337" s="6"/>
      <c r="J337" s="6"/>
      <c r="K337" s="51"/>
      <c r="L337" s="51"/>
      <c r="M337" s="51"/>
      <c r="N337" s="51"/>
      <c r="O337" s="51"/>
      <c r="P337" s="51"/>
      <c r="Q337" s="51"/>
      <c r="R337" s="51"/>
      <c r="S337" s="51"/>
      <c r="T337" s="51"/>
      <c r="U337" s="51"/>
      <c r="V337" s="51"/>
      <c r="W337" s="51"/>
      <c r="X337" s="51"/>
      <c r="Y337" s="51"/>
      <c r="Z337" s="51"/>
      <c r="AA337" s="51"/>
      <c r="AB337" s="51"/>
    </row>
    <row r="338" customFormat="false" ht="15.75" hidden="false" customHeight="false" outlineLevel="0" collapsed="false">
      <c r="A338" s="51"/>
      <c r="B338" s="51"/>
      <c r="C338" s="6"/>
      <c r="D338" s="49"/>
      <c r="E338" s="51"/>
      <c r="F338" s="6"/>
      <c r="G338" s="6"/>
      <c r="H338" s="6"/>
      <c r="I338" s="6"/>
      <c r="J338" s="6"/>
      <c r="K338" s="51"/>
      <c r="L338" s="51"/>
      <c r="M338" s="51"/>
      <c r="N338" s="51"/>
      <c r="O338" s="51"/>
      <c r="P338" s="51"/>
      <c r="Q338" s="51"/>
      <c r="R338" s="51"/>
      <c r="S338" s="51"/>
      <c r="T338" s="51"/>
      <c r="U338" s="51"/>
      <c r="V338" s="51"/>
      <c r="W338" s="51"/>
      <c r="X338" s="51"/>
      <c r="Y338" s="51"/>
      <c r="Z338" s="51"/>
      <c r="AA338" s="51"/>
      <c r="AB338" s="51"/>
    </row>
    <row r="339" customFormat="false" ht="15.75" hidden="false" customHeight="false" outlineLevel="0" collapsed="false">
      <c r="A339" s="51"/>
      <c r="B339" s="51"/>
      <c r="C339" s="6"/>
      <c r="D339" s="49"/>
      <c r="E339" s="51"/>
      <c r="F339" s="6"/>
      <c r="G339" s="6"/>
      <c r="H339" s="6"/>
      <c r="I339" s="6"/>
      <c r="J339" s="6"/>
      <c r="K339" s="51"/>
      <c r="L339" s="51"/>
      <c r="M339" s="51"/>
      <c r="N339" s="51"/>
      <c r="O339" s="51"/>
      <c r="P339" s="51"/>
      <c r="Q339" s="51"/>
      <c r="R339" s="51"/>
      <c r="S339" s="51"/>
      <c r="T339" s="51"/>
      <c r="U339" s="51"/>
      <c r="V339" s="51"/>
      <c r="W339" s="51"/>
      <c r="X339" s="51"/>
      <c r="Y339" s="51"/>
      <c r="Z339" s="51"/>
      <c r="AA339" s="51"/>
      <c r="AB339" s="51"/>
    </row>
    <row r="340" customFormat="false" ht="15.75" hidden="false" customHeight="false" outlineLevel="0" collapsed="false">
      <c r="A340" s="51"/>
      <c r="B340" s="51"/>
      <c r="C340" s="6"/>
      <c r="D340" s="49"/>
      <c r="E340" s="51"/>
      <c r="F340" s="6"/>
      <c r="G340" s="6"/>
      <c r="H340" s="6"/>
      <c r="I340" s="6"/>
      <c r="J340" s="6"/>
      <c r="K340" s="51"/>
      <c r="L340" s="51"/>
      <c r="M340" s="51"/>
      <c r="N340" s="51"/>
      <c r="O340" s="51"/>
      <c r="P340" s="51"/>
      <c r="Q340" s="51"/>
      <c r="R340" s="51"/>
      <c r="S340" s="51"/>
      <c r="T340" s="51"/>
      <c r="U340" s="51"/>
      <c r="V340" s="51"/>
      <c r="W340" s="51"/>
      <c r="X340" s="51"/>
      <c r="Y340" s="51"/>
      <c r="Z340" s="51"/>
      <c r="AA340" s="51"/>
      <c r="AB340" s="51"/>
    </row>
    <row r="341" customFormat="false" ht="15.75" hidden="false" customHeight="false" outlineLevel="0" collapsed="false">
      <c r="A341" s="51"/>
      <c r="B341" s="51"/>
      <c r="C341" s="6"/>
      <c r="D341" s="49"/>
      <c r="E341" s="51"/>
      <c r="F341" s="6"/>
      <c r="G341" s="6"/>
      <c r="H341" s="6"/>
      <c r="I341" s="6"/>
      <c r="J341" s="6"/>
      <c r="K341" s="51"/>
      <c r="L341" s="51"/>
      <c r="M341" s="51"/>
      <c r="N341" s="51"/>
      <c r="O341" s="51"/>
      <c r="P341" s="51"/>
      <c r="Q341" s="51"/>
      <c r="R341" s="51"/>
      <c r="S341" s="51"/>
      <c r="T341" s="51"/>
      <c r="U341" s="51"/>
      <c r="V341" s="51"/>
      <c r="W341" s="51"/>
      <c r="X341" s="51"/>
      <c r="Y341" s="51"/>
      <c r="Z341" s="51"/>
      <c r="AA341" s="51"/>
      <c r="AB341" s="51"/>
    </row>
    <row r="342" customFormat="false" ht="15.75" hidden="false" customHeight="false" outlineLevel="0" collapsed="false">
      <c r="A342" s="51"/>
      <c r="B342" s="51"/>
      <c r="C342" s="6"/>
      <c r="D342" s="49"/>
      <c r="E342" s="51"/>
      <c r="F342" s="6"/>
      <c r="G342" s="6"/>
      <c r="H342" s="6"/>
      <c r="I342" s="6"/>
      <c r="J342" s="6"/>
      <c r="K342" s="51"/>
      <c r="L342" s="51"/>
      <c r="M342" s="51"/>
      <c r="N342" s="51"/>
      <c r="O342" s="51"/>
      <c r="P342" s="51"/>
      <c r="Q342" s="51"/>
      <c r="R342" s="51"/>
      <c r="S342" s="51"/>
      <c r="T342" s="51"/>
      <c r="U342" s="51"/>
      <c r="V342" s="51"/>
      <c r="W342" s="51"/>
      <c r="X342" s="51"/>
      <c r="Y342" s="51"/>
      <c r="Z342" s="51"/>
      <c r="AA342" s="51"/>
      <c r="AB342" s="51"/>
    </row>
    <row r="343" customFormat="false" ht="15.75" hidden="false" customHeight="false" outlineLevel="0" collapsed="false">
      <c r="A343" s="51"/>
      <c r="B343" s="51"/>
      <c r="C343" s="6"/>
      <c r="D343" s="49"/>
      <c r="E343" s="51"/>
      <c r="F343" s="6"/>
      <c r="G343" s="6"/>
      <c r="H343" s="6"/>
      <c r="I343" s="6"/>
      <c r="J343" s="6"/>
      <c r="K343" s="51"/>
      <c r="L343" s="51"/>
      <c r="M343" s="51"/>
      <c r="N343" s="51"/>
      <c r="O343" s="51"/>
      <c r="P343" s="51"/>
      <c r="Q343" s="51"/>
      <c r="R343" s="51"/>
      <c r="S343" s="51"/>
      <c r="T343" s="51"/>
      <c r="U343" s="51"/>
      <c r="V343" s="51"/>
      <c r="W343" s="51"/>
      <c r="X343" s="51"/>
      <c r="Y343" s="51"/>
      <c r="Z343" s="51"/>
      <c r="AA343" s="51"/>
      <c r="AB343" s="51"/>
    </row>
    <row r="344" customFormat="false" ht="15.75" hidden="false" customHeight="false" outlineLevel="0" collapsed="false">
      <c r="A344" s="51"/>
      <c r="B344" s="51"/>
      <c r="C344" s="6"/>
      <c r="D344" s="49"/>
      <c r="E344" s="51"/>
      <c r="F344" s="6"/>
      <c r="G344" s="6"/>
      <c r="H344" s="6"/>
      <c r="I344" s="6"/>
      <c r="J344" s="6"/>
      <c r="K344" s="51"/>
      <c r="L344" s="51"/>
      <c r="M344" s="51"/>
      <c r="N344" s="51"/>
      <c r="O344" s="51"/>
      <c r="P344" s="51"/>
      <c r="Q344" s="51"/>
      <c r="R344" s="51"/>
      <c r="S344" s="51"/>
      <c r="T344" s="51"/>
      <c r="U344" s="51"/>
      <c r="V344" s="51"/>
      <c r="W344" s="51"/>
      <c r="X344" s="51"/>
      <c r="Y344" s="51"/>
      <c r="Z344" s="51"/>
      <c r="AA344" s="51"/>
      <c r="AB344" s="51"/>
    </row>
    <row r="345" customFormat="false" ht="15.75" hidden="false" customHeight="false" outlineLevel="0" collapsed="false">
      <c r="A345" s="51"/>
      <c r="B345" s="51"/>
      <c r="C345" s="6"/>
      <c r="D345" s="49"/>
      <c r="E345" s="51"/>
      <c r="F345" s="6"/>
      <c r="G345" s="6"/>
      <c r="H345" s="6"/>
      <c r="I345" s="6"/>
      <c r="J345" s="6"/>
      <c r="K345" s="51"/>
      <c r="L345" s="51"/>
      <c r="M345" s="51"/>
      <c r="N345" s="51"/>
      <c r="O345" s="51"/>
      <c r="P345" s="51"/>
      <c r="Q345" s="51"/>
      <c r="R345" s="51"/>
      <c r="S345" s="51"/>
      <c r="T345" s="51"/>
      <c r="U345" s="51"/>
      <c r="V345" s="51"/>
      <c r="W345" s="51"/>
      <c r="X345" s="51"/>
      <c r="Y345" s="51"/>
      <c r="Z345" s="51"/>
      <c r="AA345" s="51"/>
      <c r="AB345" s="51"/>
    </row>
    <row r="346" customFormat="false" ht="15.75" hidden="false" customHeight="false" outlineLevel="0" collapsed="false">
      <c r="A346" s="51"/>
      <c r="B346" s="51"/>
      <c r="C346" s="6"/>
      <c r="D346" s="49"/>
      <c r="E346" s="51"/>
      <c r="F346" s="6"/>
      <c r="G346" s="6"/>
      <c r="H346" s="6"/>
      <c r="I346" s="6"/>
      <c r="J346" s="6"/>
      <c r="K346" s="51"/>
      <c r="L346" s="51"/>
      <c r="M346" s="51"/>
      <c r="N346" s="51"/>
      <c r="O346" s="51"/>
      <c r="P346" s="51"/>
      <c r="Q346" s="51"/>
      <c r="R346" s="51"/>
      <c r="S346" s="51"/>
      <c r="T346" s="51"/>
      <c r="U346" s="51"/>
      <c r="V346" s="51"/>
      <c r="W346" s="51"/>
      <c r="X346" s="51"/>
      <c r="Y346" s="51"/>
      <c r="Z346" s="51"/>
      <c r="AA346" s="51"/>
      <c r="AB346" s="51"/>
    </row>
    <row r="347" customFormat="false" ht="15.75" hidden="false" customHeight="false" outlineLevel="0" collapsed="false">
      <c r="A347" s="51"/>
      <c r="B347" s="51"/>
      <c r="C347" s="6"/>
      <c r="D347" s="49"/>
      <c r="E347" s="51"/>
      <c r="F347" s="6"/>
      <c r="G347" s="6"/>
      <c r="H347" s="6"/>
      <c r="I347" s="6"/>
      <c r="J347" s="6"/>
      <c r="K347" s="51"/>
      <c r="L347" s="51"/>
      <c r="M347" s="51"/>
      <c r="N347" s="51"/>
      <c r="O347" s="51"/>
      <c r="P347" s="51"/>
      <c r="Q347" s="51"/>
      <c r="R347" s="51"/>
      <c r="S347" s="51"/>
      <c r="T347" s="51"/>
      <c r="U347" s="51"/>
      <c r="V347" s="51"/>
      <c r="W347" s="51"/>
      <c r="X347" s="51"/>
      <c r="Y347" s="51"/>
      <c r="Z347" s="51"/>
      <c r="AA347" s="51"/>
      <c r="AB347" s="51"/>
    </row>
    <row r="348" customFormat="false" ht="15.75" hidden="false" customHeight="false" outlineLevel="0" collapsed="false">
      <c r="A348" s="51"/>
      <c r="B348" s="51"/>
      <c r="C348" s="6"/>
      <c r="D348" s="49"/>
      <c r="E348" s="51"/>
      <c r="F348" s="6"/>
      <c r="G348" s="6"/>
      <c r="H348" s="6"/>
      <c r="I348" s="6"/>
      <c r="J348" s="6"/>
      <c r="K348" s="51"/>
      <c r="L348" s="51"/>
      <c r="M348" s="51"/>
      <c r="N348" s="51"/>
      <c r="O348" s="51"/>
      <c r="P348" s="51"/>
      <c r="Q348" s="51"/>
      <c r="R348" s="51"/>
      <c r="S348" s="51"/>
      <c r="T348" s="51"/>
      <c r="U348" s="51"/>
      <c r="V348" s="51"/>
      <c r="W348" s="51"/>
      <c r="X348" s="51"/>
      <c r="Y348" s="51"/>
      <c r="Z348" s="51"/>
      <c r="AA348" s="51"/>
      <c r="AB348" s="51"/>
    </row>
    <row r="349" customFormat="false" ht="15.75" hidden="false" customHeight="false" outlineLevel="0" collapsed="false">
      <c r="A349" s="51"/>
      <c r="B349" s="51"/>
      <c r="C349" s="6"/>
      <c r="D349" s="49"/>
      <c r="E349" s="51"/>
      <c r="F349" s="6"/>
      <c r="G349" s="6"/>
      <c r="H349" s="6"/>
      <c r="I349" s="6"/>
      <c r="J349" s="6"/>
      <c r="K349" s="51"/>
      <c r="L349" s="51"/>
      <c r="M349" s="51"/>
      <c r="N349" s="51"/>
      <c r="O349" s="51"/>
      <c r="P349" s="51"/>
      <c r="Q349" s="51"/>
      <c r="R349" s="51"/>
      <c r="S349" s="51"/>
      <c r="T349" s="51"/>
      <c r="U349" s="51"/>
      <c r="V349" s="51"/>
      <c r="W349" s="51"/>
      <c r="X349" s="51"/>
      <c r="Y349" s="51"/>
      <c r="Z349" s="51"/>
      <c r="AA349" s="51"/>
      <c r="AB349" s="51"/>
    </row>
    <row r="350" customFormat="false" ht="15.75" hidden="false" customHeight="false" outlineLevel="0" collapsed="false">
      <c r="A350" s="51"/>
      <c r="B350" s="51"/>
      <c r="C350" s="6"/>
      <c r="D350" s="49"/>
      <c r="E350" s="51"/>
      <c r="F350" s="6"/>
      <c r="G350" s="6"/>
      <c r="H350" s="6"/>
      <c r="I350" s="6"/>
      <c r="J350" s="6"/>
      <c r="K350" s="51"/>
      <c r="L350" s="51"/>
      <c r="M350" s="51"/>
      <c r="N350" s="51"/>
      <c r="O350" s="51"/>
      <c r="P350" s="51"/>
      <c r="Q350" s="51"/>
      <c r="R350" s="51"/>
      <c r="S350" s="51"/>
      <c r="T350" s="51"/>
      <c r="U350" s="51"/>
      <c r="V350" s="51"/>
      <c r="W350" s="51"/>
      <c r="X350" s="51"/>
      <c r="Y350" s="51"/>
      <c r="Z350" s="51"/>
      <c r="AA350" s="51"/>
      <c r="AB350" s="51"/>
    </row>
    <row r="351" customFormat="false" ht="15.75" hidden="false" customHeight="false" outlineLevel="0" collapsed="false">
      <c r="A351" s="51"/>
      <c r="B351" s="51"/>
      <c r="C351" s="6"/>
      <c r="D351" s="49"/>
      <c r="E351" s="51"/>
      <c r="F351" s="6"/>
      <c r="G351" s="6"/>
      <c r="H351" s="6"/>
      <c r="I351" s="6"/>
      <c r="J351" s="6"/>
      <c r="K351" s="51"/>
      <c r="L351" s="51"/>
      <c r="M351" s="51"/>
      <c r="N351" s="51"/>
      <c r="O351" s="51"/>
      <c r="P351" s="51"/>
      <c r="Q351" s="51"/>
      <c r="R351" s="51"/>
      <c r="S351" s="51"/>
      <c r="T351" s="51"/>
      <c r="U351" s="51"/>
      <c r="V351" s="51"/>
      <c r="W351" s="51"/>
      <c r="X351" s="51"/>
      <c r="Y351" s="51"/>
      <c r="Z351" s="51"/>
      <c r="AA351" s="51"/>
      <c r="AB351" s="51"/>
    </row>
    <row r="352" customFormat="false" ht="15.75" hidden="false" customHeight="false" outlineLevel="0" collapsed="false">
      <c r="A352" s="51"/>
      <c r="B352" s="51"/>
      <c r="C352" s="6"/>
      <c r="D352" s="49"/>
      <c r="E352" s="51"/>
      <c r="F352" s="6"/>
      <c r="G352" s="6"/>
      <c r="H352" s="6"/>
      <c r="I352" s="6"/>
      <c r="J352" s="6"/>
      <c r="K352" s="51"/>
      <c r="L352" s="51"/>
      <c r="M352" s="51"/>
      <c r="N352" s="51"/>
      <c r="O352" s="51"/>
      <c r="P352" s="51"/>
      <c r="Q352" s="51"/>
      <c r="R352" s="51"/>
      <c r="S352" s="51"/>
      <c r="T352" s="51"/>
      <c r="U352" s="51"/>
      <c r="V352" s="51"/>
      <c r="W352" s="51"/>
      <c r="X352" s="51"/>
      <c r="Y352" s="51"/>
      <c r="Z352" s="51"/>
      <c r="AA352" s="51"/>
      <c r="AB352" s="51"/>
    </row>
    <row r="353" customFormat="false" ht="15.75" hidden="false" customHeight="false" outlineLevel="0" collapsed="false">
      <c r="A353" s="51"/>
      <c r="B353" s="51"/>
      <c r="C353" s="6"/>
      <c r="D353" s="49"/>
      <c r="E353" s="51"/>
      <c r="F353" s="6"/>
      <c r="G353" s="6"/>
      <c r="H353" s="6"/>
      <c r="I353" s="6"/>
      <c r="J353" s="6"/>
      <c r="K353" s="51"/>
      <c r="L353" s="51"/>
      <c r="M353" s="51"/>
      <c r="N353" s="51"/>
      <c r="O353" s="51"/>
      <c r="P353" s="51"/>
      <c r="Q353" s="51"/>
      <c r="R353" s="51"/>
      <c r="S353" s="51"/>
      <c r="T353" s="51"/>
      <c r="U353" s="51"/>
      <c r="V353" s="51"/>
      <c r="W353" s="51"/>
      <c r="X353" s="51"/>
      <c r="Y353" s="51"/>
      <c r="Z353" s="51"/>
      <c r="AA353" s="51"/>
      <c r="AB353" s="51"/>
    </row>
    <row r="354" customFormat="false" ht="15.75" hidden="false" customHeight="false" outlineLevel="0" collapsed="false">
      <c r="A354" s="51"/>
      <c r="B354" s="51"/>
      <c r="C354" s="6"/>
      <c r="D354" s="49"/>
      <c r="E354" s="51"/>
      <c r="F354" s="6"/>
      <c r="G354" s="6"/>
      <c r="H354" s="6"/>
      <c r="I354" s="6"/>
      <c r="J354" s="6"/>
      <c r="K354" s="51"/>
      <c r="L354" s="51"/>
      <c r="M354" s="51"/>
      <c r="N354" s="51"/>
      <c r="O354" s="51"/>
      <c r="P354" s="51"/>
      <c r="Q354" s="51"/>
      <c r="R354" s="51"/>
      <c r="S354" s="51"/>
      <c r="T354" s="51"/>
      <c r="U354" s="51"/>
      <c r="V354" s="51"/>
      <c r="W354" s="51"/>
      <c r="X354" s="51"/>
      <c r="Y354" s="51"/>
      <c r="Z354" s="51"/>
      <c r="AA354" s="51"/>
      <c r="AB354" s="51"/>
    </row>
    <row r="355" customFormat="false" ht="15.75" hidden="false" customHeight="false" outlineLevel="0" collapsed="false">
      <c r="A355" s="51"/>
      <c r="B355" s="51"/>
      <c r="C355" s="6"/>
      <c r="D355" s="49"/>
      <c r="E355" s="51"/>
      <c r="F355" s="6"/>
      <c r="G355" s="6"/>
      <c r="H355" s="6"/>
      <c r="I355" s="6"/>
      <c r="J355" s="6"/>
      <c r="K355" s="51"/>
      <c r="L355" s="51"/>
      <c r="M355" s="51"/>
      <c r="N355" s="51"/>
      <c r="O355" s="51"/>
      <c r="P355" s="51"/>
      <c r="Q355" s="51"/>
      <c r="R355" s="51"/>
      <c r="S355" s="51"/>
      <c r="T355" s="51"/>
      <c r="U355" s="51"/>
      <c r="V355" s="51"/>
      <c r="W355" s="51"/>
      <c r="X355" s="51"/>
      <c r="Y355" s="51"/>
      <c r="Z355" s="51"/>
      <c r="AA355" s="51"/>
      <c r="AB355" s="51"/>
    </row>
    <row r="356" customFormat="false" ht="15.75" hidden="false" customHeight="false" outlineLevel="0" collapsed="false">
      <c r="A356" s="51"/>
      <c r="B356" s="51"/>
      <c r="C356" s="6"/>
      <c r="D356" s="49"/>
      <c r="E356" s="51"/>
      <c r="F356" s="6"/>
      <c r="G356" s="6"/>
      <c r="H356" s="6"/>
      <c r="I356" s="6"/>
      <c r="J356" s="6"/>
      <c r="K356" s="51"/>
      <c r="L356" s="51"/>
      <c r="M356" s="51"/>
      <c r="N356" s="51"/>
      <c r="O356" s="51"/>
      <c r="P356" s="51"/>
      <c r="Q356" s="51"/>
      <c r="R356" s="51"/>
      <c r="S356" s="51"/>
      <c r="T356" s="51"/>
      <c r="U356" s="51"/>
      <c r="V356" s="51"/>
      <c r="W356" s="51"/>
      <c r="X356" s="51"/>
      <c r="Y356" s="51"/>
      <c r="Z356" s="51"/>
      <c r="AA356" s="51"/>
      <c r="AB356" s="51"/>
    </row>
    <row r="357" customFormat="false" ht="15.75" hidden="false" customHeight="false" outlineLevel="0" collapsed="false">
      <c r="A357" s="51"/>
      <c r="B357" s="51"/>
      <c r="C357" s="6"/>
      <c r="D357" s="49"/>
      <c r="E357" s="51"/>
      <c r="F357" s="6"/>
      <c r="G357" s="6"/>
      <c r="H357" s="6"/>
      <c r="I357" s="6"/>
      <c r="J357" s="6"/>
      <c r="K357" s="51"/>
      <c r="L357" s="51"/>
      <c r="M357" s="51"/>
      <c r="N357" s="51"/>
      <c r="O357" s="51"/>
      <c r="P357" s="51"/>
      <c r="Q357" s="51"/>
      <c r="R357" s="51"/>
      <c r="S357" s="51"/>
      <c r="T357" s="51"/>
      <c r="U357" s="51"/>
      <c r="V357" s="51"/>
      <c r="W357" s="51"/>
      <c r="X357" s="51"/>
      <c r="Y357" s="51"/>
      <c r="Z357" s="51"/>
      <c r="AA357" s="51"/>
      <c r="AB357" s="51"/>
    </row>
    <row r="358" customFormat="false" ht="15.75" hidden="false" customHeight="false" outlineLevel="0" collapsed="false">
      <c r="A358" s="51"/>
      <c r="B358" s="51"/>
      <c r="C358" s="6"/>
      <c r="D358" s="49"/>
      <c r="E358" s="51"/>
      <c r="F358" s="6"/>
      <c r="G358" s="6"/>
      <c r="H358" s="6"/>
      <c r="I358" s="6"/>
      <c r="J358" s="6"/>
      <c r="K358" s="51"/>
      <c r="L358" s="51"/>
      <c r="M358" s="51"/>
      <c r="N358" s="51"/>
      <c r="O358" s="51"/>
      <c r="P358" s="51"/>
      <c r="Q358" s="51"/>
      <c r="R358" s="51"/>
      <c r="S358" s="51"/>
      <c r="T358" s="51"/>
      <c r="U358" s="51"/>
      <c r="V358" s="51"/>
      <c r="W358" s="51"/>
      <c r="X358" s="51"/>
      <c r="Y358" s="51"/>
      <c r="Z358" s="51"/>
      <c r="AA358" s="51"/>
      <c r="AB358" s="51"/>
    </row>
    <row r="359" customFormat="false" ht="15.75" hidden="false" customHeight="false" outlineLevel="0" collapsed="false">
      <c r="A359" s="51"/>
      <c r="B359" s="51"/>
      <c r="C359" s="6"/>
      <c r="D359" s="49"/>
      <c r="E359" s="51"/>
      <c r="F359" s="6"/>
      <c r="G359" s="6"/>
      <c r="H359" s="6"/>
      <c r="I359" s="6"/>
      <c r="J359" s="6"/>
      <c r="K359" s="51"/>
      <c r="L359" s="51"/>
      <c r="M359" s="51"/>
      <c r="N359" s="51"/>
      <c r="O359" s="51"/>
      <c r="P359" s="51"/>
      <c r="Q359" s="51"/>
      <c r="R359" s="51"/>
      <c r="S359" s="51"/>
      <c r="T359" s="51"/>
      <c r="U359" s="51"/>
      <c r="V359" s="51"/>
      <c r="W359" s="51"/>
      <c r="X359" s="51"/>
      <c r="Y359" s="51"/>
      <c r="Z359" s="51"/>
      <c r="AA359" s="51"/>
      <c r="AB359" s="51"/>
    </row>
    <row r="360" customFormat="false" ht="15.75" hidden="false" customHeight="false" outlineLevel="0" collapsed="false">
      <c r="A360" s="51"/>
      <c r="B360" s="51"/>
      <c r="C360" s="6"/>
      <c r="D360" s="49"/>
      <c r="E360" s="51"/>
      <c r="F360" s="6"/>
      <c r="G360" s="6"/>
      <c r="H360" s="6"/>
      <c r="I360" s="6"/>
      <c r="J360" s="6"/>
      <c r="K360" s="51"/>
      <c r="L360" s="51"/>
      <c r="M360" s="51"/>
      <c r="N360" s="51"/>
      <c r="O360" s="51"/>
      <c r="P360" s="51"/>
      <c r="Q360" s="51"/>
      <c r="R360" s="51"/>
      <c r="S360" s="51"/>
      <c r="T360" s="51"/>
      <c r="U360" s="51"/>
      <c r="V360" s="51"/>
      <c r="W360" s="51"/>
      <c r="X360" s="51"/>
      <c r="Y360" s="51"/>
      <c r="Z360" s="51"/>
      <c r="AA360" s="51"/>
      <c r="AB360" s="51"/>
    </row>
    <row r="361" customFormat="false" ht="15.75" hidden="false" customHeight="false" outlineLevel="0" collapsed="false">
      <c r="A361" s="51"/>
      <c r="B361" s="51"/>
      <c r="C361" s="6"/>
      <c r="D361" s="49"/>
      <c r="E361" s="51"/>
      <c r="F361" s="6"/>
      <c r="G361" s="6"/>
      <c r="H361" s="6"/>
      <c r="I361" s="6"/>
      <c r="J361" s="6"/>
      <c r="K361" s="51"/>
      <c r="L361" s="51"/>
      <c r="M361" s="51"/>
      <c r="N361" s="51"/>
      <c r="O361" s="51"/>
      <c r="P361" s="51"/>
      <c r="Q361" s="51"/>
      <c r="R361" s="51"/>
      <c r="S361" s="51"/>
      <c r="T361" s="51"/>
      <c r="U361" s="51"/>
      <c r="V361" s="51"/>
      <c r="W361" s="51"/>
      <c r="X361" s="51"/>
      <c r="Y361" s="51"/>
      <c r="Z361" s="51"/>
      <c r="AA361" s="51"/>
      <c r="AB361" s="51"/>
    </row>
    <row r="362" customFormat="false" ht="15.75" hidden="false" customHeight="false" outlineLevel="0" collapsed="false">
      <c r="A362" s="51"/>
      <c r="B362" s="51"/>
      <c r="C362" s="6"/>
      <c r="D362" s="49"/>
      <c r="E362" s="51"/>
      <c r="F362" s="6"/>
      <c r="G362" s="6"/>
      <c r="H362" s="6"/>
      <c r="I362" s="6"/>
      <c r="J362" s="6"/>
      <c r="K362" s="51"/>
      <c r="L362" s="51"/>
      <c r="M362" s="51"/>
      <c r="N362" s="51"/>
      <c r="O362" s="51"/>
      <c r="P362" s="51"/>
      <c r="Q362" s="51"/>
      <c r="R362" s="51"/>
      <c r="S362" s="51"/>
      <c r="T362" s="51"/>
      <c r="U362" s="51"/>
      <c r="V362" s="51"/>
      <c r="W362" s="51"/>
      <c r="X362" s="51"/>
      <c r="Y362" s="51"/>
      <c r="Z362" s="51"/>
      <c r="AA362" s="51"/>
      <c r="AB362" s="51"/>
    </row>
    <row r="363" customFormat="false" ht="15.75" hidden="false" customHeight="false" outlineLevel="0" collapsed="false">
      <c r="A363" s="51"/>
      <c r="B363" s="51"/>
      <c r="C363" s="6"/>
      <c r="D363" s="49"/>
      <c r="E363" s="51"/>
      <c r="F363" s="6"/>
      <c r="G363" s="6"/>
      <c r="H363" s="6"/>
      <c r="I363" s="6"/>
      <c r="J363" s="6"/>
      <c r="K363" s="51"/>
      <c r="L363" s="51"/>
      <c r="M363" s="51"/>
      <c r="N363" s="51"/>
      <c r="O363" s="51"/>
      <c r="P363" s="51"/>
      <c r="Q363" s="51"/>
      <c r="R363" s="51"/>
      <c r="S363" s="51"/>
      <c r="T363" s="51"/>
      <c r="U363" s="51"/>
      <c r="V363" s="51"/>
      <c r="W363" s="51"/>
      <c r="X363" s="51"/>
      <c r="Y363" s="51"/>
      <c r="Z363" s="51"/>
      <c r="AA363" s="51"/>
      <c r="AB363" s="51"/>
    </row>
    <row r="364" customFormat="false" ht="15.75" hidden="false" customHeight="false" outlineLevel="0" collapsed="false">
      <c r="A364" s="51"/>
      <c r="B364" s="51"/>
      <c r="C364" s="6"/>
      <c r="D364" s="49"/>
      <c r="E364" s="51"/>
      <c r="F364" s="6"/>
      <c r="G364" s="6"/>
      <c r="H364" s="6"/>
      <c r="I364" s="6"/>
      <c r="J364" s="6"/>
      <c r="K364" s="51"/>
      <c r="L364" s="51"/>
      <c r="M364" s="51"/>
      <c r="N364" s="51"/>
      <c r="O364" s="51"/>
      <c r="P364" s="51"/>
      <c r="Q364" s="51"/>
      <c r="R364" s="51"/>
      <c r="S364" s="51"/>
      <c r="T364" s="51"/>
      <c r="U364" s="51"/>
      <c r="V364" s="51"/>
      <c r="W364" s="51"/>
      <c r="X364" s="51"/>
      <c r="Y364" s="51"/>
      <c r="Z364" s="51"/>
      <c r="AA364" s="51"/>
      <c r="AB364" s="51"/>
    </row>
    <row r="365" customFormat="false" ht="15.75" hidden="false" customHeight="false" outlineLevel="0" collapsed="false">
      <c r="A365" s="51"/>
      <c r="B365" s="51"/>
      <c r="C365" s="6"/>
      <c r="D365" s="49"/>
      <c r="E365" s="51"/>
      <c r="F365" s="6"/>
      <c r="G365" s="6"/>
      <c r="H365" s="6"/>
      <c r="I365" s="6"/>
      <c r="J365" s="6"/>
      <c r="K365" s="51"/>
      <c r="L365" s="51"/>
      <c r="M365" s="51"/>
      <c r="N365" s="51"/>
      <c r="O365" s="51"/>
      <c r="P365" s="51"/>
      <c r="Q365" s="51"/>
      <c r="R365" s="51"/>
      <c r="S365" s="51"/>
      <c r="T365" s="51"/>
      <c r="U365" s="51"/>
      <c r="V365" s="51"/>
      <c r="W365" s="51"/>
      <c r="X365" s="51"/>
      <c r="Y365" s="51"/>
      <c r="Z365" s="51"/>
      <c r="AA365" s="51"/>
      <c r="AB365" s="51"/>
    </row>
    <row r="366" customFormat="false" ht="15.75" hidden="false" customHeight="false" outlineLevel="0" collapsed="false">
      <c r="A366" s="51"/>
      <c r="B366" s="51"/>
      <c r="C366" s="6"/>
      <c r="D366" s="49"/>
      <c r="E366" s="51"/>
      <c r="F366" s="6"/>
      <c r="G366" s="6"/>
      <c r="H366" s="6"/>
      <c r="I366" s="6"/>
      <c r="J366" s="6"/>
      <c r="K366" s="51"/>
      <c r="L366" s="51"/>
      <c r="M366" s="51"/>
      <c r="N366" s="51"/>
      <c r="O366" s="51"/>
      <c r="P366" s="51"/>
      <c r="Q366" s="51"/>
      <c r="R366" s="51"/>
      <c r="S366" s="51"/>
      <c r="T366" s="51"/>
      <c r="U366" s="51"/>
      <c r="V366" s="51"/>
      <c r="W366" s="51"/>
      <c r="X366" s="51"/>
      <c r="Y366" s="51"/>
      <c r="Z366" s="51"/>
      <c r="AA366" s="51"/>
      <c r="AB366" s="51"/>
    </row>
    <row r="367" customFormat="false" ht="15.75" hidden="false" customHeight="false" outlineLevel="0" collapsed="false">
      <c r="A367" s="51"/>
      <c r="B367" s="51"/>
      <c r="C367" s="6"/>
      <c r="D367" s="49"/>
      <c r="E367" s="51"/>
      <c r="F367" s="6"/>
      <c r="G367" s="6"/>
      <c r="H367" s="6"/>
      <c r="I367" s="6"/>
      <c r="J367" s="6"/>
      <c r="K367" s="51"/>
      <c r="L367" s="51"/>
      <c r="M367" s="51"/>
      <c r="N367" s="51"/>
      <c r="O367" s="51"/>
      <c r="P367" s="51"/>
      <c r="Q367" s="51"/>
      <c r="R367" s="51"/>
      <c r="S367" s="51"/>
      <c r="T367" s="51"/>
      <c r="U367" s="51"/>
      <c r="V367" s="51"/>
      <c r="W367" s="51"/>
      <c r="X367" s="51"/>
      <c r="Y367" s="51"/>
      <c r="Z367" s="51"/>
      <c r="AA367" s="51"/>
      <c r="AB367" s="51"/>
    </row>
    <row r="368" customFormat="false" ht="15.75" hidden="false" customHeight="false" outlineLevel="0" collapsed="false">
      <c r="A368" s="51"/>
      <c r="B368" s="51"/>
      <c r="C368" s="6"/>
      <c r="D368" s="49"/>
      <c r="E368" s="51"/>
      <c r="F368" s="6"/>
      <c r="G368" s="6"/>
      <c r="H368" s="6"/>
      <c r="I368" s="6"/>
      <c r="J368" s="6"/>
      <c r="K368" s="51"/>
      <c r="L368" s="51"/>
      <c r="M368" s="51"/>
      <c r="N368" s="51"/>
      <c r="O368" s="51"/>
      <c r="P368" s="51"/>
      <c r="Q368" s="51"/>
      <c r="R368" s="51"/>
      <c r="S368" s="51"/>
      <c r="T368" s="51"/>
      <c r="U368" s="51"/>
      <c r="V368" s="51"/>
      <c r="W368" s="51"/>
      <c r="X368" s="51"/>
      <c r="Y368" s="51"/>
      <c r="Z368" s="51"/>
      <c r="AA368" s="51"/>
      <c r="AB368" s="51"/>
    </row>
    <row r="369" customFormat="false" ht="15.75" hidden="false" customHeight="false" outlineLevel="0" collapsed="false">
      <c r="A369" s="51"/>
      <c r="B369" s="51"/>
      <c r="C369" s="6"/>
      <c r="D369" s="49"/>
      <c r="E369" s="51"/>
      <c r="F369" s="6"/>
      <c r="G369" s="6"/>
      <c r="H369" s="6"/>
      <c r="I369" s="6"/>
      <c r="J369" s="6"/>
      <c r="K369" s="51"/>
      <c r="L369" s="51"/>
      <c r="M369" s="51"/>
      <c r="N369" s="51"/>
      <c r="O369" s="51"/>
      <c r="P369" s="51"/>
      <c r="Q369" s="51"/>
      <c r="R369" s="51"/>
      <c r="S369" s="51"/>
      <c r="T369" s="51"/>
      <c r="U369" s="51"/>
      <c r="V369" s="51"/>
      <c r="W369" s="51"/>
      <c r="X369" s="51"/>
      <c r="Y369" s="51"/>
      <c r="Z369" s="51"/>
      <c r="AA369" s="51"/>
      <c r="AB369" s="51"/>
    </row>
    <row r="370" customFormat="false" ht="15.75" hidden="false" customHeight="false" outlineLevel="0" collapsed="false">
      <c r="A370" s="51"/>
      <c r="B370" s="51"/>
      <c r="C370" s="6"/>
      <c r="D370" s="49"/>
      <c r="E370" s="51"/>
      <c r="F370" s="6"/>
      <c r="G370" s="6"/>
      <c r="H370" s="6"/>
      <c r="I370" s="6"/>
      <c r="J370" s="6"/>
      <c r="K370" s="51"/>
      <c r="L370" s="51"/>
      <c r="M370" s="51"/>
      <c r="N370" s="51"/>
      <c r="O370" s="51"/>
      <c r="P370" s="51"/>
      <c r="Q370" s="51"/>
      <c r="R370" s="51"/>
      <c r="S370" s="51"/>
      <c r="T370" s="51"/>
      <c r="U370" s="51"/>
      <c r="V370" s="51"/>
      <c r="W370" s="51"/>
      <c r="X370" s="51"/>
      <c r="Y370" s="51"/>
      <c r="Z370" s="51"/>
      <c r="AA370" s="51"/>
      <c r="AB370" s="51"/>
    </row>
    <row r="371" customFormat="false" ht="15.75" hidden="false" customHeight="false" outlineLevel="0" collapsed="false">
      <c r="A371" s="51"/>
      <c r="B371" s="51"/>
      <c r="C371" s="6"/>
      <c r="D371" s="49"/>
      <c r="E371" s="51"/>
      <c r="F371" s="6"/>
      <c r="G371" s="6"/>
      <c r="H371" s="6"/>
      <c r="I371" s="6"/>
      <c r="J371" s="6"/>
      <c r="K371" s="51"/>
      <c r="L371" s="51"/>
      <c r="M371" s="51"/>
      <c r="N371" s="51"/>
      <c r="O371" s="51"/>
      <c r="P371" s="51"/>
      <c r="Q371" s="51"/>
      <c r="R371" s="51"/>
      <c r="S371" s="51"/>
      <c r="T371" s="51"/>
      <c r="U371" s="51"/>
      <c r="V371" s="51"/>
      <c r="W371" s="51"/>
      <c r="X371" s="51"/>
      <c r="Y371" s="51"/>
      <c r="Z371" s="51"/>
      <c r="AA371" s="51"/>
      <c r="AB371" s="51"/>
    </row>
    <row r="372" customFormat="false" ht="15.75" hidden="false" customHeight="false" outlineLevel="0" collapsed="false">
      <c r="A372" s="51"/>
      <c r="B372" s="51"/>
      <c r="C372" s="6"/>
      <c r="D372" s="49"/>
      <c r="E372" s="51"/>
      <c r="F372" s="6"/>
      <c r="G372" s="6"/>
      <c r="H372" s="6"/>
      <c r="I372" s="6"/>
      <c r="J372" s="6"/>
      <c r="K372" s="51"/>
      <c r="L372" s="51"/>
      <c r="M372" s="51"/>
      <c r="N372" s="51"/>
      <c r="O372" s="51"/>
      <c r="P372" s="51"/>
      <c r="Q372" s="51"/>
      <c r="R372" s="51"/>
      <c r="S372" s="51"/>
      <c r="T372" s="51"/>
      <c r="U372" s="51"/>
      <c r="V372" s="51"/>
      <c r="W372" s="51"/>
      <c r="X372" s="51"/>
      <c r="Y372" s="51"/>
      <c r="Z372" s="51"/>
      <c r="AA372" s="51"/>
      <c r="AB372" s="51"/>
    </row>
    <row r="373" customFormat="false" ht="15.75" hidden="false" customHeight="false" outlineLevel="0" collapsed="false">
      <c r="A373" s="51"/>
      <c r="B373" s="51"/>
      <c r="C373" s="6"/>
      <c r="D373" s="49"/>
      <c r="E373" s="51"/>
      <c r="F373" s="6"/>
      <c r="G373" s="6"/>
      <c r="H373" s="6"/>
      <c r="I373" s="6"/>
      <c r="J373" s="6"/>
      <c r="K373" s="51"/>
      <c r="L373" s="51"/>
      <c r="M373" s="51"/>
      <c r="N373" s="51"/>
      <c r="O373" s="51"/>
      <c r="P373" s="51"/>
      <c r="Q373" s="51"/>
      <c r="R373" s="51"/>
      <c r="S373" s="51"/>
      <c r="T373" s="51"/>
      <c r="U373" s="51"/>
      <c r="V373" s="51"/>
      <c r="W373" s="51"/>
      <c r="X373" s="51"/>
      <c r="Y373" s="51"/>
      <c r="Z373" s="51"/>
      <c r="AA373" s="51"/>
      <c r="AB373" s="51"/>
    </row>
    <row r="374" customFormat="false" ht="15.75" hidden="false" customHeight="false" outlineLevel="0" collapsed="false">
      <c r="A374" s="51"/>
      <c r="B374" s="51"/>
      <c r="C374" s="6"/>
      <c r="D374" s="49"/>
      <c r="E374" s="51"/>
      <c r="F374" s="6"/>
      <c r="G374" s="6"/>
      <c r="H374" s="6"/>
      <c r="I374" s="6"/>
      <c r="J374" s="6"/>
      <c r="K374" s="51"/>
      <c r="L374" s="51"/>
      <c r="M374" s="51"/>
      <c r="N374" s="51"/>
      <c r="O374" s="51"/>
      <c r="P374" s="51"/>
      <c r="Q374" s="51"/>
      <c r="R374" s="51"/>
      <c r="S374" s="51"/>
      <c r="T374" s="51"/>
      <c r="U374" s="51"/>
      <c r="V374" s="51"/>
      <c r="W374" s="51"/>
      <c r="X374" s="51"/>
      <c r="Y374" s="51"/>
      <c r="Z374" s="51"/>
      <c r="AA374" s="51"/>
      <c r="AB374" s="51"/>
    </row>
    <row r="375" customFormat="false" ht="15.75" hidden="false" customHeight="false" outlineLevel="0" collapsed="false">
      <c r="A375" s="51"/>
      <c r="B375" s="51"/>
      <c r="C375" s="6"/>
      <c r="D375" s="49"/>
      <c r="E375" s="51"/>
      <c r="F375" s="6"/>
      <c r="G375" s="6"/>
      <c r="H375" s="6"/>
      <c r="I375" s="6"/>
      <c r="J375" s="6"/>
      <c r="K375" s="51"/>
      <c r="L375" s="51"/>
      <c r="M375" s="51"/>
      <c r="N375" s="51"/>
      <c r="O375" s="51"/>
      <c r="P375" s="51"/>
      <c r="Q375" s="51"/>
      <c r="R375" s="51"/>
      <c r="S375" s="51"/>
      <c r="T375" s="51"/>
      <c r="U375" s="51"/>
      <c r="V375" s="51"/>
      <c r="W375" s="51"/>
      <c r="X375" s="51"/>
      <c r="Y375" s="51"/>
      <c r="Z375" s="51"/>
      <c r="AA375" s="51"/>
      <c r="AB375" s="51"/>
    </row>
    <row r="376" customFormat="false" ht="15.75" hidden="false" customHeight="false" outlineLevel="0" collapsed="false">
      <c r="A376" s="51"/>
      <c r="B376" s="51"/>
      <c r="C376" s="6"/>
      <c r="D376" s="49"/>
      <c r="E376" s="51"/>
      <c r="F376" s="6"/>
      <c r="G376" s="6"/>
      <c r="H376" s="6"/>
      <c r="I376" s="6"/>
      <c r="J376" s="6"/>
      <c r="K376" s="51"/>
      <c r="L376" s="51"/>
      <c r="M376" s="51"/>
      <c r="N376" s="51"/>
      <c r="O376" s="51"/>
      <c r="P376" s="51"/>
      <c r="Q376" s="51"/>
      <c r="R376" s="51"/>
      <c r="S376" s="51"/>
      <c r="T376" s="51"/>
      <c r="U376" s="51"/>
      <c r="V376" s="51"/>
      <c r="W376" s="51"/>
      <c r="X376" s="51"/>
      <c r="Y376" s="51"/>
      <c r="Z376" s="51"/>
      <c r="AA376" s="51"/>
      <c r="AB376" s="51"/>
    </row>
    <row r="377" customFormat="false" ht="15.75" hidden="false" customHeight="false" outlineLevel="0" collapsed="false">
      <c r="A377" s="51"/>
      <c r="B377" s="51"/>
      <c r="C377" s="6"/>
      <c r="D377" s="49"/>
      <c r="E377" s="51"/>
      <c r="F377" s="6"/>
      <c r="G377" s="6"/>
      <c r="H377" s="6"/>
      <c r="I377" s="6"/>
      <c r="J377" s="6"/>
      <c r="K377" s="51"/>
      <c r="L377" s="51"/>
      <c r="M377" s="51"/>
      <c r="N377" s="51"/>
      <c r="O377" s="51"/>
      <c r="P377" s="51"/>
      <c r="Q377" s="51"/>
      <c r="R377" s="51"/>
      <c r="S377" s="51"/>
      <c r="T377" s="51"/>
      <c r="U377" s="51"/>
      <c r="V377" s="51"/>
      <c r="W377" s="51"/>
      <c r="X377" s="51"/>
      <c r="Y377" s="51"/>
      <c r="Z377" s="51"/>
      <c r="AA377" s="51"/>
      <c r="AB377" s="51"/>
    </row>
    <row r="378" customFormat="false" ht="15.75" hidden="false" customHeight="false" outlineLevel="0" collapsed="false">
      <c r="A378" s="51"/>
      <c r="B378" s="51"/>
      <c r="C378" s="6"/>
      <c r="D378" s="49"/>
      <c r="E378" s="51"/>
      <c r="F378" s="6"/>
      <c r="G378" s="6"/>
      <c r="H378" s="6"/>
      <c r="I378" s="6"/>
      <c r="J378" s="6"/>
      <c r="K378" s="51"/>
      <c r="L378" s="51"/>
      <c r="M378" s="51"/>
      <c r="N378" s="51"/>
      <c r="O378" s="51"/>
      <c r="P378" s="51"/>
      <c r="Q378" s="51"/>
      <c r="R378" s="51"/>
      <c r="S378" s="51"/>
      <c r="T378" s="51"/>
      <c r="U378" s="51"/>
      <c r="V378" s="51"/>
      <c r="W378" s="51"/>
      <c r="X378" s="51"/>
      <c r="Y378" s="51"/>
      <c r="Z378" s="51"/>
      <c r="AA378" s="51"/>
      <c r="AB378" s="51"/>
    </row>
    <row r="379" customFormat="false" ht="15.75" hidden="false" customHeight="false" outlineLevel="0" collapsed="false">
      <c r="A379" s="51"/>
      <c r="B379" s="51"/>
      <c r="C379" s="6"/>
      <c r="D379" s="49"/>
      <c r="E379" s="51"/>
      <c r="F379" s="6"/>
      <c r="G379" s="6"/>
      <c r="H379" s="6"/>
      <c r="I379" s="6"/>
      <c r="J379" s="6"/>
      <c r="K379" s="51"/>
      <c r="L379" s="51"/>
      <c r="M379" s="51"/>
      <c r="N379" s="51"/>
      <c r="O379" s="51"/>
      <c r="P379" s="51"/>
      <c r="Q379" s="51"/>
      <c r="R379" s="51"/>
      <c r="S379" s="51"/>
      <c r="T379" s="51"/>
      <c r="U379" s="51"/>
      <c r="V379" s="51"/>
      <c r="W379" s="51"/>
      <c r="X379" s="51"/>
      <c r="Y379" s="51"/>
      <c r="Z379" s="51"/>
      <c r="AA379" s="51"/>
      <c r="AB379" s="51"/>
    </row>
    <row r="380" customFormat="false" ht="15.75" hidden="false" customHeight="false" outlineLevel="0" collapsed="false">
      <c r="A380" s="51"/>
      <c r="B380" s="51"/>
      <c r="C380" s="6"/>
      <c r="D380" s="49"/>
      <c r="E380" s="51"/>
      <c r="F380" s="6"/>
      <c r="G380" s="6"/>
      <c r="H380" s="6"/>
      <c r="I380" s="6"/>
      <c r="J380" s="6"/>
      <c r="K380" s="51"/>
      <c r="L380" s="51"/>
      <c r="M380" s="51"/>
      <c r="N380" s="51"/>
      <c r="O380" s="51"/>
      <c r="P380" s="51"/>
      <c r="Q380" s="51"/>
      <c r="R380" s="51"/>
      <c r="S380" s="51"/>
      <c r="T380" s="51"/>
      <c r="U380" s="51"/>
      <c r="V380" s="51"/>
      <c r="W380" s="51"/>
      <c r="X380" s="51"/>
      <c r="Y380" s="51"/>
      <c r="Z380" s="51"/>
      <c r="AA380" s="51"/>
      <c r="AB380" s="51"/>
    </row>
    <row r="381" customFormat="false" ht="15.75" hidden="false" customHeight="false" outlineLevel="0" collapsed="false">
      <c r="A381" s="51"/>
      <c r="B381" s="51"/>
      <c r="C381" s="6"/>
      <c r="D381" s="49"/>
      <c r="E381" s="51"/>
      <c r="F381" s="6"/>
      <c r="G381" s="6"/>
      <c r="H381" s="6"/>
      <c r="I381" s="6"/>
      <c r="J381" s="6"/>
      <c r="K381" s="51"/>
      <c r="L381" s="51"/>
      <c r="M381" s="51"/>
      <c r="N381" s="51"/>
      <c r="O381" s="51"/>
      <c r="P381" s="51"/>
      <c r="Q381" s="51"/>
      <c r="R381" s="51"/>
      <c r="S381" s="51"/>
      <c r="T381" s="51"/>
      <c r="U381" s="51"/>
      <c r="V381" s="51"/>
      <c r="W381" s="51"/>
      <c r="X381" s="51"/>
      <c r="Y381" s="51"/>
      <c r="Z381" s="51"/>
      <c r="AA381" s="51"/>
      <c r="AB381" s="51"/>
    </row>
    <row r="382" customFormat="false" ht="15.75" hidden="false" customHeight="false" outlineLevel="0" collapsed="false">
      <c r="A382" s="51"/>
      <c r="B382" s="51"/>
      <c r="C382" s="6"/>
      <c r="D382" s="49"/>
      <c r="E382" s="51"/>
      <c r="F382" s="6"/>
      <c r="G382" s="6"/>
      <c r="H382" s="6"/>
      <c r="I382" s="6"/>
      <c r="J382" s="6"/>
      <c r="K382" s="51"/>
      <c r="L382" s="51"/>
      <c r="M382" s="51"/>
      <c r="N382" s="51"/>
      <c r="O382" s="51"/>
      <c r="P382" s="51"/>
      <c r="Q382" s="51"/>
      <c r="R382" s="51"/>
      <c r="S382" s="51"/>
      <c r="T382" s="51"/>
      <c r="U382" s="51"/>
      <c r="V382" s="51"/>
      <c r="W382" s="51"/>
      <c r="X382" s="51"/>
      <c r="Y382" s="51"/>
      <c r="Z382" s="51"/>
      <c r="AA382" s="51"/>
      <c r="AB382" s="51"/>
    </row>
    <row r="383" customFormat="false" ht="15.75" hidden="false" customHeight="false" outlineLevel="0" collapsed="false">
      <c r="A383" s="51"/>
      <c r="B383" s="51"/>
      <c r="C383" s="6"/>
      <c r="D383" s="49"/>
      <c r="E383" s="51"/>
      <c r="F383" s="6"/>
      <c r="G383" s="6"/>
      <c r="H383" s="6"/>
      <c r="I383" s="6"/>
      <c r="J383" s="6"/>
      <c r="K383" s="51"/>
      <c r="L383" s="51"/>
      <c r="M383" s="51"/>
      <c r="N383" s="51"/>
      <c r="O383" s="51"/>
      <c r="P383" s="51"/>
      <c r="Q383" s="51"/>
      <c r="R383" s="51"/>
      <c r="S383" s="51"/>
      <c r="T383" s="51"/>
      <c r="U383" s="51"/>
      <c r="V383" s="51"/>
      <c r="W383" s="51"/>
      <c r="X383" s="51"/>
      <c r="Y383" s="51"/>
      <c r="Z383" s="51"/>
      <c r="AA383" s="51"/>
      <c r="AB383" s="51"/>
    </row>
    <row r="384" customFormat="false" ht="15.75" hidden="false" customHeight="false" outlineLevel="0" collapsed="false">
      <c r="A384" s="51"/>
      <c r="B384" s="51"/>
      <c r="C384" s="6"/>
      <c r="D384" s="49"/>
      <c r="E384" s="51"/>
      <c r="F384" s="6"/>
      <c r="G384" s="6"/>
      <c r="H384" s="6"/>
      <c r="I384" s="6"/>
      <c r="J384" s="6"/>
      <c r="K384" s="51"/>
      <c r="L384" s="51"/>
      <c r="M384" s="51"/>
      <c r="N384" s="51"/>
      <c r="O384" s="51"/>
      <c r="P384" s="51"/>
      <c r="Q384" s="51"/>
      <c r="R384" s="51"/>
      <c r="S384" s="51"/>
      <c r="T384" s="51"/>
      <c r="U384" s="51"/>
      <c r="V384" s="51"/>
      <c r="W384" s="51"/>
      <c r="X384" s="51"/>
      <c r="Y384" s="51"/>
      <c r="Z384" s="51"/>
      <c r="AA384" s="51"/>
      <c r="AB384" s="51"/>
    </row>
    <row r="385" customFormat="false" ht="15.75" hidden="false" customHeight="false" outlineLevel="0" collapsed="false">
      <c r="A385" s="51"/>
      <c r="B385" s="51"/>
      <c r="C385" s="6"/>
      <c r="D385" s="49"/>
      <c r="E385" s="51"/>
      <c r="F385" s="6"/>
      <c r="G385" s="6"/>
      <c r="H385" s="6"/>
      <c r="I385" s="6"/>
      <c r="J385" s="6"/>
      <c r="K385" s="51"/>
      <c r="L385" s="51"/>
      <c r="M385" s="51"/>
      <c r="N385" s="51"/>
      <c r="O385" s="51"/>
      <c r="P385" s="51"/>
      <c r="Q385" s="51"/>
      <c r="R385" s="51"/>
      <c r="S385" s="51"/>
      <c r="T385" s="51"/>
      <c r="U385" s="51"/>
      <c r="V385" s="51"/>
      <c r="W385" s="51"/>
      <c r="X385" s="51"/>
      <c r="Y385" s="51"/>
      <c r="Z385" s="51"/>
      <c r="AA385" s="51"/>
      <c r="AB385" s="51"/>
    </row>
    <row r="386" customFormat="false" ht="15.75" hidden="false" customHeight="false" outlineLevel="0" collapsed="false">
      <c r="A386" s="51"/>
      <c r="B386" s="51"/>
      <c r="C386" s="6"/>
      <c r="D386" s="49"/>
      <c r="E386" s="51"/>
      <c r="F386" s="6"/>
      <c r="G386" s="6"/>
      <c r="H386" s="6"/>
      <c r="I386" s="6"/>
      <c r="J386" s="6"/>
      <c r="K386" s="51"/>
      <c r="L386" s="51"/>
      <c r="M386" s="51"/>
      <c r="N386" s="51"/>
      <c r="O386" s="51"/>
      <c r="P386" s="51"/>
      <c r="Q386" s="51"/>
      <c r="R386" s="51"/>
      <c r="S386" s="51"/>
      <c r="T386" s="51"/>
      <c r="U386" s="51"/>
      <c r="V386" s="51"/>
      <c r="W386" s="51"/>
      <c r="X386" s="51"/>
      <c r="Y386" s="51"/>
      <c r="Z386" s="51"/>
      <c r="AA386" s="51"/>
      <c r="AB386" s="51"/>
    </row>
    <row r="387" customFormat="false" ht="15.75" hidden="false" customHeight="false" outlineLevel="0" collapsed="false">
      <c r="A387" s="51"/>
      <c r="B387" s="51"/>
      <c r="C387" s="6"/>
      <c r="D387" s="49"/>
      <c r="E387" s="51"/>
      <c r="F387" s="6"/>
      <c r="G387" s="6"/>
      <c r="H387" s="6"/>
      <c r="I387" s="6"/>
      <c r="J387" s="6"/>
      <c r="K387" s="51"/>
      <c r="L387" s="51"/>
      <c r="M387" s="51"/>
      <c r="N387" s="51"/>
      <c r="O387" s="51"/>
      <c r="P387" s="51"/>
      <c r="Q387" s="51"/>
      <c r="R387" s="51"/>
      <c r="S387" s="51"/>
      <c r="T387" s="51"/>
      <c r="U387" s="51"/>
      <c r="V387" s="51"/>
      <c r="W387" s="51"/>
      <c r="X387" s="51"/>
      <c r="Y387" s="51"/>
      <c r="Z387" s="51"/>
      <c r="AA387" s="51"/>
      <c r="AB387" s="51"/>
    </row>
    <row r="388" customFormat="false" ht="15.75" hidden="false" customHeight="false" outlineLevel="0" collapsed="false">
      <c r="A388" s="51"/>
      <c r="B388" s="51"/>
      <c r="C388" s="6"/>
      <c r="D388" s="49"/>
      <c r="E388" s="51"/>
      <c r="F388" s="6"/>
      <c r="G388" s="6"/>
      <c r="H388" s="6"/>
      <c r="I388" s="6"/>
      <c r="J388" s="6"/>
      <c r="K388" s="51"/>
      <c r="L388" s="51"/>
      <c r="M388" s="51"/>
      <c r="N388" s="51"/>
      <c r="O388" s="51"/>
      <c r="P388" s="51"/>
      <c r="Q388" s="51"/>
      <c r="R388" s="51"/>
      <c r="S388" s="51"/>
      <c r="T388" s="51"/>
      <c r="U388" s="51"/>
      <c r="V388" s="51"/>
      <c r="W388" s="51"/>
      <c r="X388" s="51"/>
      <c r="Y388" s="51"/>
      <c r="Z388" s="51"/>
      <c r="AA388" s="51"/>
      <c r="AB388" s="51"/>
    </row>
    <row r="389" customFormat="false" ht="15.75" hidden="false" customHeight="false" outlineLevel="0" collapsed="false">
      <c r="A389" s="51"/>
      <c r="B389" s="51"/>
      <c r="C389" s="6"/>
      <c r="D389" s="49"/>
      <c r="E389" s="51"/>
      <c r="F389" s="6"/>
      <c r="G389" s="6"/>
      <c r="H389" s="6"/>
      <c r="I389" s="6"/>
      <c r="J389" s="6"/>
      <c r="K389" s="51"/>
      <c r="L389" s="51"/>
      <c r="M389" s="51"/>
      <c r="N389" s="51"/>
      <c r="O389" s="51"/>
      <c r="P389" s="51"/>
      <c r="Q389" s="51"/>
      <c r="R389" s="51"/>
      <c r="S389" s="51"/>
      <c r="T389" s="51"/>
      <c r="U389" s="51"/>
      <c r="V389" s="51"/>
      <c r="W389" s="51"/>
      <c r="X389" s="51"/>
      <c r="Y389" s="51"/>
      <c r="Z389" s="51"/>
      <c r="AA389" s="51"/>
      <c r="AB389" s="51"/>
    </row>
    <row r="390" customFormat="false" ht="15.75" hidden="false" customHeight="false" outlineLevel="0" collapsed="false">
      <c r="A390" s="51"/>
      <c r="B390" s="51"/>
      <c r="C390" s="6"/>
      <c r="D390" s="49"/>
      <c r="E390" s="51"/>
      <c r="F390" s="6"/>
      <c r="G390" s="6"/>
      <c r="H390" s="6"/>
      <c r="I390" s="6"/>
      <c r="J390" s="6"/>
      <c r="K390" s="51"/>
      <c r="L390" s="51"/>
      <c r="M390" s="51"/>
      <c r="N390" s="51"/>
      <c r="O390" s="51"/>
      <c r="P390" s="51"/>
      <c r="Q390" s="51"/>
      <c r="R390" s="51"/>
      <c r="S390" s="51"/>
      <c r="T390" s="51"/>
      <c r="U390" s="51"/>
      <c r="V390" s="51"/>
      <c r="W390" s="51"/>
      <c r="X390" s="51"/>
      <c r="Y390" s="51"/>
      <c r="Z390" s="51"/>
      <c r="AA390" s="51"/>
      <c r="AB390" s="51"/>
    </row>
    <row r="391" customFormat="false" ht="15.75" hidden="false" customHeight="false" outlineLevel="0" collapsed="false">
      <c r="A391" s="51"/>
      <c r="B391" s="51"/>
      <c r="C391" s="6"/>
      <c r="D391" s="49"/>
      <c r="E391" s="51"/>
      <c r="F391" s="6"/>
      <c r="G391" s="6"/>
      <c r="H391" s="6"/>
      <c r="I391" s="6"/>
      <c r="J391" s="6"/>
      <c r="K391" s="51"/>
      <c r="L391" s="51"/>
      <c r="M391" s="51"/>
      <c r="N391" s="51"/>
      <c r="O391" s="51"/>
      <c r="P391" s="51"/>
      <c r="Q391" s="51"/>
      <c r="R391" s="51"/>
      <c r="S391" s="51"/>
      <c r="T391" s="51"/>
      <c r="U391" s="51"/>
      <c r="V391" s="51"/>
      <c r="W391" s="51"/>
      <c r="X391" s="51"/>
      <c r="Y391" s="51"/>
      <c r="Z391" s="51"/>
      <c r="AA391" s="51"/>
      <c r="AB391" s="51"/>
    </row>
    <row r="392" customFormat="false" ht="15.75" hidden="false" customHeight="false" outlineLevel="0" collapsed="false">
      <c r="A392" s="51"/>
      <c r="B392" s="51"/>
      <c r="C392" s="6"/>
      <c r="D392" s="49"/>
      <c r="E392" s="51"/>
      <c r="F392" s="6"/>
      <c r="G392" s="6"/>
      <c r="H392" s="6"/>
      <c r="I392" s="6"/>
      <c r="J392" s="6"/>
      <c r="K392" s="51"/>
      <c r="L392" s="51"/>
      <c r="M392" s="51"/>
      <c r="N392" s="51"/>
      <c r="O392" s="51"/>
      <c r="P392" s="51"/>
      <c r="Q392" s="51"/>
      <c r="R392" s="51"/>
      <c r="S392" s="51"/>
      <c r="T392" s="51"/>
      <c r="U392" s="51"/>
      <c r="V392" s="51"/>
      <c r="W392" s="51"/>
      <c r="X392" s="51"/>
      <c r="Y392" s="51"/>
      <c r="Z392" s="51"/>
      <c r="AA392" s="51"/>
      <c r="AB392" s="51"/>
    </row>
    <row r="393" customFormat="false" ht="15.75" hidden="false" customHeight="false" outlineLevel="0" collapsed="false">
      <c r="A393" s="51"/>
      <c r="B393" s="51"/>
      <c r="C393" s="6"/>
      <c r="D393" s="49"/>
      <c r="E393" s="51"/>
      <c r="F393" s="6"/>
      <c r="G393" s="6"/>
      <c r="H393" s="6"/>
      <c r="I393" s="6"/>
      <c r="J393" s="6"/>
      <c r="K393" s="51"/>
      <c r="L393" s="51"/>
      <c r="M393" s="51"/>
      <c r="N393" s="51"/>
      <c r="O393" s="51"/>
      <c r="P393" s="51"/>
      <c r="Q393" s="51"/>
      <c r="R393" s="51"/>
      <c r="S393" s="51"/>
      <c r="T393" s="51"/>
      <c r="U393" s="51"/>
      <c r="V393" s="51"/>
      <c r="W393" s="51"/>
      <c r="X393" s="51"/>
      <c r="Y393" s="51"/>
      <c r="Z393" s="51"/>
      <c r="AA393" s="51"/>
      <c r="AB393" s="51"/>
    </row>
    <row r="394" customFormat="false" ht="15.75" hidden="false" customHeight="false" outlineLevel="0" collapsed="false">
      <c r="A394" s="51"/>
      <c r="B394" s="51"/>
      <c r="C394" s="6"/>
      <c r="D394" s="49"/>
      <c r="E394" s="51"/>
      <c r="F394" s="6"/>
      <c r="G394" s="6"/>
      <c r="H394" s="6"/>
      <c r="I394" s="6"/>
      <c r="J394" s="6"/>
      <c r="K394" s="51"/>
      <c r="L394" s="51"/>
      <c r="M394" s="51"/>
      <c r="N394" s="51"/>
      <c r="O394" s="51"/>
      <c r="P394" s="51"/>
      <c r="Q394" s="51"/>
      <c r="R394" s="51"/>
      <c r="S394" s="51"/>
      <c r="T394" s="51"/>
      <c r="U394" s="51"/>
      <c r="V394" s="51"/>
      <c r="W394" s="51"/>
      <c r="X394" s="51"/>
      <c r="Y394" s="51"/>
      <c r="Z394" s="51"/>
      <c r="AA394" s="51"/>
      <c r="AB394" s="51"/>
    </row>
    <row r="395" customFormat="false" ht="15.75" hidden="false" customHeight="false" outlineLevel="0" collapsed="false">
      <c r="A395" s="51"/>
      <c r="B395" s="51"/>
      <c r="C395" s="6"/>
      <c r="D395" s="49"/>
      <c r="E395" s="51"/>
      <c r="F395" s="6"/>
      <c r="G395" s="6"/>
      <c r="H395" s="6"/>
      <c r="I395" s="6"/>
      <c r="J395" s="6"/>
      <c r="K395" s="51"/>
      <c r="L395" s="51"/>
      <c r="M395" s="51"/>
      <c r="N395" s="51"/>
      <c r="O395" s="51"/>
      <c r="P395" s="51"/>
      <c r="Q395" s="51"/>
      <c r="R395" s="51"/>
      <c r="S395" s="51"/>
      <c r="T395" s="51"/>
      <c r="U395" s="51"/>
      <c r="V395" s="51"/>
      <c r="W395" s="51"/>
      <c r="X395" s="51"/>
      <c r="Y395" s="51"/>
      <c r="Z395" s="51"/>
      <c r="AA395" s="51"/>
      <c r="AB395" s="51"/>
    </row>
    <row r="396" customFormat="false" ht="15.75" hidden="false" customHeight="false" outlineLevel="0" collapsed="false">
      <c r="A396" s="51"/>
      <c r="B396" s="51"/>
      <c r="C396" s="6"/>
      <c r="D396" s="49"/>
      <c r="E396" s="51"/>
      <c r="F396" s="6"/>
      <c r="G396" s="6"/>
      <c r="H396" s="6"/>
      <c r="I396" s="6"/>
      <c r="J396" s="6"/>
      <c r="K396" s="51"/>
      <c r="L396" s="51"/>
      <c r="M396" s="51"/>
      <c r="N396" s="51"/>
      <c r="O396" s="51"/>
      <c r="P396" s="51"/>
      <c r="Q396" s="51"/>
      <c r="R396" s="51"/>
      <c r="S396" s="51"/>
      <c r="T396" s="51"/>
      <c r="U396" s="51"/>
      <c r="V396" s="51"/>
      <c r="W396" s="51"/>
      <c r="X396" s="51"/>
      <c r="Y396" s="51"/>
      <c r="Z396" s="51"/>
      <c r="AA396" s="51"/>
      <c r="AB396" s="51"/>
    </row>
    <row r="397" customFormat="false" ht="15.75" hidden="false" customHeight="false" outlineLevel="0" collapsed="false">
      <c r="A397" s="51"/>
      <c r="B397" s="51"/>
      <c r="C397" s="6"/>
      <c r="D397" s="49"/>
      <c r="E397" s="51"/>
      <c r="F397" s="6"/>
      <c r="G397" s="6"/>
      <c r="H397" s="6"/>
      <c r="I397" s="6"/>
      <c r="J397" s="6"/>
      <c r="K397" s="51"/>
      <c r="L397" s="51"/>
      <c r="M397" s="51"/>
      <c r="N397" s="51"/>
      <c r="O397" s="51"/>
      <c r="P397" s="51"/>
      <c r="Q397" s="51"/>
      <c r="R397" s="51"/>
      <c r="S397" s="51"/>
      <c r="T397" s="51"/>
      <c r="U397" s="51"/>
      <c r="V397" s="51"/>
      <c r="W397" s="51"/>
      <c r="X397" s="51"/>
      <c r="Y397" s="51"/>
      <c r="Z397" s="51"/>
      <c r="AA397" s="51"/>
      <c r="AB397" s="51"/>
    </row>
    <row r="398" customFormat="false" ht="15.75" hidden="false" customHeight="false" outlineLevel="0" collapsed="false">
      <c r="A398" s="51"/>
      <c r="B398" s="51"/>
      <c r="C398" s="6"/>
      <c r="D398" s="49"/>
      <c r="E398" s="51"/>
      <c r="F398" s="6"/>
      <c r="G398" s="6"/>
      <c r="H398" s="6"/>
      <c r="I398" s="6"/>
      <c r="J398" s="6"/>
      <c r="K398" s="51"/>
      <c r="L398" s="51"/>
      <c r="M398" s="51"/>
      <c r="N398" s="51"/>
      <c r="O398" s="51"/>
      <c r="P398" s="51"/>
      <c r="Q398" s="51"/>
      <c r="R398" s="51"/>
      <c r="S398" s="51"/>
      <c r="T398" s="51"/>
      <c r="U398" s="51"/>
      <c r="V398" s="51"/>
      <c r="W398" s="51"/>
      <c r="X398" s="51"/>
      <c r="Y398" s="51"/>
      <c r="Z398" s="51"/>
      <c r="AA398" s="51"/>
      <c r="AB398" s="51"/>
    </row>
    <row r="399" customFormat="false" ht="15.75" hidden="false" customHeight="false" outlineLevel="0" collapsed="false">
      <c r="A399" s="51"/>
      <c r="B399" s="51"/>
      <c r="C399" s="6"/>
      <c r="D399" s="49"/>
      <c r="E399" s="51"/>
      <c r="F399" s="6"/>
      <c r="G399" s="6"/>
      <c r="H399" s="6"/>
      <c r="I399" s="6"/>
      <c r="J399" s="6"/>
      <c r="K399" s="51"/>
      <c r="L399" s="51"/>
      <c r="M399" s="51"/>
      <c r="N399" s="51"/>
      <c r="O399" s="51"/>
      <c r="P399" s="51"/>
      <c r="Q399" s="51"/>
      <c r="R399" s="51"/>
      <c r="S399" s="51"/>
      <c r="T399" s="51"/>
      <c r="U399" s="51"/>
      <c r="V399" s="51"/>
      <c r="W399" s="51"/>
      <c r="X399" s="51"/>
      <c r="Y399" s="51"/>
      <c r="Z399" s="51"/>
      <c r="AA399" s="51"/>
      <c r="AB399" s="51"/>
    </row>
    <row r="400" customFormat="false" ht="15.75" hidden="false" customHeight="false" outlineLevel="0" collapsed="false">
      <c r="A400" s="51"/>
      <c r="B400" s="51"/>
      <c r="C400" s="6"/>
      <c r="D400" s="49"/>
      <c r="E400" s="51"/>
      <c r="F400" s="6"/>
      <c r="G400" s="6"/>
      <c r="H400" s="6"/>
      <c r="I400" s="6"/>
      <c r="J400" s="6"/>
      <c r="K400" s="51"/>
      <c r="L400" s="51"/>
      <c r="M400" s="51"/>
      <c r="N400" s="51"/>
      <c r="O400" s="51"/>
      <c r="P400" s="51"/>
      <c r="Q400" s="51"/>
      <c r="R400" s="51"/>
      <c r="S400" s="51"/>
      <c r="T400" s="51"/>
      <c r="U400" s="51"/>
      <c r="V400" s="51"/>
      <c r="W400" s="51"/>
      <c r="X400" s="51"/>
      <c r="Y400" s="51"/>
      <c r="Z400" s="51"/>
      <c r="AA400" s="51"/>
      <c r="AB400" s="51"/>
    </row>
    <row r="401" customFormat="false" ht="15.75" hidden="false" customHeight="false" outlineLevel="0" collapsed="false">
      <c r="A401" s="51"/>
      <c r="B401" s="51"/>
      <c r="C401" s="6"/>
      <c r="D401" s="49"/>
      <c r="E401" s="51"/>
      <c r="F401" s="6"/>
      <c r="G401" s="6"/>
      <c r="H401" s="6"/>
      <c r="I401" s="6"/>
      <c r="J401" s="6"/>
      <c r="K401" s="51"/>
      <c r="L401" s="51"/>
      <c r="M401" s="51"/>
      <c r="N401" s="51"/>
      <c r="O401" s="51"/>
      <c r="P401" s="51"/>
      <c r="Q401" s="51"/>
      <c r="R401" s="51"/>
      <c r="S401" s="51"/>
      <c r="T401" s="51"/>
      <c r="U401" s="51"/>
      <c r="V401" s="51"/>
      <c r="W401" s="51"/>
      <c r="X401" s="51"/>
      <c r="Y401" s="51"/>
      <c r="Z401" s="51"/>
      <c r="AA401" s="51"/>
      <c r="AB401" s="51"/>
    </row>
    <row r="402" customFormat="false" ht="15.75" hidden="false" customHeight="false" outlineLevel="0" collapsed="false">
      <c r="A402" s="51"/>
      <c r="B402" s="51"/>
      <c r="C402" s="6"/>
      <c r="D402" s="49"/>
      <c r="E402" s="51"/>
      <c r="F402" s="6"/>
      <c r="G402" s="6"/>
      <c r="H402" s="6"/>
      <c r="I402" s="6"/>
      <c r="J402" s="6"/>
      <c r="K402" s="51"/>
      <c r="L402" s="51"/>
      <c r="M402" s="51"/>
      <c r="N402" s="51"/>
      <c r="O402" s="51"/>
      <c r="P402" s="51"/>
      <c r="Q402" s="51"/>
      <c r="R402" s="51"/>
      <c r="S402" s="51"/>
      <c r="T402" s="51"/>
      <c r="U402" s="51"/>
      <c r="V402" s="51"/>
      <c r="W402" s="51"/>
      <c r="X402" s="51"/>
      <c r="Y402" s="51"/>
      <c r="Z402" s="51"/>
      <c r="AA402" s="51"/>
      <c r="AB402" s="51"/>
    </row>
    <row r="403" customFormat="false" ht="15.75" hidden="false" customHeight="false" outlineLevel="0" collapsed="false">
      <c r="A403" s="51"/>
      <c r="B403" s="51"/>
      <c r="C403" s="6"/>
      <c r="D403" s="49"/>
      <c r="E403" s="51"/>
      <c r="F403" s="6"/>
      <c r="G403" s="6"/>
      <c r="H403" s="6"/>
      <c r="I403" s="6"/>
      <c r="J403" s="6"/>
      <c r="K403" s="51"/>
      <c r="L403" s="51"/>
      <c r="M403" s="51"/>
      <c r="N403" s="51"/>
      <c r="O403" s="51"/>
      <c r="P403" s="51"/>
      <c r="Q403" s="51"/>
      <c r="R403" s="51"/>
      <c r="S403" s="51"/>
      <c r="T403" s="51"/>
      <c r="U403" s="51"/>
      <c r="V403" s="51"/>
      <c r="W403" s="51"/>
      <c r="X403" s="51"/>
      <c r="Y403" s="51"/>
      <c r="Z403" s="51"/>
      <c r="AA403" s="51"/>
      <c r="AB403" s="51"/>
    </row>
    <row r="404" customFormat="false" ht="15.75" hidden="false" customHeight="false" outlineLevel="0" collapsed="false">
      <c r="A404" s="51"/>
      <c r="B404" s="51"/>
      <c r="C404" s="6"/>
      <c r="D404" s="49"/>
      <c r="E404" s="51"/>
      <c r="F404" s="6"/>
      <c r="G404" s="6"/>
      <c r="H404" s="6"/>
      <c r="I404" s="6"/>
      <c r="J404" s="6"/>
      <c r="K404" s="51"/>
      <c r="L404" s="51"/>
      <c r="M404" s="51"/>
      <c r="N404" s="51"/>
      <c r="O404" s="51"/>
      <c r="P404" s="51"/>
      <c r="Q404" s="51"/>
      <c r="R404" s="51"/>
      <c r="S404" s="51"/>
      <c r="T404" s="51"/>
      <c r="U404" s="51"/>
      <c r="V404" s="51"/>
      <c r="W404" s="51"/>
      <c r="X404" s="51"/>
      <c r="Y404" s="51"/>
      <c r="Z404" s="51"/>
      <c r="AA404" s="51"/>
      <c r="AB404" s="51"/>
    </row>
    <row r="405" customFormat="false" ht="15.75" hidden="false" customHeight="false" outlineLevel="0" collapsed="false">
      <c r="A405" s="51"/>
      <c r="B405" s="51"/>
      <c r="C405" s="6"/>
      <c r="D405" s="49"/>
      <c r="E405" s="51"/>
      <c r="F405" s="6"/>
      <c r="G405" s="6"/>
      <c r="H405" s="6"/>
      <c r="I405" s="6"/>
      <c r="J405" s="6"/>
      <c r="K405" s="51"/>
      <c r="L405" s="51"/>
      <c r="M405" s="51"/>
      <c r="N405" s="51"/>
      <c r="O405" s="51"/>
      <c r="P405" s="51"/>
      <c r="Q405" s="51"/>
      <c r="R405" s="51"/>
      <c r="S405" s="51"/>
      <c r="T405" s="51"/>
      <c r="U405" s="51"/>
      <c r="V405" s="51"/>
      <c r="W405" s="51"/>
      <c r="X405" s="51"/>
      <c r="Y405" s="51"/>
      <c r="Z405" s="51"/>
      <c r="AA405" s="51"/>
      <c r="AB405" s="51"/>
    </row>
    <row r="406" customFormat="false" ht="15.75" hidden="false" customHeight="false" outlineLevel="0" collapsed="false">
      <c r="A406" s="51"/>
      <c r="B406" s="51"/>
      <c r="C406" s="6"/>
      <c r="D406" s="49"/>
      <c r="E406" s="51"/>
      <c r="F406" s="6"/>
      <c r="G406" s="6"/>
      <c r="H406" s="6"/>
      <c r="I406" s="6"/>
      <c r="J406" s="6"/>
      <c r="K406" s="51"/>
      <c r="L406" s="51"/>
      <c r="M406" s="51"/>
      <c r="N406" s="51"/>
      <c r="O406" s="51"/>
      <c r="P406" s="51"/>
      <c r="Q406" s="51"/>
      <c r="R406" s="51"/>
      <c r="S406" s="51"/>
      <c r="T406" s="51"/>
      <c r="U406" s="51"/>
      <c r="V406" s="51"/>
      <c r="W406" s="51"/>
      <c r="X406" s="51"/>
      <c r="Y406" s="51"/>
      <c r="Z406" s="51"/>
      <c r="AA406" s="51"/>
      <c r="AB406" s="51"/>
    </row>
    <row r="407" customFormat="false" ht="15.75" hidden="false" customHeight="false" outlineLevel="0" collapsed="false">
      <c r="A407" s="51"/>
      <c r="B407" s="51"/>
      <c r="C407" s="6"/>
      <c r="D407" s="49"/>
      <c r="E407" s="51"/>
      <c r="F407" s="6"/>
      <c r="G407" s="6"/>
      <c r="H407" s="6"/>
      <c r="I407" s="6"/>
      <c r="J407" s="6"/>
      <c r="K407" s="51"/>
      <c r="L407" s="51"/>
      <c r="M407" s="51"/>
      <c r="N407" s="51"/>
      <c r="O407" s="51"/>
      <c r="P407" s="51"/>
      <c r="Q407" s="51"/>
      <c r="R407" s="51"/>
      <c r="S407" s="51"/>
      <c r="T407" s="51"/>
      <c r="U407" s="51"/>
      <c r="V407" s="51"/>
      <c r="W407" s="51"/>
      <c r="X407" s="51"/>
      <c r="Y407" s="51"/>
      <c r="Z407" s="51"/>
      <c r="AA407" s="51"/>
      <c r="AB407" s="51"/>
    </row>
    <row r="408" customFormat="false" ht="15.75" hidden="false" customHeight="false" outlineLevel="0" collapsed="false">
      <c r="A408" s="51"/>
      <c r="B408" s="51"/>
      <c r="C408" s="6"/>
      <c r="D408" s="49"/>
      <c r="E408" s="51"/>
      <c r="F408" s="6"/>
      <c r="G408" s="6"/>
      <c r="H408" s="6"/>
      <c r="I408" s="6"/>
      <c r="J408" s="6"/>
      <c r="K408" s="51"/>
      <c r="L408" s="51"/>
      <c r="M408" s="51"/>
      <c r="N408" s="51"/>
      <c r="O408" s="51"/>
      <c r="P408" s="51"/>
      <c r="Q408" s="51"/>
      <c r="R408" s="51"/>
      <c r="S408" s="51"/>
      <c r="T408" s="51"/>
      <c r="U408" s="51"/>
      <c r="V408" s="51"/>
      <c r="W408" s="51"/>
      <c r="X408" s="51"/>
      <c r="Y408" s="51"/>
      <c r="Z408" s="51"/>
      <c r="AA408" s="51"/>
      <c r="AB408" s="51"/>
    </row>
    <row r="409" customFormat="false" ht="15.75" hidden="false" customHeight="false" outlineLevel="0" collapsed="false">
      <c r="A409" s="51"/>
      <c r="B409" s="51"/>
      <c r="C409" s="6"/>
      <c r="D409" s="49"/>
      <c r="E409" s="51"/>
      <c r="F409" s="6"/>
      <c r="G409" s="6"/>
      <c r="H409" s="6"/>
      <c r="I409" s="6"/>
      <c r="J409" s="6"/>
      <c r="K409" s="51"/>
      <c r="L409" s="51"/>
      <c r="M409" s="51"/>
      <c r="N409" s="51"/>
      <c r="O409" s="51"/>
      <c r="P409" s="51"/>
      <c r="Q409" s="51"/>
      <c r="R409" s="51"/>
      <c r="S409" s="51"/>
      <c r="T409" s="51"/>
      <c r="U409" s="51"/>
      <c r="V409" s="51"/>
      <c r="W409" s="51"/>
      <c r="X409" s="51"/>
      <c r="Y409" s="51"/>
      <c r="Z409" s="51"/>
      <c r="AA409" s="51"/>
      <c r="AB409" s="51"/>
    </row>
    <row r="410" customFormat="false" ht="15.75" hidden="false" customHeight="false" outlineLevel="0" collapsed="false">
      <c r="A410" s="51"/>
      <c r="B410" s="51"/>
      <c r="C410" s="6"/>
      <c r="D410" s="49"/>
      <c r="E410" s="51"/>
      <c r="F410" s="6"/>
      <c r="G410" s="6"/>
      <c r="H410" s="6"/>
      <c r="I410" s="6"/>
      <c r="J410" s="6"/>
      <c r="K410" s="51"/>
      <c r="L410" s="51"/>
      <c r="M410" s="51"/>
      <c r="N410" s="51"/>
      <c r="O410" s="51"/>
      <c r="P410" s="51"/>
      <c r="Q410" s="51"/>
      <c r="R410" s="51"/>
      <c r="S410" s="51"/>
      <c r="T410" s="51"/>
      <c r="U410" s="51"/>
      <c r="V410" s="51"/>
      <c r="W410" s="51"/>
      <c r="X410" s="51"/>
      <c r="Y410" s="51"/>
      <c r="Z410" s="51"/>
      <c r="AA410" s="51"/>
      <c r="AB410" s="51"/>
    </row>
    <row r="411" customFormat="false" ht="15.75" hidden="false" customHeight="false" outlineLevel="0" collapsed="false">
      <c r="A411" s="51"/>
      <c r="B411" s="51"/>
      <c r="C411" s="6"/>
      <c r="D411" s="49"/>
      <c r="E411" s="51"/>
      <c r="F411" s="6"/>
      <c r="G411" s="6"/>
      <c r="H411" s="6"/>
      <c r="I411" s="6"/>
      <c r="J411" s="6"/>
      <c r="K411" s="51"/>
      <c r="L411" s="51"/>
      <c r="M411" s="51"/>
      <c r="N411" s="51"/>
      <c r="O411" s="51"/>
      <c r="P411" s="51"/>
      <c r="Q411" s="51"/>
      <c r="R411" s="51"/>
      <c r="S411" s="51"/>
      <c r="T411" s="51"/>
      <c r="U411" s="51"/>
      <c r="V411" s="51"/>
      <c r="W411" s="51"/>
      <c r="X411" s="51"/>
      <c r="Y411" s="51"/>
      <c r="Z411" s="51"/>
      <c r="AA411" s="51"/>
      <c r="AB411" s="51"/>
    </row>
    <row r="412" customFormat="false" ht="15.75" hidden="false" customHeight="false" outlineLevel="0" collapsed="false">
      <c r="A412" s="51"/>
      <c r="B412" s="51"/>
      <c r="C412" s="6"/>
      <c r="D412" s="49"/>
      <c r="E412" s="51"/>
      <c r="F412" s="6"/>
      <c r="G412" s="6"/>
      <c r="H412" s="6"/>
      <c r="I412" s="6"/>
      <c r="J412" s="6"/>
      <c r="K412" s="51"/>
      <c r="L412" s="51"/>
      <c r="M412" s="51"/>
      <c r="N412" s="51"/>
      <c r="O412" s="51"/>
      <c r="P412" s="51"/>
      <c r="Q412" s="51"/>
      <c r="R412" s="51"/>
      <c r="S412" s="51"/>
      <c r="T412" s="51"/>
      <c r="U412" s="51"/>
      <c r="V412" s="51"/>
      <c r="W412" s="51"/>
      <c r="X412" s="51"/>
      <c r="Y412" s="51"/>
      <c r="Z412" s="51"/>
      <c r="AA412" s="51"/>
      <c r="AB412" s="51"/>
    </row>
    <row r="413" customFormat="false" ht="15.75" hidden="false" customHeight="false" outlineLevel="0" collapsed="false">
      <c r="A413" s="51"/>
      <c r="B413" s="51"/>
      <c r="C413" s="6"/>
      <c r="D413" s="49"/>
      <c r="E413" s="51"/>
      <c r="F413" s="6"/>
      <c r="G413" s="6"/>
      <c r="H413" s="6"/>
      <c r="I413" s="6"/>
      <c r="J413" s="6"/>
      <c r="K413" s="51"/>
      <c r="L413" s="51"/>
      <c r="M413" s="51"/>
      <c r="N413" s="51"/>
      <c r="O413" s="51"/>
      <c r="P413" s="51"/>
      <c r="Q413" s="51"/>
      <c r="R413" s="51"/>
      <c r="S413" s="51"/>
      <c r="T413" s="51"/>
      <c r="U413" s="51"/>
      <c r="V413" s="51"/>
      <c r="W413" s="51"/>
      <c r="X413" s="51"/>
      <c r="Y413" s="51"/>
      <c r="Z413" s="51"/>
      <c r="AA413" s="51"/>
      <c r="AB413" s="51"/>
    </row>
    <row r="414" customFormat="false" ht="15.75" hidden="false" customHeight="false" outlineLevel="0" collapsed="false">
      <c r="A414" s="51"/>
      <c r="B414" s="51"/>
      <c r="C414" s="6"/>
      <c r="D414" s="49"/>
      <c r="E414" s="51"/>
      <c r="F414" s="6"/>
      <c r="G414" s="6"/>
      <c r="H414" s="6"/>
      <c r="I414" s="6"/>
      <c r="J414" s="6"/>
      <c r="K414" s="51"/>
      <c r="L414" s="51"/>
      <c r="M414" s="51"/>
      <c r="N414" s="51"/>
      <c r="O414" s="51"/>
      <c r="P414" s="51"/>
      <c r="Q414" s="51"/>
      <c r="R414" s="51"/>
      <c r="S414" s="51"/>
      <c r="T414" s="51"/>
      <c r="U414" s="51"/>
      <c r="V414" s="51"/>
      <c r="W414" s="51"/>
      <c r="X414" s="51"/>
      <c r="Y414" s="51"/>
      <c r="Z414" s="51"/>
      <c r="AA414" s="51"/>
      <c r="AB414" s="51"/>
    </row>
    <row r="415" customFormat="false" ht="15.75" hidden="false" customHeight="false" outlineLevel="0" collapsed="false">
      <c r="A415" s="51"/>
      <c r="B415" s="51"/>
      <c r="C415" s="6"/>
      <c r="D415" s="49"/>
      <c r="E415" s="51"/>
      <c r="F415" s="6"/>
      <c r="G415" s="6"/>
      <c r="H415" s="6"/>
      <c r="I415" s="6"/>
      <c r="J415" s="6"/>
      <c r="K415" s="51"/>
      <c r="L415" s="51"/>
      <c r="M415" s="51"/>
      <c r="N415" s="51"/>
      <c r="O415" s="51"/>
      <c r="P415" s="51"/>
      <c r="Q415" s="51"/>
      <c r="R415" s="51"/>
      <c r="S415" s="51"/>
      <c r="T415" s="51"/>
      <c r="U415" s="51"/>
      <c r="V415" s="51"/>
      <c r="W415" s="51"/>
      <c r="X415" s="51"/>
      <c r="Y415" s="51"/>
      <c r="Z415" s="51"/>
      <c r="AA415" s="51"/>
      <c r="AB415" s="51"/>
    </row>
    <row r="416" customFormat="false" ht="15.75" hidden="false" customHeight="false" outlineLevel="0" collapsed="false">
      <c r="A416" s="51"/>
      <c r="B416" s="51"/>
      <c r="C416" s="6"/>
      <c r="D416" s="49"/>
      <c r="E416" s="51"/>
      <c r="F416" s="6"/>
      <c r="G416" s="6"/>
      <c r="H416" s="6"/>
      <c r="I416" s="6"/>
      <c r="J416" s="6"/>
      <c r="K416" s="51"/>
      <c r="L416" s="51"/>
      <c r="M416" s="51"/>
      <c r="N416" s="51"/>
      <c r="O416" s="51"/>
      <c r="P416" s="51"/>
      <c r="Q416" s="51"/>
      <c r="R416" s="51"/>
      <c r="S416" s="51"/>
      <c r="T416" s="51"/>
      <c r="U416" s="51"/>
      <c r="V416" s="51"/>
      <c r="W416" s="51"/>
      <c r="X416" s="51"/>
      <c r="Y416" s="51"/>
      <c r="Z416" s="51"/>
      <c r="AA416" s="51"/>
      <c r="AB416" s="51"/>
    </row>
    <row r="417" customFormat="false" ht="15.75" hidden="false" customHeight="false" outlineLevel="0" collapsed="false">
      <c r="A417" s="51"/>
      <c r="B417" s="51"/>
      <c r="C417" s="6"/>
      <c r="D417" s="49"/>
      <c r="E417" s="51"/>
      <c r="F417" s="6"/>
      <c r="G417" s="6"/>
      <c r="H417" s="6"/>
      <c r="I417" s="6"/>
      <c r="J417" s="6"/>
      <c r="K417" s="51"/>
      <c r="L417" s="51"/>
      <c r="M417" s="51"/>
      <c r="N417" s="51"/>
      <c r="O417" s="51"/>
      <c r="P417" s="51"/>
      <c r="Q417" s="51"/>
      <c r="R417" s="51"/>
      <c r="S417" s="51"/>
      <c r="T417" s="51"/>
      <c r="U417" s="51"/>
      <c r="V417" s="51"/>
      <c r="W417" s="51"/>
      <c r="X417" s="51"/>
      <c r="Y417" s="51"/>
      <c r="Z417" s="51"/>
      <c r="AA417" s="51"/>
      <c r="AB417" s="51"/>
    </row>
    <row r="418" customFormat="false" ht="15.75" hidden="false" customHeight="false" outlineLevel="0" collapsed="false">
      <c r="A418" s="51"/>
      <c r="B418" s="51"/>
      <c r="C418" s="6"/>
      <c r="D418" s="49"/>
      <c r="E418" s="51"/>
      <c r="F418" s="6"/>
      <c r="G418" s="6"/>
      <c r="H418" s="6"/>
      <c r="I418" s="6"/>
      <c r="J418" s="6"/>
      <c r="K418" s="51"/>
      <c r="L418" s="51"/>
      <c r="M418" s="51"/>
      <c r="N418" s="51"/>
      <c r="O418" s="51"/>
      <c r="P418" s="51"/>
      <c r="Q418" s="51"/>
      <c r="R418" s="51"/>
      <c r="S418" s="51"/>
      <c r="T418" s="51"/>
      <c r="U418" s="51"/>
      <c r="V418" s="51"/>
      <c r="W418" s="51"/>
      <c r="X418" s="51"/>
      <c r="Y418" s="51"/>
      <c r="Z418" s="51"/>
      <c r="AA418" s="51"/>
      <c r="AB418" s="51"/>
    </row>
    <row r="419" customFormat="false" ht="15.75" hidden="false" customHeight="false" outlineLevel="0" collapsed="false">
      <c r="A419" s="51"/>
      <c r="B419" s="51"/>
      <c r="C419" s="6"/>
      <c r="D419" s="49"/>
      <c r="E419" s="51"/>
      <c r="F419" s="6"/>
      <c r="G419" s="6"/>
      <c r="H419" s="6"/>
      <c r="I419" s="6"/>
      <c r="J419" s="6"/>
      <c r="K419" s="51"/>
      <c r="L419" s="51"/>
      <c r="M419" s="51"/>
      <c r="N419" s="51"/>
      <c r="O419" s="51"/>
      <c r="P419" s="51"/>
      <c r="Q419" s="51"/>
      <c r="R419" s="51"/>
      <c r="S419" s="51"/>
      <c r="T419" s="51"/>
      <c r="U419" s="51"/>
      <c r="V419" s="51"/>
      <c r="W419" s="51"/>
      <c r="X419" s="51"/>
      <c r="Y419" s="51"/>
      <c r="Z419" s="51"/>
      <c r="AA419" s="51"/>
      <c r="AB419" s="51"/>
    </row>
    <row r="420" customFormat="false" ht="15.75" hidden="false" customHeight="false" outlineLevel="0" collapsed="false">
      <c r="A420" s="51"/>
      <c r="B420" s="51"/>
      <c r="C420" s="6"/>
      <c r="D420" s="49"/>
      <c r="E420" s="51"/>
      <c r="F420" s="6"/>
      <c r="G420" s="6"/>
      <c r="H420" s="6"/>
      <c r="I420" s="6"/>
      <c r="J420" s="6"/>
      <c r="K420" s="51"/>
      <c r="L420" s="51"/>
      <c r="M420" s="51"/>
      <c r="N420" s="51"/>
      <c r="O420" s="51"/>
      <c r="P420" s="51"/>
      <c r="Q420" s="51"/>
      <c r="R420" s="51"/>
      <c r="S420" s="51"/>
      <c r="T420" s="51"/>
      <c r="U420" s="51"/>
      <c r="V420" s="51"/>
      <c r="W420" s="51"/>
      <c r="X420" s="51"/>
      <c r="Y420" s="51"/>
      <c r="Z420" s="51"/>
      <c r="AA420" s="51"/>
      <c r="AB420" s="51"/>
    </row>
    <row r="421" customFormat="false" ht="15.75" hidden="false" customHeight="false" outlineLevel="0" collapsed="false">
      <c r="A421" s="51"/>
      <c r="B421" s="51"/>
      <c r="C421" s="6"/>
      <c r="D421" s="49"/>
      <c r="E421" s="51"/>
      <c r="F421" s="6"/>
      <c r="G421" s="6"/>
      <c r="H421" s="6"/>
      <c r="I421" s="6"/>
      <c r="J421" s="6"/>
      <c r="K421" s="51"/>
      <c r="L421" s="51"/>
      <c r="M421" s="51"/>
      <c r="N421" s="51"/>
      <c r="O421" s="51"/>
      <c r="P421" s="51"/>
      <c r="Q421" s="51"/>
      <c r="R421" s="51"/>
      <c r="S421" s="51"/>
      <c r="T421" s="51"/>
      <c r="U421" s="51"/>
      <c r="V421" s="51"/>
      <c r="W421" s="51"/>
      <c r="X421" s="51"/>
      <c r="Y421" s="51"/>
      <c r="Z421" s="51"/>
      <c r="AA421" s="51"/>
      <c r="AB421" s="51"/>
    </row>
    <row r="422" customFormat="false" ht="15.75" hidden="false" customHeight="false" outlineLevel="0" collapsed="false">
      <c r="A422" s="51"/>
      <c r="B422" s="51"/>
      <c r="C422" s="6"/>
      <c r="D422" s="49"/>
      <c r="E422" s="51"/>
      <c r="F422" s="6"/>
      <c r="G422" s="6"/>
      <c r="H422" s="6"/>
      <c r="I422" s="6"/>
      <c r="J422" s="6"/>
      <c r="K422" s="51"/>
      <c r="L422" s="51"/>
      <c r="M422" s="51"/>
      <c r="N422" s="51"/>
      <c r="O422" s="51"/>
      <c r="P422" s="51"/>
      <c r="Q422" s="51"/>
      <c r="R422" s="51"/>
      <c r="S422" s="51"/>
      <c r="T422" s="51"/>
      <c r="U422" s="51"/>
      <c r="V422" s="51"/>
      <c r="W422" s="51"/>
      <c r="X422" s="51"/>
      <c r="Y422" s="51"/>
      <c r="Z422" s="51"/>
      <c r="AA422" s="51"/>
      <c r="AB422" s="51"/>
    </row>
    <row r="423" customFormat="false" ht="15.75" hidden="false" customHeight="false" outlineLevel="0" collapsed="false">
      <c r="A423" s="51"/>
      <c r="B423" s="51"/>
      <c r="C423" s="6"/>
      <c r="D423" s="49"/>
      <c r="E423" s="51"/>
      <c r="F423" s="6"/>
      <c r="G423" s="6"/>
      <c r="H423" s="6"/>
      <c r="I423" s="6"/>
      <c r="J423" s="6"/>
      <c r="K423" s="51"/>
      <c r="L423" s="51"/>
      <c r="M423" s="51"/>
      <c r="N423" s="51"/>
      <c r="O423" s="51"/>
      <c r="P423" s="51"/>
      <c r="Q423" s="51"/>
      <c r="R423" s="51"/>
      <c r="S423" s="51"/>
      <c r="T423" s="51"/>
      <c r="U423" s="51"/>
      <c r="V423" s="51"/>
      <c r="W423" s="51"/>
      <c r="X423" s="51"/>
      <c r="Y423" s="51"/>
      <c r="Z423" s="51"/>
      <c r="AA423" s="51"/>
      <c r="AB423" s="51"/>
    </row>
    <row r="424" customFormat="false" ht="15.75" hidden="false" customHeight="false" outlineLevel="0" collapsed="false">
      <c r="A424" s="51"/>
      <c r="B424" s="51"/>
      <c r="C424" s="6"/>
      <c r="D424" s="49"/>
      <c r="E424" s="51"/>
      <c r="F424" s="6"/>
      <c r="G424" s="6"/>
      <c r="H424" s="6"/>
      <c r="I424" s="6"/>
      <c r="J424" s="6"/>
      <c r="K424" s="51"/>
      <c r="L424" s="51"/>
      <c r="M424" s="51"/>
      <c r="N424" s="51"/>
      <c r="O424" s="51"/>
      <c r="P424" s="51"/>
      <c r="Q424" s="51"/>
      <c r="R424" s="51"/>
      <c r="S424" s="51"/>
      <c r="T424" s="51"/>
      <c r="U424" s="51"/>
      <c r="V424" s="51"/>
      <c r="W424" s="51"/>
      <c r="X424" s="51"/>
      <c r="Y424" s="51"/>
      <c r="Z424" s="51"/>
      <c r="AA424" s="51"/>
      <c r="AB424" s="51"/>
    </row>
    <row r="425" customFormat="false" ht="15.75" hidden="false" customHeight="false" outlineLevel="0" collapsed="false">
      <c r="A425" s="51"/>
      <c r="B425" s="51"/>
      <c r="C425" s="6"/>
      <c r="D425" s="49"/>
      <c r="E425" s="51"/>
      <c r="F425" s="6"/>
      <c r="G425" s="6"/>
      <c r="H425" s="6"/>
      <c r="I425" s="6"/>
      <c r="J425" s="6"/>
      <c r="K425" s="51"/>
      <c r="L425" s="51"/>
      <c r="M425" s="51"/>
      <c r="N425" s="51"/>
      <c r="O425" s="51"/>
      <c r="P425" s="51"/>
      <c r="Q425" s="51"/>
      <c r="R425" s="51"/>
      <c r="S425" s="51"/>
      <c r="T425" s="51"/>
      <c r="U425" s="51"/>
      <c r="V425" s="51"/>
      <c r="W425" s="51"/>
      <c r="X425" s="51"/>
      <c r="Y425" s="51"/>
      <c r="Z425" s="51"/>
      <c r="AA425" s="51"/>
      <c r="AB425" s="51"/>
    </row>
    <row r="426" customFormat="false" ht="15.75" hidden="false" customHeight="false" outlineLevel="0" collapsed="false">
      <c r="A426" s="51"/>
      <c r="B426" s="51"/>
      <c r="C426" s="6"/>
      <c r="D426" s="49"/>
      <c r="E426" s="51"/>
      <c r="F426" s="6"/>
      <c r="G426" s="6"/>
      <c r="H426" s="6"/>
      <c r="I426" s="6"/>
      <c r="J426" s="6"/>
      <c r="K426" s="51"/>
      <c r="L426" s="51"/>
      <c r="M426" s="51"/>
      <c r="N426" s="51"/>
      <c r="O426" s="51"/>
      <c r="P426" s="51"/>
      <c r="Q426" s="51"/>
      <c r="R426" s="51"/>
      <c r="S426" s="51"/>
      <c r="T426" s="51"/>
      <c r="U426" s="51"/>
      <c r="V426" s="51"/>
      <c r="W426" s="51"/>
      <c r="X426" s="51"/>
      <c r="Y426" s="51"/>
      <c r="Z426" s="51"/>
      <c r="AA426" s="51"/>
      <c r="AB426" s="51"/>
    </row>
    <row r="427" customFormat="false" ht="15.75" hidden="false" customHeight="false" outlineLevel="0" collapsed="false">
      <c r="A427" s="51"/>
      <c r="B427" s="51"/>
      <c r="C427" s="6"/>
      <c r="D427" s="49"/>
      <c r="E427" s="51"/>
      <c r="F427" s="6"/>
      <c r="G427" s="6"/>
      <c r="H427" s="6"/>
      <c r="I427" s="6"/>
      <c r="J427" s="6"/>
      <c r="K427" s="51"/>
      <c r="L427" s="51"/>
      <c r="M427" s="51"/>
      <c r="N427" s="51"/>
      <c r="O427" s="51"/>
      <c r="P427" s="51"/>
      <c r="Q427" s="51"/>
      <c r="R427" s="51"/>
      <c r="S427" s="51"/>
      <c r="T427" s="51"/>
      <c r="U427" s="51"/>
      <c r="V427" s="51"/>
      <c r="W427" s="51"/>
      <c r="X427" s="51"/>
      <c r="Y427" s="51"/>
      <c r="Z427" s="51"/>
      <c r="AA427" s="51"/>
      <c r="AB427" s="51"/>
    </row>
    <row r="428" customFormat="false" ht="15.75" hidden="false" customHeight="false" outlineLevel="0" collapsed="false">
      <c r="A428" s="51"/>
      <c r="B428" s="51"/>
      <c r="C428" s="6"/>
      <c r="D428" s="49"/>
      <c r="E428" s="51"/>
      <c r="F428" s="6"/>
      <c r="G428" s="6"/>
      <c r="H428" s="6"/>
      <c r="I428" s="6"/>
      <c r="J428" s="6"/>
      <c r="K428" s="51"/>
      <c r="L428" s="51"/>
      <c r="M428" s="51"/>
      <c r="N428" s="51"/>
      <c r="O428" s="51"/>
      <c r="P428" s="51"/>
      <c r="Q428" s="51"/>
      <c r="R428" s="51"/>
      <c r="S428" s="51"/>
      <c r="T428" s="51"/>
      <c r="U428" s="51"/>
      <c r="V428" s="51"/>
      <c r="W428" s="51"/>
      <c r="X428" s="51"/>
      <c r="Y428" s="51"/>
      <c r="Z428" s="51"/>
      <c r="AA428" s="51"/>
      <c r="AB428" s="51"/>
    </row>
    <row r="429" customFormat="false" ht="15.75" hidden="false" customHeight="false" outlineLevel="0" collapsed="false">
      <c r="A429" s="51"/>
      <c r="B429" s="51"/>
      <c r="C429" s="6"/>
      <c r="D429" s="49"/>
      <c r="E429" s="51"/>
      <c r="F429" s="6"/>
      <c r="G429" s="6"/>
      <c r="H429" s="6"/>
      <c r="I429" s="6"/>
      <c r="J429" s="6"/>
      <c r="K429" s="51"/>
      <c r="L429" s="51"/>
      <c r="M429" s="51"/>
      <c r="N429" s="51"/>
      <c r="O429" s="51"/>
      <c r="P429" s="51"/>
      <c r="Q429" s="51"/>
      <c r="R429" s="51"/>
      <c r="S429" s="51"/>
      <c r="T429" s="51"/>
      <c r="U429" s="51"/>
      <c r="V429" s="51"/>
      <c r="W429" s="51"/>
      <c r="X429" s="51"/>
      <c r="Y429" s="51"/>
      <c r="Z429" s="51"/>
      <c r="AA429" s="51"/>
      <c r="AB429" s="51"/>
    </row>
    <row r="430" customFormat="false" ht="15.75" hidden="false" customHeight="false" outlineLevel="0" collapsed="false">
      <c r="A430" s="51"/>
      <c r="B430" s="51"/>
      <c r="C430" s="6"/>
      <c r="D430" s="49"/>
      <c r="E430" s="51"/>
      <c r="F430" s="6"/>
      <c r="G430" s="6"/>
      <c r="H430" s="6"/>
      <c r="I430" s="6"/>
      <c r="J430" s="6"/>
      <c r="K430" s="51"/>
      <c r="L430" s="51"/>
      <c r="M430" s="51"/>
      <c r="N430" s="51"/>
      <c r="O430" s="51"/>
      <c r="P430" s="51"/>
      <c r="Q430" s="51"/>
      <c r="R430" s="51"/>
      <c r="S430" s="51"/>
      <c r="T430" s="51"/>
      <c r="U430" s="51"/>
      <c r="V430" s="51"/>
      <c r="W430" s="51"/>
      <c r="X430" s="51"/>
      <c r="Y430" s="51"/>
      <c r="Z430" s="51"/>
      <c r="AA430" s="51"/>
      <c r="AB430" s="51"/>
    </row>
    <row r="431" customFormat="false" ht="15.75" hidden="false" customHeight="false" outlineLevel="0" collapsed="false">
      <c r="A431" s="51"/>
      <c r="B431" s="51"/>
      <c r="C431" s="6"/>
      <c r="D431" s="49"/>
      <c r="E431" s="51"/>
      <c r="F431" s="6"/>
      <c r="G431" s="6"/>
      <c r="H431" s="6"/>
      <c r="I431" s="6"/>
      <c r="J431" s="6"/>
      <c r="K431" s="51"/>
      <c r="L431" s="51"/>
      <c r="M431" s="51"/>
      <c r="N431" s="51"/>
      <c r="O431" s="51"/>
      <c r="P431" s="51"/>
      <c r="Q431" s="51"/>
      <c r="R431" s="51"/>
      <c r="S431" s="51"/>
      <c r="T431" s="51"/>
      <c r="U431" s="51"/>
      <c r="V431" s="51"/>
      <c r="W431" s="51"/>
      <c r="X431" s="51"/>
      <c r="Y431" s="51"/>
      <c r="Z431" s="51"/>
      <c r="AA431" s="51"/>
      <c r="AB431" s="51"/>
    </row>
    <row r="432" customFormat="false" ht="15.75" hidden="false" customHeight="false" outlineLevel="0" collapsed="false">
      <c r="A432" s="51"/>
      <c r="B432" s="51"/>
      <c r="C432" s="6"/>
      <c r="D432" s="49"/>
      <c r="E432" s="51"/>
      <c r="F432" s="6"/>
      <c r="G432" s="6"/>
      <c r="H432" s="6"/>
      <c r="I432" s="6"/>
      <c r="J432" s="6"/>
      <c r="K432" s="51"/>
      <c r="L432" s="51"/>
      <c r="M432" s="51"/>
      <c r="N432" s="51"/>
      <c r="O432" s="51"/>
      <c r="P432" s="51"/>
      <c r="Q432" s="51"/>
      <c r="R432" s="51"/>
      <c r="S432" s="51"/>
      <c r="T432" s="51"/>
      <c r="U432" s="51"/>
      <c r="V432" s="51"/>
      <c r="W432" s="51"/>
      <c r="X432" s="51"/>
      <c r="Y432" s="51"/>
      <c r="Z432" s="51"/>
      <c r="AA432" s="51"/>
      <c r="AB432" s="51"/>
    </row>
    <row r="433" customFormat="false" ht="15.75" hidden="false" customHeight="false" outlineLevel="0" collapsed="false">
      <c r="A433" s="51"/>
      <c r="B433" s="51"/>
      <c r="C433" s="6"/>
      <c r="D433" s="49"/>
      <c r="E433" s="51"/>
      <c r="F433" s="6"/>
      <c r="G433" s="6"/>
      <c r="H433" s="6"/>
      <c r="I433" s="6"/>
      <c r="J433" s="6"/>
      <c r="K433" s="51"/>
      <c r="L433" s="51"/>
      <c r="M433" s="51"/>
      <c r="N433" s="51"/>
      <c r="O433" s="51"/>
      <c r="P433" s="51"/>
      <c r="Q433" s="51"/>
      <c r="R433" s="51"/>
      <c r="S433" s="51"/>
      <c r="T433" s="51"/>
      <c r="U433" s="51"/>
      <c r="V433" s="51"/>
      <c r="W433" s="51"/>
      <c r="X433" s="51"/>
      <c r="Y433" s="51"/>
      <c r="Z433" s="51"/>
      <c r="AA433" s="51"/>
      <c r="AB433" s="51"/>
    </row>
    <row r="434" customFormat="false" ht="15.75" hidden="false" customHeight="false" outlineLevel="0" collapsed="false">
      <c r="A434" s="51"/>
      <c r="B434" s="51"/>
      <c r="C434" s="6"/>
      <c r="D434" s="49"/>
      <c r="E434" s="51"/>
      <c r="F434" s="6"/>
      <c r="G434" s="6"/>
      <c r="H434" s="6"/>
      <c r="I434" s="6"/>
      <c r="J434" s="6"/>
      <c r="K434" s="51"/>
      <c r="L434" s="51"/>
      <c r="M434" s="51"/>
      <c r="N434" s="51"/>
      <c r="O434" s="51"/>
      <c r="P434" s="51"/>
      <c r="Q434" s="51"/>
      <c r="R434" s="51"/>
      <c r="S434" s="51"/>
      <c r="T434" s="51"/>
      <c r="U434" s="51"/>
      <c r="V434" s="51"/>
      <c r="W434" s="51"/>
      <c r="X434" s="51"/>
      <c r="Y434" s="51"/>
      <c r="Z434" s="51"/>
      <c r="AA434" s="51"/>
      <c r="AB434" s="51"/>
    </row>
    <row r="435" customFormat="false" ht="15.75" hidden="false" customHeight="false" outlineLevel="0" collapsed="false">
      <c r="A435" s="51"/>
      <c r="B435" s="51"/>
      <c r="C435" s="6"/>
      <c r="D435" s="49"/>
      <c r="E435" s="51"/>
      <c r="F435" s="6"/>
      <c r="G435" s="6"/>
      <c r="H435" s="6"/>
      <c r="I435" s="6"/>
      <c r="J435" s="6"/>
      <c r="K435" s="51"/>
      <c r="L435" s="51"/>
      <c r="M435" s="51"/>
      <c r="N435" s="51"/>
      <c r="O435" s="51"/>
      <c r="P435" s="51"/>
      <c r="Q435" s="51"/>
      <c r="R435" s="51"/>
      <c r="S435" s="51"/>
      <c r="T435" s="51"/>
      <c r="U435" s="51"/>
      <c r="V435" s="51"/>
      <c r="W435" s="51"/>
      <c r="X435" s="51"/>
      <c r="Y435" s="51"/>
      <c r="Z435" s="51"/>
      <c r="AA435" s="51"/>
      <c r="AB435" s="51"/>
    </row>
    <row r="436" customFormat="false" ht="15.75" hidden="false" customHeight="false" outlineLevel="0" collapsed="false">
      <c r="A436" s="51"/>
      <c r="B436" s="51"/>
      <c r="C436" s="6"/>
      <c r="D436" s="49"/>
      <c r="E436" s="51"/>
      <c r="F436" s="6"/>
      <c r="G436" s="6"/>
      <c r="H436" s="6"/>
      <c r="I436" s="6"/>
      <c r="J436" s="6"/>
      <c r="K436" s="51"/>
      <c r="L436" s="51"/>
      <c r="M436" s="51"/>
      <c r="N436" s="51"/>
      <c r="O436" s="51"/>
      <c r="P436" s="51"/>
      <c r="Q436" s="51"/>
      <c r="R436" s="51"/>
      <c r="S436" s="51"/>
      <c r="T436" s="51"/>
      <c r="U436" s="51"/>
      <c r="V436" s="51"/>
      <c r="W436" s="51"/>
      <c r="X436" s="51"/>
      <c r="Y436" s="51"/>
      <c r="Z436" s="51"/>
      <c r="AA436" s="51"/>
      <c r="AB436" s="51"/>
    </row>
    <row r="437" customFormat="false" ht="15.75" hidden="false" customHeight="false" outlineLevel="0" collapsed="false">
      <c r="A437" s="51"/>
      <c r="B437" s="51"/>
      <c r="C437" s="6"/>
      <c r="D437" s="49"/>
      <c r="E437" s="51"/>
      <c r="F437" s="6"/>
      <c r="G437" s="6"/>
      <c r="H437" s="6"/>
      <c r="I437" s="6"/>
      <c r="J437" s="6"/>
      <c r="K437" s="51"/>
      <c r="L437" s="51"/>
      <c r="M437" s="51"/>
      <c r="N437" s="51"/>
      <c r="O437" s="51"/>
      <c r="P437" s="51"/>
      <c r="Q437" s="51"/>
      <c r="R437" s="51"/>
      <c r="S437" s="51"/>
      <c r="T437" s="51"/>
      <c r="U437" s="51"/>
      <c r="V437" s="51"/>
      <c r="W437" s="51"/>
      <c r="X437" s="51"/>
      <c r="Y437" s="51"/>
      <c r="Z437" s="51"/>
      <c r="AA437" s="51"/>
      <c r="AB437" s="51"/>
    </row>
    <row r="438" customFormat="false" ht="15.75" hidden="false" customHeight="false" outlineLevel="0" collapsed="false">
      <c r="A438" s="51"/>
      <c r="B438" s="51"/>
      <c r="C438" s="6"/>
      <c r="D438" s="49"/>
      <c r="E438" s="51"/>
      <c r="F438" s="6"/>
      <c r="G438" s="6"/>
      <c r="H438" s="6"/>
      <c r="I438" s="6"/>
      <c r="J438" s="6"/>
      <c r="K438" s="51"/>
      <c r="L438" s="51"/>
      <c r="M438" s="51"/>
      <c r="N438" s="51"/>
      <c r="O438" s="51"/>
      <c r="P438" s="51"/>
      <c r="Q438" s="51"/>
      <c r="R438" s="51"/>
      <c r="S438" s="51"/>
      <c r="T438" s="51"/>
      <c r="U438" s="51"/>
      <c r="V438" s="51"/>
      <c r="W438" s="51"/>
      <c r="X438" s="51"/>
      <c r="Y438" s="51"/>
      <c r="Z438" s="51"/>
      <c r="AA438" s="51"/>
      <c r="AB438" s="51"/>
    </row>
    <row r="439" customFormat="false" ht="15.75" hidden="false" customHeight="false" outlineLevel="0" collapsed="false">
      <c r="A439" s="51"/>
      <c r="B439" s="51"/>
      <c r="C439" s="6"/>
      <c r="D439" s="49"/>
      <c r="E439" s="51"/>
      <c r="F439" s="6"/>
      <c r="G439" s="6"/>
      <c r="H439" s="6"/>
      <c r="I439" s="6"/>
      <c r="J439" s="6"/>
      <c r="K439" s="51"/>
      <c r="L439" s="51"/>
      <c r="M439" s="51"/>
      <c r="N439" s="51"/>
      <c r="O439" s="51"/>
      <c r="P439" s="51"/>
      <c r="Q439" s="51"/>
      <c r="R439" s="51"/>
      <c r="S439" s="51"/>
      <c r="T439" s="51"/>
      <c r="U439" s="51"/>
      <c r="V439" s="51"/>
      <c r="W439" s="51"/>
      <c r="X439" s="51"/>
      <c r="Y439" s="51"/>
      <c r="Z439" s="51"/>
      <c r="AA439" s="51"/>
      <c r="AB439" s="51"/>
    </row>
    <row r="440" customFormat="false" ht="15.75" hidden="false" customHeight="false" outlineLevel="0" collapsed="false">
      <c r="A440" s="51"/>
      <c r="B440" s="51"/>
      <c r="C440" s="6"/>
      <c r="D440" s="49"/>
      <c r="E440" s="51"/>
      <c r="F440" s="6"/>
      <c r="G440" s="6"/>
      <c r="H440" s="6"/>
      <c r="I440" s="6"/>
      <c r="J440" s="6"/>
      <c r="K440" s="51"/>
      <c r="L440" s="51"/>
      <c r="M440" s="51"/>
      <c r="N440" s="51"/>
      <c r="O440" s="51"/>
      <c r="P440" s="51"/>
      <c r="Q440" s="51"/>
      <c r="R440" s="51"/>
      <c r="S440" s="51"/>
      <c r="T440" s="51"/>
      <c r="U440" s="51"/>
      <c r="V440" s="51"/>
      <c r="W440" s="51"/>
      <c r="X440" s="51"/>
      <c r="Y440" s="51"/>
      <c r="Z440" s="51"/>
      <c r="AA440" s="51"/>
      <c r="AB440" s="51"/>
    </row>
    <row r="441" customFormat="false" ht="15.75" hidden="false" customHeight="false" outlineLevel="0" collapsed="false">
      <c r="A441" s="51"/>
      <c r="B441" s="51"/>
      <c r="C441" s="6"/>
      <c r="D441" s="49"/>
      <c r="E441" s="51"/>
      <c r="F441" s="6"/>
      <c r="G441" s="6"/>
      <c r="H441" s="6"/>
      <c r="I441" s="6"/>
      <c r="J441" s="6"/>
      <c r="K441" s="51"/>
      <c r="L441" s="51"/>
      <c r="M441" s="51"/>
      <c r="N441" s="51"/>
      <c r="O441" s="51"/>
      <c r="P441" s="51"/>
      <c r="Q441" s="51"/>
      <c r="R441" s="51"/>
      <c r="S441" s="51"/>
      <c r="T441" s="51"/>
      <c r="U441" s="51"/>
      <c r="V441" s="51"/>
      <c r="W441" s="51"/>
      <c r="X441" s="51"/>
      <c r="Y441" s="51"/>
      <c r="Z441" s="51"/>
      <c r="AA441" s="51"/>
      <c r="AB441" s="51"/>
    </row>
    <row r="442" customFormat="false" ht="15.75" hidden="false" customHeight="false" outlineLevel="0" collapsed="false">
      <c r="A442" s="51"/>
      <c r="B442" s="51"/>
      <c r="C442" s="6"/>
      <c r="D442" s="49"/>
      <c r="E442" s="51"/>
      <c r="F442" s="6"/>
      <c r="G442" s="6"/>
      <c r="H442" s="6"/>
      <c r="I442" s="6"/>
      <c r="J442" s="6"/>
      <c r="K442" s="51"/>
      <c r="L442" s="51"/>
      <c r="M442" s="51"/>
      <c r="N442" s="51"/>
      <c r="O442" s="51"/>
      <c r="P442" s="51"/>
      <c r="Q442" s="51"/>
      <c r="R442" s="51"/>
      <c r="S442" s="51"/>
      <c r="T442" s="51"/>
      <c r="U442" s="51"/>
      <c r="V442" s="51"/>
      <c r="W442" s="51"/>
      <c r="X442" s="51"/>
      <c r="Y442" s="51"/>
      <c r="Z442" s="51"/>
      <c r="AA442" s="51"/>
      <c r="AB442" s="51"/>
    </row>
    <row r="443" customFormat="false" ht="15.75" hidden="false" customHeight="false" outlineLevel="0" collapsed="false">
      <c r="A443" s="51"/>
      <c r="B443" s="51"/>
      <c r="C443" s="6"/>
      <c r="D443" s="49"/>
      <c r="E443" s="51"/>
      <c r="F443" s="6"/>
      <c r="G443" s="6"/>
      <c r="H443" s="6"/>
      <c r="I443" s="6"/>
      <c r="J443" s="6"/>
      <c r="K443" s="51"/>
      <c r="L443" s="51"/>
      <c r="M443" s="51"/>
      <c r="N443" s="51"/>
      <c r="O443" s="51"/>
      <c r="P443" s="51"/>
      <c r="Q443" s="51"/>
      <c r="R443" s="51"/>
      <c r="S443" s="51"/>
      <c r="T443" s="51"/>
      <c r="U443" s="51"/>
      <c r="V443" s="51"/>
      <c r="W443" s="51"/>
      <c r="X443" s="51"/>
      <c r="Y443" s="51"/>
      <c r="Z443" s="51"/>
      <c r="AA443" s="51"/>
      <c r="AB443" s="51"/>
    </row>
    <row r="444" customFormat="false" ht="15.75" hidden="false" customHeight="false" outlineLevel="0" collapsed="false">
      <c r="A444" s="51"/>
      <c r="B444" s="51"/>
      <c r="C444" s="6"/>
      <c r="D444" s="49"/>
      <c r="E444" s="51"/>
      <c r="F444" s="6"/>
      <c r="G444" s="6"/>
      <c r="H444" s="6"/>
      <c r="I444" s="6"/>
      <c r="J444" s="6"/>
      <c r="K444" s="51"/>
      <c r="L444" s="51"/>
      <c r="M444" s="51"/>
      <c r="N444" s="51"/>
      <c r="O444" s="51"/>
      <c r="P444" s="51"/>
      <c r="Q444" s="51"/>
      <c r="R444" s="51"/>
      <c r="S444" s="51"/>
      <c r="T444" s="51"/>
      <c r="U444" s="51"/>
      <c r="V444" s="51"/>
      <c r="W444" s="51"/>
      <c r="X444" s="51"/>
      <c r="Y444" s="51"/>
      <c r="Z444" s="51"/>
      <c r="AA444" s="51"/>
      <c r="AB444" s="51"/>
    </row>
    <row r="445" customFormat="false" ht="15.75" hidden="false" customHeight="false" outlineLevel="0" collapsed="false">
      <c r="A445" s="51"/>
      <c r="B445" s="51"/>
      <c r="C445" s="6"/>
      <c r="D445" s="49"/>
      <c r="E445" s="51"/>
      <c r="F445" s="6"/>
      <c r="G445" s="6"/>
      <c r="H445" s="6"/>
      <c r="I445" s="6"/>
      <c r="J445" s="6"/>
      <c r="K445" s="51"/>
      <c r="L445" s="51"/>
      <c r="M445" s="51"/>
      <c r="N445" s="51"/>
      <c r="O445" s="51"/>
      <c r="P445" s="51"/>
      <c r="Q445" s="51"/>
      <c r="R445" s="51"/>
      <c r="S445" s="51"/>
      <c r="T445" s="51"/>
      <c r="U445" s="51"/>
      <c r="V445" s="51"/>
      <c r="W445" s="51"/>
      <c r="X445" s="51"/>
      <c r="Y445" s="51"/>
      <c r="Z445" s="51"/>
      <c r="AA445" s="51"/>
      <c r="AB445" s="51"/>
    </row>
    <row r="446" customFormat="false" ht="15.75" hidden="false" customHeight="false" outlineLevel="0" collapsed="false">
      <c r="A446" s="51"/>
      <c r="B446" s="51"/>
      <c r="C446" s="6"/>
      <c r="D446" s="49"/>
      <c r="E446" s="51"/>
      <c r="F446" s="6"/>
      <c r="G446" s="6"/>
      <c r="H446" s="6"/>
      <c r="I446" s="6"/>
      <c r="J446" s="6"/>
      <c r="K446" s="51"/>
      <c r="L446" s="51"/>
      <c r="M446" s="51"/>
      <c r="N446" s="51"/>
      <c r="O446" s="51"/>
      <c r="P446" s="51"/>
      <c r="Q446" s="51"/>
      <c r="R446" s="51"/>
      <c r="S446" s="51"/>
      <c r="T446" s="51"/>
      <c r="U446" s="51"/>
      <c r="V446" s="51"/>
      <c r="W446" s="51"/>
      <c r="X446" s="51"/>
      <c r="Y446" s="51"/>
      <c r="Z446" s="51"/>
      <c r="AA446" s="51"/>
      <c r="AB446" s="51"/>
    </row>
    <row r="447" customFormat="false" ht="15.75" hidden="false" customHeight="false" outlineLevel="0" collapsed="false">
      <c r="A447" s="51"/>
      <c r="B447" s="51"/>
      <c r="C447" s="6"/>
      <c r="D447" s="49"/>
      <c r="E447" s="51"/>
      <c r="F447" s="6"/>
      <c r="G447" s="6"/>
      <c r="H447" s="6"/>
      <c r="I447" s="6"/>
      <c r="J447" s="6"/>
      <c r="K447" s="51"/>
      <c r="L447" s="51"/>
      <c r="M447" s="51"/>
      <c r="N447" s="51"/>
      <c r="O447" s="51"/>
      <c r="P447" s="51"/>
      <c r="Q447" s="51"/>
      <c r="R447" s="51"/>
      <c r="S447" s="51"/>
      <c r="T447" s="51"/>
      <c r="U447" s="51"/>
      <c r="V447" s="51"/>
      <c r="W447" s="51"/>
      <c r="X447" s="51"/>
      <c r="Y447" s="51"/>
      <c r="Z447" s="51"/>
      <c r="AA447" s="51"/>
      <c r="AB447" s="51"/>
    </row>
    <row r="448" customFormat="false" ht="15.75" hidden="false" customHeight="false" outlineLevel="0" collapsed="false">
      <c r="A448" s="51"/>
      <c r="B448" s="51"/>
      <c r="C448" s="6"/>
      <c r="D448" s="49"/>
      <c r="E448" s="51"/>
      <c r="F448" s="6"/>
      <c r="G448" s="6"/>
      <c r="H448" s="6"/>
      <c r="I448" s="6"/>
      <c r="J448" s="6"/>
      <c r="K448" s="51"/>
      <c r="L448" s="51"/>
      <c r="M448" s="51"/>
      <c r="N448" s="51"/>
      <c r="O448" s="51"/>
      <c r="P448" s="51"/>
      <c r="Q448" s="51"/>
      <c r="R448" s="51"/>
      <c r="S448" s="51"/>
      <c r="T448" s="51"/>
      <c r="U448" s="51"/>
      <c r="V448" s="51"/>
      <c r="W448" s="51"/>
      <c r="X448" s="51"/>
      <c r="Y448" s="51"/>
      <c r="Z448" s="51"/>
      <c r="AA448" s="51"/>
      <c r="AB448" s="51"/>
    </row>
    <row r="449" customFormat="false" ht="15.75" hidden="false" customHeight="false" outlineLevel="0" collapsed="false">
      <c r="A449" s="51"/>
      <c r="B449" s="51"/>
      <c r="C449" s="6"/>
      <c r="D449" s="49"/>
      <c r="E449" s="51"/>
      <c r="F449" s="6"/>
      <c r="G449" s="6"/>
      <c r="H449" s="6"/>
      <c r="I449" s="6"/>
      <c r="J449" s="6"/>
      <c r="K449" s="51"/>
      <c r="L449" s="51"/>
      <c r="M449" s="51"/>
      <c r="N449" s="51"/>
      <c r="O449" s="51"/>
      <c r="P449" s="51"/>
      <c r="Q449" s="51"/>
      <c r="R449" s="51"/>
      <c r="S449" s="51"/>
      <c r="T449" s="51"/>
      <c r="U449" s="51"/>
      <c r="V449" s="51"/>
      <c r="W449" s="51"/>
      <c r="X449" s="51"/>
      <c r="Y449" s="51"/>
      <c r="Z449" s="51"/>
      <c r="AA449" s="51"/>
      <c r="AB449" s="51"/>
    </row>
    <row r="450" customFormat="false" ht="15.75" hidden="false" customHeight="false" outlineLevel="0" collapsed="false">
      <c r="A450" s="51"/>
      <c r="B450" s="51"/>
      <c r="C450" s="6"/>
      <c r="D450" s="49"/>
      <c r="E450" s="51"/>
      <c r="F450" s="6"/>
      <c r="G450" s="6"/>
      <c r="H450" s="6"/>
      <c r="I450" s="6"/>
      <c r="J450" s="6"/>
      <c r="K450" s="51"/>
      <c r="L450" s="51"/>
      <c r="M450" s="51"/>
      <c r="N450" s="51"/>
      <c r="O450" s="51"/>
      <c r="P450" s="51"/>
      <c r="Q450" s="51"/>
      <c r="R450" s="51"/>
      <c r="S450" s="51"/>
      <c r="T450" s="51"/>
      <c r="U450" s="51"/>
      <c r="V450" s="51"/>
      <c r="W450" s="51"/>
      <c r="X450" s="51"/>
      <c r="Y450" s="51"/>
      <c r="Z450" s="51"/>
      <c r="AA450" s="51"/>
      <c r="AB450" s="51"/>
    </row>
    <row r="451" customFormat="false" ht="15.75" hidden="false" customHeight="false" outlineLevel="0" collapsed="false">
      <c r="A451" s="51"/>
      <c r="B451" s="51"/>
      <c r="C451" s="6"/>
      <c r="D451" s="49"/>
      <c r="E451" s="51"/>
      <c r="F451" s="6"/>
      <c r="G451" s="6"/>
      <c r="H451" s="6"/>
      <c r="I451" s="6"/>
      <c r="J451" s="6"/>
      <c r="K451" s="51"/>
      <c r="L451" s="51"/>
      <c r="M451" s="51"/>
      <c r="N451" s="51"/>
      <c r="O451" s="51"/>
      <c r="P451" s="51"/>
      <c r="Q451" s="51"/>
      <c r="R451" s="51"/>
      <c r="S451" s="51"/>
      <c r="T451" s="51"/>
      <c r="U451" s="51"/>
      <c r="V451" s="51"/>
      <c r="W451" s="51"/>
      <c r="X451" s="51"/>
      <c r="Y451" s="51"/>
      <c r="Z451" s="51"/>
      <c r="AA451" s="51"/>
      <c r="AB451" s="51"/>
    </row>
    <row r="452" customFormat="false" ht="15.75" hidden="false" customHeight="false" outlineLevel="0" collapsed="false">
      <c r="A452" s="51"/>
      <c r="B452" s="51"/>
      <c r="C452" s="6"/>
      <c r="D452" s="49"/>
      <c r="E452" s="51"/>
      <c r="F452" s="6"/>
      <c r="G452" s="6"/>
      <c r="H452" s="6"/>
      <c r="I452" s="6"/>
      <c r="J452" s="6"/>
      <c r="K452" s="51"/>
      <c r="L452" s="51"/>
      <c r="M452" s="51"/>
      <c r="N452" s="51"/>
      <c r="O452" s="51"/>
      <c r="P452" s="51"/>
      <c r="Q452" s="51"/>
      <c r="R452" s="51"/>
      <c r="S452" s="51"/>
      <c r="T452" s="51"/>
      <c r="U452" s="51"/>
      <c r="V452" s="51"/>
      <c r="W452" s="51"/>
      <c r="X452" s="51"/>
      <c r="Y452" s="51"/>
      <c r="Z452" s="51"/>
      <c r="AA452" s="51"/>
      <c r="AB452" s="51"/>
    </row>
    <row r="453" customFormat="false" ht="15.75" hidden="false" customHeight="false" outlineLevel="0" collapsed="false">
      <c r="A453" s="51"/>
      <c r="B453" s="51"/>
      <c r="C453" s="6"/>
      <c r="D453" s="49"/>
      <c r="E453" s="51"/>
      <c r="F453" s="6"/>
      <c r="G453" s="6"/>
      <c r="H453" s="6"/>
      <c r="I453" s="6"/>
      <c r="J453" s="6"/>
      <c r="K453" s="51"/>
      <c r="L453" s="51"/>
      <c r="M453" s="51"/>
      <c r="N453" s="51"/>
      <c r="O453" s="51"/>
      <c r="P453" s="51"/>
      <c r="Q453" s="51"/>
      <c r="R453" s="51"/>
      <c r="S453" s="51"/>
      <c r="T453" s="51"/>
      <c r="U453" s="51"/>
      <c r="V453" s="51"/>
      <c r="W453" s="51"/>
      <c r="X453" s="51"/>
      <c r="Y453" s="51"/>
      <c r="Z453" s="51"/>
      <c r="AA453" s="51"/>
      <c r="AB453" s="51"/>
    </row>
    <row r="454" customFormat="false" ht="15.75" hidden="false" customHeight="false" outlineLevel="0" collapsed="false">
      <c r="A454" s="51"/>
      <c r="B454" s="51"/>
      <c r="C454" s="6"/>
      <c r="D454" s="49"/>
      <c r="E454" s="51"/>
      <c r="F454" s="6"/>
      <c r="G454" s="6"/>
      <c r="H454" s="6"/>
      <c r="I454" s="6"/>
      <c r="J454" s="6"/>
      <c r="K454" s="51"/>
      <c r="L454" s="51"/>
      <c r="M454" s="51"/>
      <c r="N454" s="51"/>
      <c r="O454" s="51"/>
      <c r="P454" s="51"/>
      <c r="Q454" s="51"/>
      <c r="R454" s="51"/>
      <c r="S454" s="51"/>
      <c r="T454" s="51"/>
      <c r="U454" s="51"/>
      <c r="V454" s="51"/>
      <c r="W454" s="51"/>
      <c r="X454" s="51"/>
      <c r="Y454" s="51"/>
      <c r="Z454" s="51"/>
      <c r="AA454" s="51"/>
      <c r="AB454" s="51"/>
    </row>
    <row r="455" customFormat="false" ht="15.75" hidden="false" customHeight="false" outlineLevel="0" collapsed="false">
      <c r="A455" s="51"/>
      <c r="B455" s="51"/>
      <c r="C455" s="6"/>
      <c r="D455" s="49"/>
      <c r="E455" s="51"/>
      <c r="F455" s="6"/>
      <c r="G455" s="6"/>
      <c r="H455" s="6"/>
      <c r="I455" s="6"/>
      <c r="J455" s="6"/>
      <c r="K455" s="51"/>
      <c r="L455" s="51"/>
      <c r="M455" s="51"/>
      <c r="N455" s="51"/>
      <c r="O455" s="51"/>
      <c r="P455" s="51"/>
      <c r="Q455" s="51"/>
      <c r="R455" s="51"/>
      <c r="S455" s="51"/>
      <c r="T455" s="51"/>
      <c r="U455" s="51"/>
      <c r="V455" s="51"/>
      <c r="W455" s="51"/>
      <c r="X455" s="51"/>
      <c r="Y455" s="51"/>
      <c r="Z455" s="51"/>
      <c r="AA455" s="51"/>
      <c r="AB455" s="51"/>
    </row>
    <row r="456" customFormat="false" ht="15.75" hidden="false" customHeight="false" outlineLevel="0" collapsed="false">
      <c r="A456" s="51"/>
      <c r="B456" s="51"/>
      <c r="C456" s="6"/>
      <c r="D456" s="49"/>
      <c r="E456" s="51"/>
      <c r="F456" s="6"/>
      <c r="G456" s="6"/>
      <c r="H456" s="6"/>
      <c r="I456" s="6"/>
      <c r="J456" s="6"/>
      <c r="K456" s="51"/>
      <c r="L456" s="51"/>
      <c r="M456" s="51"/>
      <c r="N456" s="51"/>
      <c r="O456" s="51"/>
      <c r="P456" s="51"/>
      <c r="Q456" s="51"/>
      <c r="R456" s="51"/>
      <c r="S456" s="51"/>
      <c r="T456" s="51"/>
      <c r="U456" s="51"/>
      <c r="V456" s="51"/>
      <c r="W456" s="51"/>
      <c r="X456" s="51"/>
      <c r="Y456" s="51"/>
      <c r="Z456" s="51"/>
      <c r="AA456" s="51"/>
      <c r="AB456" s="51"/>
    </row>
    <row r="457" customFormat="false" ht="15.75" hidden="false" customHeight="false" outlineLevel="0" collapsed="false">
      <c r="A457" s="51"/>
      <c r="B457" s="51"/>
      <c r="C457" s="6"/>
      <c r="D457" s="49"/>
      <c r="E457" s="51"/>
      <c r="F457" s="6"/>
      <c r="G457" s="6"/>
      <c r="H457" s="6"/>
      <c r="I457" s="6"/>
      <c r="J457" s="6"/>
      <c r="K457" s="51"/>
      <c r="L457" s="51"/>
      <c r="M457" s="51"/>
      <c r="N457" s="51"/>
      <c r="O457" s="51"/>
      <c r="P457" s="51"/>
      <c r="Q457" s="51"/>
      <c r="R457" s="51"/>
      <c r="S457" s="51"/>
      <c r="T457" s="51"/>
      <c r="U457" s="51"/>
      <c r="V457" s="51"/>
      <c r="W457" s="51"/>
      <c r="X457" s="51"/>
      <c r="Y457" s="51"/>
      <c r="Z457" s="51"/>
      <c r="AA457" s="51"/>
      <c r="AB457" s="51"/>
    </row>
    <row r="458" customFormat="false" ht="15.75" hidden="false" customHeight="false" outlineLevel="0" collapsed="false">
      <c r="A458" s="51"/>
      <c r="B458" s="51"/>
      <c r="C458" s="6"/>
      <c r="D458" s="49"/>
      <c r="E458" s="51"/>
      <c r="F458" s="6"/>
      <c r="G458" s="6"/>
      <c r="H458" s="6"/>
      <c r="I458" s="6"/>
      <c r="J458" s="6"/>
      <c r="K458" s="51"/>
      <c r="L458" s="51"/>
      <c r="M458" s="51"/>
      <c r="N458" s="51"/>
      <c r="O458" s="51"/>
      <c r="P458" s="51"/>
      <c r="Q458" s="51"/>
      <c r="R458" s="51"/>
      <c r="S458" s="51"/>
      <c r="T458" s="51"/>
      <c r="U458" s="51"/>
      <c r="V458" s="51"/>
      <c r="W458" s="51"/>
      <c r="X458" s="51"/>
      <c r="Y458" s="51"/>
      <c r="Z458" s="51"/>
      <c r="AA458" s="51"/>
      <c r="AB458" s="51"/>
    </row>
    <row r="459" customFormat="false" ht="15.75" hidden="false" customHeight="false" outlineLevel="0" collapsed="false">
      <c r="A459" s="51"/>
      <c r="B459" s="51"/>
      <c r="C459" s="6"/>
      <c r="D459" s="49"/>
      <c r="E459" s="51"/>
      <c r="F459" s="6"/>
      <c r="G459" s="6"/>
      <c r="H459" s="6"/>
      <c r="I459" s="6"/>
      <c r="J459" s="6"/>
      <c r="K459" s="51"/>
      <c r="L459" s="51"/>
      <c r="M459" s="51"/>
      <c r="N459" s="51"/>
      <c r="O459" s="51"/>
      <c r="P459" s="51"/>
      <c r="Q459" s="51"/>
      <c r="R459" s="51"/>
      <c r="S459" s="51"/>
      <c r="T459" s="51"/>
      <c r="U459" s="51"/>
      <c r="V459" s="51"/>
      <c r="W459" s="51"/>
      <c r="X459" s="51"/>
      <c r="Y459" s="51"/>
      <c r="Z459" s="51"/>
      <c r="AA459" s="51"/>
      <c r="AB459" s="51"/>
    </row>
    <row r="460" customFormat="false" ht="15.75" hidden="false" customHeight="false" outlineLevel="0" collapsed="false">
      <c r="A460" s="51"/>
      <c r="B460" s="51"/>
      <c r="C460" s="6"/>
      <c r="D460" s="49"/>
      <c r="E460" s="51"/>
      <c r="F460" s="6"/>
      <c r="G460" s="6"/>
      <c r="H460" s="6"/>
      <c r="I460" s="6"/>
      <c r="J460" s="6"/>
      <c r="K460" s="51"/>
      <c r="L460" s="51"/>
      <c r="M460" s="51"/>
      <c r="N460" s="51"/>
      <c r="O460" s="51"/>
      <c r="P460" s="51"/>
      <c r="Q460" s="51"/>
      <c r="R460" s="51"/>
      <c r="S460" s="51"/>
      <c r="T460" s="51"/>
      <c r="U460" s="51"/>
      <c r="V460" s="51"/>
      <c r="W460" s="51"/>
      <c r="X460" s="51"/>
      <c r="Y460" s="51"/>
      <c r="Z460" s="51"/>
      <c r="AA460" s="51"/>
      <c r="AB460" s="51"/>
    </row>
    <row r="461" customFormat="false" ht="15.75" hidden="false" customHeight="false" outlineLevel="0" collapsed="false">
      <c r="A461" s="51"/>
      <c r="B461" s="51"/>
      <c r="C461" s="6"/>
      <c r="D461" s="49"/>
      <c r="E461" s="51"/>
      <c r="F461" s="6"/>
      <c r="G461" s="6"/>
      <c r="H461" s="6"/>
      <c r="I461" s="6"/>
      <c r="J461" s="6"/>
      <c r="K461" s="51"/>
      <c r="L461" s="51"/>
      <c r="M461" s="51"/>
      <c r="N461" s="51"/>
      <c r="O461" s="51"/>
      <c r="P461" s="51"/>
      <c r="Q461" s="51"/>
      <c r="R461" s="51"/>
      <c r="S461" s="51"/>
      <c r="T461" s="51"/>
      <c r="U461" s="51"/>
      <c r="V461" s="51"/>
      <c r="W461" s="51"/>
      <c r="X461" s="51"/>
      <c r="Y461" s="51"/>
      <c r="Z461" s="51"/>
      <c r="AA461" s="51"/>
      <c r="AB461" s="51"/>
    </row>
    <row r="462" customFormat="false" ht="15.75" hidden="false" customHeight="false" outlineLevel="0" collapsed="false">
      <c r="A462" s="51"/>
      <c r="B462" s="51"/>
      <c r="C462" s="6"/>
      <c r="D462" s="49"/>
      <c r="E462" s="51"/>
      <c r="F462" s="6"/>
      <c r="G462" s="6"/>
      <c r="H462" s="6"/>
      <c r="I462" s="6"/>
      <c r="J462" s="6"/>
      <c r="K462" s="51"/>
      <c r="L462" s="51"/>
      <c r="M462" s="51"/>
      <c r="N462" s="51"/>
      <c r="O462" s="51"/>
      <c r="P462" s="51"/>
      <c r="Q462" s="51"/>
      <c r="R462" s="51"/>
      <c r="S462" s="51"/>
      <c r="T462" s="51"/>
      <c r="U462" s="51"/>
      <c r="V462" s="51"/>
      <c r="W462" s="51"/>
      <c r="X462" s="51"/>
      <c r="Y462" s="51"/>
      <c r="Z462" s="51"/>
      <c r="AA462" s="51"/>
      <c r="AB462" s="51"/>
    </row>
    <row r="463" customFormat="false" ht="15.75" hidden="false" customHeight="false" outlineLevel="0" collapsed="false">
      <c r="A463" s="51"/>
      <c r="B463" s="51"/>
      <c r="C463" s="6"/>
      <c r="D463" s="49"/>
      <c r="E463" s="51"/>
      <c r="F463" s="6"/>
      <c r="G463" s="6"/>
      <c r="H463" s="6"/>
      <c r="I463" s="6"/>
      <c r="J463" s="6"/>
      <c r="K463" s="51"/>
      <c r="L463" s="51"/>
      <c r="M463" s="51"/>
      <c r="N463" s="51"/>
      <c r="O463" s="51"/>
      <c r="P463" s="51"/>
      <c r="Q463" s="51"/>
      <c r="R463" s="51"/>
      <c r="S463" s="51"/>
      <c r="T463" s="51"/>
      <c r="U463" s="51"/>
      <c r="V463" s="51"/>
      <c r="W463" s="51"/>
      <c r="X463" s="51"/>
      <c r="Y463" s="51"/>
      <c r="Z463" s="51"/>
      <c r="AA463" s="51"/>
      <c r="AB463" s="51"/>
    </row>
    <row r="464" customFormat="false" ht="15.75" hidden="false" customHeight="false" outlineLevel="0" collapsed="false">
      <c r="A464" s="51"/>
      <c r="B464" s="51"/>
      <c r="C464" s="6"/>
      <c r="D464" s="49"/>
      <c r="E464" s="51"/>
      <c r="F464" s="6"/>
      <c r="G464" s="6"/>
      <c r="H464" s="6"/>
      <c r="I464" s="6"/>
      <c r="J464" s="6"/>
      <c r="K464" s="51"/>
      <c r="L464" s="51"/>
      <c r="M464" s="51"/>
      <c r="N464" s="51"/>
      <c r="O464" s="51"/>
      <c r="P464" s="51"/>
      <c r="Q464" s="51"/>
      <c r="R464" s="51"/>
      <c r="S464" s="51"/>
      <c r="T464" s="51"/>
      <c r="U464" s="51"/>
      <c r="V464" s="51"/>
      <c r="W464" s="51"/>
      <c r="X464" s="51"/>
      <c r="Y464" s="51"/>
      <c r="Z464" s="51"/>
      <c r="AA464" s="51"/>
      <c r="AB464" s="51"/>
    </row>
    <row r="465" customFormat="false" ht="15.75" hidden="false" customHeight="false" outlineLevel="0" collapsed="false">
      <c r="A465" s="51"/>
      <c r="B465" s="51"/>
      <c r="C465" s="6"/>
      <c r="D465" s="49"/>
      <c r="E465" s="51"/>
      <c r="F465" s="6"/>
      <c r="G465" s="6"/>
      <c r="H465" s="6"/>
      <c r="I465" s="6"/>
      <c r="J465" s="6"/>
      <c r="K465" s="51"/>
      <c r="L465" s="51"/>
      <c r="M465" s="51"/>
      <c r="N465" s="51"/>
      <c r="O465" s="51"/>
      <c r="P465" s="51"/>
      <c r="Q465" s="51"/>
      <c r="R465" s="51"/>
      <c r="S465" s="51"/>
      <c r="T465" s="51"/>
      <c r="U465" s="51"/>
      <c r="V465" s="51"/>
      <c r="W465" s="51"/>
      <c r="X465" s="51"/>
      <c r="Y465" s="51"/>
      <c r="Z465" s="51"/>
      <c r="AA465" s="51"/>
      <c r="AB465" s="51"/>
    </row>
    <row r="466" customFormat="false" ht="15.75" hidden="false" customHeight="false" outlineLevel="0" collapsed="false">
      <c r="A466" s="51"/>
      <c r="B466" s="51"/>
      <c r="C466" s="6"/>
      <c r="D466" s="49"/>
      <c r="E466" s="51"/>
      <c r="F466" s="6"/>
      <c r="G466" s="6"/>
      <c r="H466" s="6"/>
      <c r="I466" s="6"/>
      <c r="J466" s="6"/>
      <c r="K466" s="51"/>
      <c r="L466" s="51"/>
      <c r="M466" s="51"/>
      <c r="N466" s="51"/>
      <c r="O466" s="51"/>
      <c r="P466" s="51"/>
      <c r="Q466" s="51"/>
      <c r="R466" s="51"/>
      <c r="S466" s="51"/>
      <c r="T466" s="51"/>
      <c r="U466" s="51"/>
      <c r="V466" s="51"/>
      <c r="W466" s="51"/>
      <c r="X466" s="51"/>
      <c r="Y466" s="51"/>
      <c r="Z466" s="51"/>
      <c r="AA466" s="51"/>
      <c r="AB466" s="51"/>
    </row>
    <row r="467" customFormat="false" ht="15.75" hidden="false" customHeight="false" outlineLevel="0" collapsed="false">
      <c r="A467" s="51"/>
      <c r="B467" s="51"/>
      <c r="C467" s="6"/>
      <c r="D467" s="49"/>
      <c r="E467" s="51"/>
      <c r="F467" s="6"/>
      <c r="G467" s="6"/>
      <c r="H467" s="6"/>
      <c r="I467" s="6"/>
      <c r="J467" s="6"/>
      <c r="K467" s="51"/>
      <c r="L467" s="51"/>
      <c r="M467" s="51"/>
      <c r="N467" s="51"/>
      <c r="O467" s="51"/>
      <c r="P467" s="51"/>
      <c r="Q467" s="51"/>
      <c r="R467" s="51"/>
      <c r="S467" s="51"/>
      <c r="T467" s="51"/>
      <c r="U467" s="51"/>
      <c r="V467" s="51"/>
      <c r="W467" s="51"/>
      <c r="X467" s="51"/>
      <c r="Y467" s="51"/>
      <c r="Z467" s="51"/>
      <c r="AA467" s="51"/>
      <c r="AB467" s="51"/>
    </row>
    <row r="468" customFormat="false" ht="15.75" hidden="false" customHeight="false" outlineLevel="0" collapsed="false">
      <c r="A468" s="51"/>
      <c r="B468" s="51"/>
      <c r="C468" s="6"/>
      <c r="D468" s="49"/>
      <c r="E468" s="51"/>
      <c r="F468" s="6"/>
      <c r="G468" s="6"/>
      <c r="H468" s="6"/>
      <c r="I468" s="6"/>
      <c r="J468" s="6"/>
      <c r="K468" s="51"/>
      <c r="L468" s="51"/>
      <c r="M468" s="51"/>
      <c r="N468" s="51"/>
      <c r="O468" s="51"/>
      <c r="P468" s="51"/>
      <c r="Q468" s="51"/>
      <c r="R468" s="51"/>
      <c r="S468" s="51"/>
      <c r="T468" s="51"/>
      <c r="U468" s="51"/>
      <c r="V468" s="51"/>
      <c r="W468" s="51"/>
      <c r="X468" s="51"/>
      <c r="Y468" s="51"/>
      <c r="Z468" s="51"/>
      <c r="AA468" s="51"/>
      <c r="AB468" s="51"/>
    </row>
    <row r="469" customFormat="false" ht="15.75" hidden="false" customHeight="false" outlineLevel="0" collapsed="false">
      <c r="A469" s="51"/>
      <c r="B469" s="51"/>
      <c r="C469" s="6"/>
      <c r="D469" s="49"/>
      <c r="E469" s="51"/>
      <c r="F469" s="6"/>
      <c r="G469" s="6"/>
      <c r="H469" s="6"/>
      <c r="I469" s="6"/>
      <c r="J469" s="6"/>
      <c r="K469" s="51"/>
      <c r="L469" s="51"/>
      <c r="M469" s="51"/>
      <c r="N469" s="51"/>
      <c r="O469" s="51"/>
      <c r="P469" s="51"/>
      <c r="Q469" s="51"/>
      <c r="R469" s="51"/>
      <c r="S469" s="51"/>
      <c r="T469" s="51"/>
      <c r="U469" s="51"/>
      <c r="V469" s="51"/>
      <c r="W469" s="51"/>
      <c r="X469" s="51"/>
      <c r="Y469" s="51"/>
      <c r="Z469" s="51"/>
      <c r="AA469" s="51"/>
      <c r="AB469" s="51"/>
    </row>
    <row r="470" customFormat="false" ht="15.75" hidden="false" customHeight="false" outlineLevel="0" collapsed="false">
      <c r="A470" s="51"/>
      <c r="B470" s="51"/>
      <c r="C470" s="6"/>
      <c r="D470" s="49"/>
      <c r="E470" s="51"/>
      <c r="F470" s="6"/>
      <c r="G470" s="6"/>
      <c r="H470" s="6"/>
      <c r="I470" s="6"/>
      <c r="J470" s="6"/>
      <c r="K470" s="51"/>
      <c r="L470" s="51"/>
      <c r="M470" s="51"/>
      <c r="N470" s="51"/>
      <c r="O470" s="51"/>
      <c r="P470" s="51"/>
      <c r="Q470" s="51"/>
      <c r="R470" s="51"/>
      <c r="S470" s="51"/>
      <c r="T470" s="51"/>
      <c r="U470" s="51"/>
      <c r="V470" s="51"/>
      <c r="W470" s="51"/>
      <c r="X470" s="51"/>
      <c r="Y470" s="51"/>
      <c r="Z470" s="51"/>
      <c r="AA470" s="51"/>
      <c r="AB470" s="51"/>
    </row>
    <row r="471" customFormat="false" ht="15.75" hidden="false" customHeight="false" outlineLevel="0" collapsed="false">
      <c r="A471" s="51"/>
      <c r="B471" s="51"/>
      <c r="C471" s="6"/>
      <c r="D471" s="49"/>
      <c r="E471" s="51"/>
      <c r="F471" s="6"/>
      <c r="G471" s="6"/>
      <c r="H471" s="6"/>
      <c r="I471" s="6"/>
      <c r="J471" s="6"/>
      <c r="K471" s="51"/>
      <c r="L471" s="51"/>
      <c r="M471" s="51"/>
      <c r="N471" s="51"/>
      <c r="O471" s="51"/>
      <c r="P471" s="51"/>
      <c r="Q471" s="51"/>
      <c r="R471" s="51"/>
      <c r="S471" s="51"/>
      <c r="T471" s="51"/>
      <c r="U471" s="51"/>
      <c r="V471" s="51"/>
      <c r="W471" s="51"/>
      <c r="X471" s="51"/>
      <c r="Y471" s="51"/>
      <c r="Z471" s="51"/>
      <c r="AA471" s="51"/>
      <c r="AB471" s="51"/>
    </row>
    <row r="472" customFormat="false" ht="15.75" hidden="false" customHeight="false" outlineLevel="0" collapsed="false">
      <c r="A472" s="51"/>
      <c r="B472" s="51"/>
      <c r="C472" s="6"/>
      <c r="D472" s="49"/>
      <c r="E472" s="51"/>
      <c r="F472" s="6"/>
      <c r="G472" s="6"/>
      <c r="H472" s="6"/>
      <c r="I472" s="6"/>
      <c r="J472" s="6"/>
      <c r="K472" s="51"/>
      <c r="L472" s="51"/>
      <c r="M472" s="51"/>
      <c r="N472" s="51"/>
      <c r="O472" s="51"/>
      <c r="P472" s="51"/>
      <c r="Q472" s="51"/>
      <c r="R472" s="51"/>
      <c r="S472" s="51"/>
      <c r="T472" s="51"/>
      <c r="U472" s="51"/>
      <c r="V472" s="51"/>
      <c r="W472" s="51"/>
      <c r="X472" s="51"/>
      <c r="Y472" s="51"/>
      <c r="Z472" s="51"/>
      <c r="AA472" s="51"/>
      <c r="AB472" s="51"/>
    </row>
    <row r="473" customFormat="false" ht="15.75" hidden="false" customHeight="false" outlineLevel="0" collapsed="false">
      <c r="A473" s="51"/>
      <c r="B473" s="51"/>
      <c r="C473" s="6"/>
      <c r="D473" s="49"/>
      <c r="E473" s="51"/>
      <c r="F473" s="6"/>
      <c r="G473" s="6"/>
      <c r="H473" s="6"/>
      <c r="I473" s="6"/>
      <c r="J473" s="6"/>
      <c r="K473" s="51"/>
      <c r="L473" s="51"/>
      <c r="M473" s="51"/>
      <c r="N473" s="51"/>
      <c r="O473" s="51"/>
      <c r="P473" s="51"/>
      <c r="Q473" s="51"/>
      <c r="R473" s="51"/>
      <c r="S473" s="51"/>
      <c r="T473" s="51"/>
      <c r="U473" s="51"/>
      <c r="V473" s="51"/>
      <c r="W473" s="51"/>
      <c r="X473" s="51"/>
      <c r="Y473" s="51"/>
      <c r="Z473" s="51"/>
      <c r="AA473" s="51"/>
      <c r="AB473" s="51"/>
    </row>
    <row r="474" customFormat="false" ht="15.75" hidden="false" customHeight="false" outlineLevel="0" collapsed="false">
      <c r="A474" s="51"/>
      <c r="B474" s="51"/>
      <c r="C474" s="6"/>
      <c r="D474" s="49"/>
      <c r="E474" s="51"/>
      <c r="F474" s="6"/>
      <c r="G474" s="6"/>
      <c r="H474" s="6"/>
      <c r="I474" s="6"/>
      <c r="J474" s="6"/>
      <c r="K474" s="51"/>
      <c r="L474" s="51"/>
      <c r="M474" s="51"/>
      <c r="N474" s="51"/>
      <c r="O474" s="51"/>
      <c r="P474" s="51"/>
      <c r="Q474" s="51"/>
      <c r="R474" s="51"/>
      <c r="S474" s="51"/>
      <c r="T474" s="51"/>
      <c r="U474" s="51"/>
      <c r="V474" s="51"/>
      <c r="W474" s="51"/>
      <c r="X474" s="51"/>
      <c r="Y474" s="51"/>
      <c r="Z474" s="51"/>
      <c r="AA474" s="51"/>
      <c r="AB474" s="51"/>
    </row>
    <row r="475" customFormat="false" ht="15.75" hidden="false" customHeight="false" outlineLevel="0" collapsed="false">
      <c r="A475" s="51"/>
      <c r="B475" s="51"/>
      <c r="C475" s="6"/>
      <c r="D475" s="49"/>
      <c r="E475" s="51"/>
      <c r="F475" s="6"/>
      <c r="G475" s="6"/>
      <c r="H475" s="6"/>
      <c r="I475" s="6"/>
      <c r="J475" s="6"/>
      <c r="K475" s="51"/>
      <c r="L475" s="51"/>
      <c r="M475" s="51"/>
      <c r="N475" s="51"/>
      <c r="O475" s="51"/>
      <c r="P475" s="51"/>
      <c r="Q475" s="51"/>
      <c r="R475" s="51"/>
      <c r="S475" s="51"/>
      <c r="T475" s="51"/>
      <c r="U475" s="51"/>
      <c r="V475" s="51"/>
      <c r="W475" s="51"/>
      <c r="X475" s="51"/>
      <c r="Y475" s="51"/>
      <c r="Z475" s="51"/>
      <c r="AA475" s="51"/>
      <c r="AB475" s="51"/>
    </row>
    <row r="476" customFormat="false" ht="15.75" hidden="false" customHeight="false" outlineLevel="0" collapsed="false">
      <c r="A476" s="51"/>
      <c r="B476" s="51"/>
      <c r="C476" s="6"/>
      <c r="D476" s="49"/>
      <c r="E476" s="51"/>
      <c r="F476" s="6"/>
      <c r="G476" s="6"/>
      <c r="H476" s="6"/>
      <c r="I476" s="6"/>
      <c r="J476" s="6"/>
      <c r="K476" s="51"/>
      <c r="L476" s="51"/>
      <c r="M476" s="51"/>
      <c r="N476" s="51"/>
      <c r="O476" s="51"/>
      <c r="P476" s="51"/>
      <c r="Q476" s="51"/>
      <c r="R476" s="51"/>
      <c r="S476" s="51"/>
      <c r="T476" s="51"/>
      <c r="U476" s="51"/>
      <c r="V476" s="51"/>
      <c r="W476" s="51"/>
      <c r="X476" s="51"/>
      <c r="Y476" s="51"/>
      <c r="Z476" s="51"/>
      <c r="AA476" s="51"/>
      <c r="AB476" s="51"/>
    </row>
    <row r="477" customFormat="false" ht="15.75" hidden="false" customHeight="false" outlineLevel="0" collapsed="false">
      <c r="A477" s="51"/>
      <c r="B477" s="51"/>
      <c r="C477" s="6"/>
      <c r="D477" s="49"/>
      <c r="E477" s="51"/>
      <c r="F477" s="6"/>
      <c r="G477" s="6"/>
      <c r="H477" s="6"/>
      <c r="I477" s="6"/>
      <c r="J477" s="6"/>
      <c r="K477" s="51"/>
      <c r="L477" s="51"/>
      <c r="M477" s="51"/>
      <c r="N477" s="51"/>
      <c r="O477" s="51"/>
      <c r="P477" s="51"/>
      <c r="Q477" s="51"/>
      <c r="R477" s="51"/>
      <c r="S477" s="51"/>
      <c r="T477" s="51"/>
      <c r="U477" s="51"/>
      <c r="V477" s="51"/>
      <c r="W477" s="51"/>
      <c r="X477" s="51"/>
      <c r="Y477" s="51"/>
      <c r="Z477" s="51"/>
      <c r="AA477" s="51"/>
      <c r="AB477" s="51"/>
    </row>
    <row r="478" customFormat="false" ht="15.75" hidden="false" customHeight="false" outlineLevel="0" collapsed="false">
      <c r="A478" s="51"/>
      <c r="B478" s="51"/>
      <c r="C478" s="6"/>
      <c r="D478" s="49"/>
      <c r="E478" s="51"/>
      <c r="F478" s="6"/>
      <c r="G478" s="6"/>
      <c r="H478" s="6"/>
      <c r="I478" s="6"/>
      <c r="J478" s="6"/>
      <c r="K478" s="51"/>
      <c r="L478" s="51"/>
      <c r="M478" s="51"/>
      <c r="N478" s="51"/>
      <c r="O478" s="51"/>
      <c r="P478" s="51"/>
      <c r="Q478" s="51"/>
      <c r="R478" s="51"/>
      <c r="S478" s="51"/>
      <c r="T478" s="51"/>
      <c r="U478" s="51"/>
      <c r="V478" s="51"/>
      <c r="W478" s="51"/>
      <c r="X478" s="51"/>
      <c r="Y478" s="51"/>
      <c r="Z478" s="51"/>
      <c r="AA478" s="51"/>
      <c r="AB478" s="51"/>
    </row>
    <row r="479" customFormat="false" ht="15.75" hidden="false" customHeight="false" outlineLevel="0" collapsed="false">
      <c r="A479" s="51"/>
      <c r="B479" s="51"/>
      <c r="C479" s="6"/>
      <c r="D479" s="49"/>
      <c r="E479" s="51"/>
      <c r="F479" s="6"/>
      <c r="G479" s="6"/>
      <c r="H479" s="6"/>
      <c r="I479" s="6"/>
      <c r="J479" s="6"/>
      <c r="K479" s="51"/>
      <c r="L479" s="51"/>
      <c r="M479" s="51"/>
      <c r="N479" s="51"/>
      <c r="O479" s="51"/>
      <c r="P479" s="51"/>
      <c r="Q479" s="51"/>
      <c r="R479" s="51"/>
      <c r="S479" s="51"/>
      <c r="T479" s="51"/>
      <c r="U479" s="51"/>
      <c r="V479" s="51"/>
      <c r="W479" s="51"/>
      <c r="X479" s="51"/>
      <c r="Y479" s="51"/>
      <c r="Z479" s="51"/>
      <c r="AA479" s="51"/>
      <c r="AB479" s="51"/>
    </row>
    <row r="480" customFormat="false" ht="15.75" hidden="false" customHeight="false" outlineLevel="0" collapsed="false">
      <c r="A480" s="51"/>
      <c r="B480" s="51"/>
      <c r="C480" s="6"/>
      <c r="D480" s="49"/>
      <c r="E480" s="51"/>
      <c r="F480" s="6"/>
      <c r="G480" s="6"/>
      <c r="H480" s="6"/>
      <c r="I480" s="6"/>
      <c r="J480" s="6"/>
      <c r="K480" s="51"/>
      <c r="L480" s="51"/>
      <c r="M480" s="51"/>
      <c r="N480" s="51"/>
      <c r="O480" s="51"/>
      <c r="P480" s="51"/>
      <c r="Q480" s="51"/>
      <c r="R480" s="51"/>
      <c r="S480" s="51"/>
      <c r="T480" s="51"/>
      <c r="U480" s="51"/>
      <c r="V480" s="51"/>
      <c r="W480" s="51"/>
      <c r="X480" s="51"/>
      <c r="Y480" s="51"/>
      <c r="Z480" s="51"/>
      <c r="AA480" s="51"/>
      <c r="AB480" s="51"/>
    </row>
    <row r="481" customFormat="false" ht="15.75" hidden="false" customHeight="false" outlineLevel="0" collapsed="false">
      <c r="A481" s="51"/>
      <c r="B481" s="51"/>
      <c r="C481" s="6"/>
      <c r="D481" s="49"/>
      <c r="E481" s="51"/>
      <c r="F481" s="6"/>
      <c r="G481" s="6"/>
      <c r="H481" s="6"/>
      <c r="I481" s="6"/>
      <c r="J481" s="6"/>
      <c r="K481" s="51"/>
      <c r="L481" s="51"/>
      <c r="M481" s="51"/>
      <c r="N481" s="51"/>
      <c r="O481" s="51"/>
      <c r="P481" s="51"/>
      <c r="Q481" s="51"/>
      <c r="R481" s="51"/>
      <c r="S481" s="51"/>
      <c r="T481" s="51"/>
      <c r="U481" s="51"/>
      <c r="V481" s="51"/>
      <c r="W481" s="51"/>
      <c r="X481" s="51"/>
      <c r="Y481" s="51"/>
      <c r="Z481" s="51"/>
      <c r="AA481" s="51"/>
      <c r="AB481" s="51"/>
    </row>
    <row r="482" customFormat="false" ht="15.75" hidden="false" customHeight="false" outlineLevel="0" collapsed="false">
      <c r="A482" s="51"/>
      <c r="B482" s="51"/>
      <c r="C482" s="6"/>
      <c r="D482" s="49"/>
      <c r="E482" s="51"/>
      <c r="F482" s="6"/>
      <c r="G482" s="6"/>
      <c r="H482" s="6"/>
      <c r="I482" s="6"/>
      <c r="J482" s="6"/>
      <c r="K482" s="51"/>
      <c r="L482" s="51"/>
      <c r="M482" s="51"/>
      <c r="N482" s="51"/>
      <c r="O482" s="51"/>
      <c r="P482" s="51"/>
      <c r="Q482" s="51"/>
      <c r="R482" s="51"/>
      <c r="S482" s="51"/>
      <c r="T482" s="51"/>
      <c r="U482" s="51"/>
      <c r="V482" s="51"/>
      <c r="W482" s="51"/>
      <c r="X482" s="51"/>
      <c r="Y482" s="51"/>
      <c r="Z482" s="51"/>
      <c r="AA482" s="51"/>
      <c r="AB482" s="51"/>
    </row>
    <row r="483" customFormat="false" ht="15.75" hidden="false" customHeight="false" outlineLevel="0" collapsed="false">
      <c r="A483" s="51"/>
      <c r="B483" s="51"/>
      <c r="C483" s="6"/>
      <c r="D483" s="49"/>
      <c r="E483" s="51"/>
      <c r="F483" s="6"/>
      <c r="G483" s="6"/>
      <c r="H483" s="6"/>
      <c r="I483" s="6"/>
      <c r="J483" s="6"/>
      <c r="K483" s="51"/>
      <c r="L483" s="51"/>
      <c r="M483" s="51"/>
      <c r="N483" s="51"/>
      <c r="O483" s="51"/>
      <c r="P483" s="51"/>
      <c r="Q483" s="51"/>
      <c r="R483" s="51"/>
      <c r="S483" s="51"/>
      <c r="T483" s="51"/>
      <c r="U483" s="51"/>
      <c r="V483" s="51"/>
      <c r="W483" s="51"/>
      <c r="X483" s="51"/>
      <c r="Y483" s="51"/>
      <c r="Z483" s="51"/>
      <c r="AA483" s="51"/>
      <c r="AB483" s="51"/>
    </row>
    <row r="484" customFormat="false" ht="15.75" hidden="false" customHeight="false" outlineLevel="0" collapsed="false">
      <c r="A484" s="51"/>
      <c r="B484" s="51"/>
      <c r="C484" s="6"/>
      <c r="D484" s="49"/>
      <c r="E484" s="51"/>
      <c r="F484" s="6"/>
      <c r="G484" s="6"/>
      <c r="H484" s="6"/>
      <c r="I484" s="6"/>
      <c r="J484" s="6"/>
      <c r="K484" s="51"/>
      <c r="L484" s="51"/>
      <c r="M484" s="51"/>
      <c r="N484" s="51"/>
      <c r="O484" s="51"/>
      <c r="P484" s="51"/>
      <c r="Q484" s="51"/>
      <c r="R484" s="51"/>
      <c r="S484" s="51"/>
      <c r="T484" s="51"/>
      <c r="U484" s="51"/>
      <c r="V484" s="51"/>
      <c r="W484" s="51"/>
      <c r="X484" s="51"/>
      <c r="Y484" s="51"/>
      <c r="Z484" s="51"/>
      <c r="AA484" s="51"/>
      <c r="AB484" s="51"/>
    </row>
    <row r="485" customFormat="false" ht="15.75" hidden="false" customHeight="false" outlineLevel="0" collapsed="false">
      <c r="A485" s="51"/>
      <c r="B485" s="51"/>
      <c r="C485" s="6"/>
      <c r="D485" s="49"/>
      <c r="E485" s="51"/>
      <c r="F485" s="6"/>
      <c r="G485" s="6"/>
      <c r="H485" s="6"/>
      <c r="I485" s="6"/>
      <c r="J485" s="6"/>
      <c r="K485" s="51"/>
      <c r="L485" s="51"/>
      <c r="M485" s="51"/>
      <c r="N485" s="51"/>
      <c r="O485" s="51"/>
      <c r="P485" s="51"/>
      <c r="Q485" s="51"/>
      <c r="R485" s="51"/>
      <c r="S485" s="51"/>
      <c r="T485" s="51"/>
      <c r="U485" s="51"/>
      <c r="V485" s="51"/>
      <c r="W485" s="51"/>
      <c r="X485" s="51"/>
      <c r="Y485" s="51"/>
      <c r="Z485" s="51"/>
      <c r="AA485" s="51"/>
      <c r="AB485" s="51"/>
    </row>
    <row r="486" customFormat="false" ht="15.75" hidden="false" customHeight="false" outlineLevel="0" collapsed="false">
      <c r="A486" s="51"/>
      <c r="B486" s="51"/>
      <c r="C486" s="6"/>
      <c r="D486" s="49"/>
      <c r="E486" s="51"/>
      <c r="F486" s="6"/>
      <c r="G486" s="6"/>
      <c r="H486" s="6"/>
      <c r="I486" s="6"/>
      <c r="J486" s="6"/>
      <c r="K486" s="51"/>
      <c r="L486" s="51"/>
      <c r="M486" s="51"/>
      <c r="N486" s="51"/>
      <c r="O486" s="51"/>
      <c r="P486" s="51"/>
      <c r="Q486" s="51"/>
      <c r="R486" s="51"/>
      <c r="S486" s="51"/>
      <c r="T486" s="51"/>
      <c r="U486" s="51"/>
      <c r="V486" s="51"/>
      <c r="W486" s="51"/>
      <c r="X486" s="51"/>
      <c r="Y486" s="51"/>
      <c r="Z486" s="51"/>
      <c r="AA486" s="51"/>
      <c r="AB486" s="51"/>
    </row>
    <row r="487" customFormat="false" ht="15.75" hidden="false" customHeight="false" outlineLevel="0" collapsed="false">
      <c r="A487" s="51"/>
      <c r="B487" s="51"/>
      <c r="C487" s="6"/>
      <c r="D487" s="49"/>
      <c r="E487" s="51"/>
      <c r="F487" s="6"/>
      <c r="G487" s="6"/>
      <c r="H487" s="6"/>
      <c r="I487" s="6"/>
      <c r="J487" s="6"/>
      <c r="K487" s="51"/>
      <c r="L487" s="51"/>
      <c r="M487" s="51"/>
      <c r="N487" s="51"/>
      <c r="O487" s="51"/>
      <c r="P487" s="51"/>
      <c r="Q487" s="51"/>
      <c r="R487" s="51"/>
      <c r="S487" s="51"/>
      <c r="T487" s="51"/>
      <c r="U487" s="51"/>
      <c r="V487" s="51"/>
      <c r="W487" s="51"/>
      <c r="X487" s="51"/>
      <c r="Y487" s="51"/>
      <c r="Z487" s="51"/>
      <c r="AA487" s="51"/>
      <c r="AB487" s="51"/>
    </row>
    <row r="488" customFormat="false" ht="15.75" hidden="false" customHeight="false" outlineLevel="0" collapsed="false">
      <c r="A488" s="51"/>
      <c r="B488" s="51"/>
      <c r="C488" s="6"/>
      <c r="D488" s="49"/>
      <c r="E488" s="51"/>
      <c r="F488" s="6"/>
      <c r="G488" s="6"/>
      <c r="H488" s="6"/>
      <c r="I488" s="6"/>
      <c r="J488" s="6"/>
      <c r="K488" s="51"/>
      <c r="L488" s="51"/>
      <c r="M488" s="51"/>
      <c r="N488" s="51"/>
      <c r="O488" s="51"/>
      <c r="P488" s="51"/>
      <c r="Q488" s="51"/>
      <c r="R488" s="51"/>
      <c r="S488" s="51"/>
      <c r="T488" s="51"/>
      <c r="U488" s="51"/>
      <c r="V488" s="51"/>
      <c r="W488" s="51"/>
      <c r="X488" s="51"/>
      <c r="Y488" s="51"/>
      <c r="Z488" s="51"/>
      <c r="AA488" s="51"/>
      <c r="AB488" s="51"/>
    </row>
    <row r="489" customFormat="false" ht="15.75" hidden="false" customHeight="false" outlineLevel="0" collapsed="false">
      <c r="A489" s="51"/>
      <c r="B489" s="51"/>
      <c r="C489" s="6"/>
      <c r="D489" s="49"/>
      <c r="E489" s="51"/>
      <c r="F489" s="6"/>
      <c r="G489" s="6"/>
      <c r="H489" s="6"/>
      <c r="I489" s="6"/>
      <c r="J489" s="6"/>
      <c r="K489" s="51"/>
      <c r="L489" s="51"/>
      <c r="M489" s="51"/>
      <c r="N489" s="51"/>
      <c r="O489" s="51"/>
      <c r="P489" s="51"/>
      <c r="Q489" s="51"/>
      <c r="R489" s="51"/>
      <c r="S489" s="51"/>
      <c r="T489" s="51"/>
      <c r="U489" s="51"/>
      <c r="V489" s="51"/>
      <c r="W489" s="51"/>
      <c r="X489" s="51"/>
      <c r="Y489" s="51"/>
      <c r="Z489" s="51"/>
      <c r="AA489" s="51"/>
      <c r="AB489" s="51"/>
    </row>
    <row r="490" customFormat="false" ht="15.75" hidden="false" customHeight="false" outlineLevel="0" collapsed="false">
      <c r="A490" s="51"/>
      <c r="B490" s="51"/>
      <c r="C490" s="6"/>
      <c r="D490" s="49"/>
      <c r="E490" s="51"/>
      <c r="F490" s="6"/>
      <c r="G490" s="6"/>
      <c r="H490" s="6"/>
      <c r="I490" s="6"/>
      <c r="J490" s="6"/>
      <c r="K490" s="51"/>
      <c r="L490" s="51"/>
      <c r="M490" s="51"/>
      <c r="N490" s="51"/>
      <c r="O490" s="51"/>
      <c r="P490" s="51"/>
      <c r="Q490" s="51"/>
      <c r="R490" s="51"/>
      <c r="S490" s="51"/>
      <c r="T490" s="51"/>
      <c r="U490" s="51"/>
      <c r="V490" s="51"/>
      <c r="W490" s="51"/>
      <c r="X490" s="51"/>
      <c r="Y490" s="51"/>
      <c r="Z490" s="51"/>
      <c r="AA490" s="51"/>
      <c r="AB490" s="51"/>
    </row>
    <row r="491" customFormat="false" ht="15.75" hidden="false" customHeight="false" outlineLevel="0" collapsed="false">
      <c r="A491" s="51"/>
      <c r="B491" s="51"/>
      <c r="C491" s="6"/>
      <c r="D491" s="49"/>
      <c r="E491" s="51"/>
      <c r="F491" s="6"/>
      <c r="G491" s="6"/>
      <c r="H491" s="6"/>
      <c r="I491" s="6"/>
      <c r="J491" s="6"/>
      <c r="K491" s="51"/>
      <c r="L491" s="51"/>
      <c r="M491" s="51"/>
      <c r="N491" s="51"/>
      <c r="O491" s="51"/>
      <c r="P491" s="51"/>
      <c r="Q491" s="51"/>
      <c r="R491" s="51"/>
      <c r="S491" s="51"/>
      <c r="T491" s="51"/>
      <c r="U491" s="51"/>
      <c r="V491" s="51"/>
      <c r="W491" s="51"/>
      <c r="X491" s="51"/>
      <c r="Y491" s="51"/>
      <c r="Z491" s="51"/>
      <c r="AA491" s="51"/>
      <c r="AB491" s="51"/>
    </row>
    <row r="492" customFormat="false" ht="15.75" hidden="false" customHeight="false" outlineLevel="0" collapsed="false">
      <c r="A492" s="51"/>
      <c r="B492" s="51"/>
      <c r="C492" s="6"/>
      <c r="D492" s="49"/>
      <c r="E492" s="51"/>
      <c r="F492" s="6"/>
      <c r="G492" s="6"/>
      <c r="H492" s="6"/>
      <c r="I492" s="6"/>
      <c r="J492" s="6"/>
      <c r="K492" s="51"/>
      <c r="L492" s="51"/>
      <c r="M492" s="51"/>
      <c r="N492" s="51"/>
      <c r="O492" s="51"/>
      <c r="P492" s="51"/>
      <c r="Q492" s="51"/>
      <c r="R492" s="51"/>
      <c r="S492" s="51"/>
      <c r="T492" s="51"/>
      <c r="U492" s="51"/>
      <c r="V492" s="51"/>
      <c r="W492" s="51"/>
      <c r="X492" s="51"/>
      <c r="Y492" s="51"/>
      <c r="Z492" s="51"/>
      <c r="AA492" s="51"/>
      <c r="AB492" s="51"/>
    </row>
    <row r="493" customFormat="false" ht="15.75" hidden="false" customHeight="false" outlineLevel="0" collapsed="false">
      <c r="A493" s="51"/>
      <c r="B493" s="51"/>
      <c r="C493" s="6"/>
      <c r="D493" s="49"/>
      <c r="E493" s="51"/>
      <c r="F493" s="6"/>
      <c r="G493" s="6"/>
      <c r="H493" s="6"/>
      <c r="I493" s="6"/>
      <c r="J493" s="6"/>
      <c r="K493" s="51"/>
      <c r="L493" s="51"/>
      <c r="M493" s="51"/>
      <c r="N493" s="51"/>
      <c r="O493" s="51"/>
      <c r="P493" s="51"/>
      <c r="Q493" s="51"/>
      <c r="R493" s="51"/>
      <c r="S493" s="51"/>
      <c r="T493" s="51"/>
      <c r="U493" s="51"/>
      <c r="V493" s="51"/>
      <c r="W493" s="51"/>
      <c r="X493" s="51"/>
      <c r="Y493" s="51"/>
      <c r="Z493" s="51"/>
      <c r="AA493" s="51"/>
      <c r="AB493" s="51"/>
    </row>
    <row r="494" customFormat="false" ht="15.75" hidden="false" customHeight="false" outlineLevel="0" collapsed="false">
      <c r="A494" s="51"/>
      <c r="B494" s="51"/>
      <c r="C494" s="6"/>
      <c r="D494" s="49"/>
      <c r="E494" s="51"/>
      <c r="F494" s="6"/>
      <c r="G494" s="6"/>
      <c r="H494" s="6"/>
      <c r="I494" s="6"/>
      <c r="J494" s="6"/>
      <c r="K494" s="51"/>
      <c r="L494" s="51"/>
      <c r="M494" s="51"/>
      <c r="N494" s="51"/>
      <c r="O494" s="51"/>
      <c r="P494" s="51"/>
      <c r="Q494" s="51"/>
      <c r="R494" s="51"/>
      <c r="S494" s="51"/>
      <c r="T494" s="51"/>
      <c r="U494" s="51"/>
      <c r="V494" s="51"/>
      <c r="W494" s="51"/>
      <c r="X494" s="51"/>
      <c r="Y494" s="51"/>
      <c r="Z494" s="51"/>
      <c r="AA494" s="51"/>
      <c r="AB494" s="51"/>
    </row>
    <row r="495" customFormat="false" ht="15.75" hidden="false" customHeight="false" outlineLevel="0" collapsed="false">
      <c r="A495" s="51"/>
      <c r="B495" s="51"/>
      <c r="C495" s="6"/>
      <c r="D495" s="49"/>
      <c r="E495" s="51"/>
      <c r="F495" s="6"/>
      <c r="G495" s="6"/>
      <c r="H495" s="6"/>
      <c r="I495" s="6"/>
      <c r="J495" s="6"/>
      <c r="K495" s="51"/>
      <c r="L495" s="51"/>
      <c r="M495" s="51"/>
      <c r="N495" s="51"/>
      <c r="O495" s="51"/>
      <c r="P495" s="51"/>
      <c r="Q495" s="51"/>
      <c r="R495" s="51"/>
      <c r="S495" s="51"/>
      <c r="T495" s="51"/>
      <c r="U495" s="51"/>
      <c r="V495" s="51"/>
      <c r="W495" s="51"/>
      <c r="X495" s="51"/>
      <c r="Y495" s="51"/>
      <c r="Z495" s="51"/>
      <c r="AA495" s="51"/>
      <c r="AB495" s="51"/>
    </row>
    <row r="496" customFormat="false" ht="15.75" hidden="false" customHeight="false" outlineLevel="0" collapsed="false">
      <c r="A496" s="51"/>
      <c r="B496" s="51"/>
      <c r="C496" s="6"/>
      <c r="D496" s="49"/>
      <c r="E496" s="51"/>
      <c r="F496" s="6"/>
      <c r="G496" s="6"/>
      <c r="H496" s="6"/>
      <c r="I496" s="6"/>
      <c r="J496" s="6"/>
      <c r="K496" s="51"/>
      <c r="L496" s="51"/>
      <c r="M496" s="51"/>
      <c r="N496" s="51"/>
      <c r="O496" s="51"/>
      <c r="P496" s="51"/>
      <c r="Q496" s="51"/>
      <c r="R496" s="51"/>
      <c r="S496" s="51"/>
      <c r="T496" s="51"/>
      <c r="U496" s="51"/>
      <c r="V496" s="51"/>
      <c r="W496" s="51"/>
      <c r="X496" s="51"/>
      <c r="Y496" s="51"/>
      <c r="Z496" s="51"/>
      <c r="AA496" s="51"/>
      <c r="AB496" s="51"/>
    </row>
    <row r="497" customFormat="false" ht="15.75" hidden="false" customHeight="false" outlineLevel="0" collapsed="false">
      <c r="A497" s="51"/>
      <c r="B497" s="51"/>
      <c r="C497" s="6"/>
      <c r="D497" s="49"/>
      <c r="E497" s="51"/>
      <c r="F497" s="6"/>
      <c r="G497" s="6"/>
      <c r="H497" s="6"/>
      <c r="I497" s="6"/>
      <c r="J497" s="6"/>
      <c r="K497" s="51"/>
      <c r="L497" s="51"/>
      <c r="M497" s="51"/>
      <c r="N497" s="51"/>
      <c r="O497" s="51"/>
      <c r="P497" s="51"/>
      <c r="Q497" s="51"/>
      <c r="R497" s="51"/>
      <c r="S497" s="51"/>
      <c r="T497" s="51"/>
      <c r="U497" s="51"/>
      <c r="V497" s="51"/>
      <c r="W497" s="51"/>
      <c r="X497" s="51"/>
      <c r="Y497" s="51"/>
      <c r="Z497" s="51"/>
      <c r="AA497" s="51"/>
      <c r="AB497" s="51"/>
    </row>
    <row r="498" customFormat="false" ht="15.75" hidden="false" customHeight="false" outlineLevel="0" collapsed="false">
      <c r="A498" s="51"/>
      <c r="B498" s="51"/>
      <c r="C498" s="6"/>
      <c r="D498" s="49"/>
      <c r="E498" s="51"/>
      <c r="F498" s="6"/>
      <c r="G498" s="6"/>
      <c r="H498" s="6"/>
      <c r="I498" s="6"/>
      <c r="J498" s="6"/>
      <c r="K498" s="51"/>
      <c r="L498" s="51"/>
      <c r="M498" s="51"/>
      <c r="N498" s="51"/>
      <c r="O498" s="51"/>
      <c r="P498" s="51"/>
      <c r="Q498" s="51"/>
      <c r="R498" s="51"/>
      <c r="S498" s="51"/>
      <c r="T498" s="51"/>
      <c r="U498" s="51"/>
      <c r="V498" s="51"/>
      <c r="W498" s="51"/>
      <c r="X498" s="51"/>
      <c r="Y498" s="51"/>
      <c r="Z498" s="51"/>
      <c r="AA498" s="51"/>
      <c r="AB498" s="51"/>
    </row>
    <row r="499" customFormat="false" ht="15.75" hidden="false" customHeight="false" outlineLevel="0" collapsed="false">
      <c r="A499" s="51"/>
      <c r="B499" s="51"/>
      <c r="C499" s="6"/>
      <c r="D499" s="49"/>
      <c r="E499" s="51"/>
      <c r="F499" s="6"/>
      <c r="G499" s="6"/>
      <c r="H499" s="6"/>
      <c r="I499" s="6"/>
      <c r="J499" s="6"/>
      <c r="K499" s="51"/>
      <c r="L499" s="51"/>
      <c r="M499" s="51"/>
      <c r="N499" s="51"/>
      <c r="O499" s="51"/>
      <c r="P499" s="51"/>
      <c r="Q499" s="51"/>
      <c r="R499" s="51"/>
      <c r="S499" s="51"/>
      <c r="T499" s="51"/>
      <c r="U499" s="51"/>
      <c r="V499" s="51"/>
      <c r="W499" s="51"/>
      <c r="X499" s="51"/>
      <c r="Y499" s="51"/>
      <c r="Z499" s="51"/>
      <c r="AA499" s="51"/>
      <c r="AB499" s="51"/>
    </row>
    <row r="500" customFormat="false" ht="15.75" hidden="false" customHeight="false" outlineLevel="0" collapsed="false">
      <c r="A500" s="51"/>
      <c r="B500" s="51"/>
      <c r="C500" s="6"/>
      <c r="D500" s="49"/>
      <c r="E500" s="51"/>
      <c r="F500" s="6"/>
      <c r="G500" s="6"/>
      <c r="H500" s="6"/>
      <c r="I500" s="6"/>
      <c r="J500" s="6"/>
      <c r="K500" s="51"/>
      <c r="L500" s="51"/>
      <c r="M500" s="51"/>
      <c r="N500" s="51"/>
      <c r="O500" s="51"/>
      <c r="P500" s="51"/>
      <c r="Q500" s="51"/>
      <c r="R500" s="51"/>
      <c r="S500" s="51"/>
      <c r="T500" s="51"/>
      <c r="U500" s="51"/>
      <c r="V500" s="51"/>
      <c r="W500" s="51"/>
      <c r="X500" s="51"/>
      <c r="Y500" s="51"/>
      <c r="Z500" s="51"/>
      <c r="AA500" s="51"/>
      <c r="AB500" s="51"/>
    </row>
    <row r="501" customFormat="false" ht="15.75" hidden="false" customHeight="false" outlineLevel="0" collapsed="false">
      <c r="A501" s="51"/>
      <c r="B501" s="51"/>
      <c r="C501" s="6"/>
      <c r="D501" s="49"/>
      <c r="E501" s="51"/>
      <c r="F501" s="6"/>
      <c r="G501" s="6"/>
      <c r="H501" s="6"/>
      <c r="I501" s="6"/>
      <c r="J501" s="6"/>
      <c r="K501" s="51"/>
      <c r="L501" s="51"/>
      <c r="M501" s="51"/>
      <c r="N501" s="51"/>
      <c r="O501" s="51"/>
      <c r="P501" s="51"/>
      <c r="Q501" s="51"/>
      <c r="R501" s="51"/>
      <c r="S501" s="51"/>
      <c r="T501" s="51"/>
      <c r="U501" s="51"/>
      <c r="V501" s="51"/>
      <c r="W501" s="51"/>
      <c r="X501" s="51"/>
      <c r="Y501" s="51"/>
      <c r="Z501" s="51"/>
      <c r="AA501" s="51"/>
      <c r="AB501" s="51"/>
    </row>
    <row r="502" customFormat="false" ht="15.75" hidden="false" customHeight="false" outlineLevel="0" collapsed="false">
      <c r="A502" s="51"/>
      <c r="B502" s="51"/>
      <c r="C502" s="6"/>
      <c r="D502" s="49"/>
      <c r="E502" s="51"/>
      <c r="F502" s="6"/>
      <c r="G502" s="6"/>
      <c r="H502" s="6"/>
      <c r="I502" s="6"/>
      <c r="J502" s="6"/>
      <c r="K502" s="51"/>
      <c r="L502" s="51"/>
      <c r="M502" s="51"/>
      <c r="N502" s="51"/>
      <c r="O502" s="51"/>
      <c r="P502" s="51"/>
      <c r="Q502" s="51"/>
      <c r="R502" s="51"/>
      <c r="S502" s="51"/>
      <c r="T502" s="51"/>
      <c r="U502" s="51"/>
      <c r="V502" s="51"/>
      <c r="W502" s="51"/>
      <c r="X502" s="51"/>
      <c r="Y502" s="51"/>
      <c r="Z502" s="51"/>
      <c r="AA502" s="51"/>
      <c r="AB502" s="51"/>
    </row>
    <row r="503" customFormat="false" ht="15.75" hidden="false" customHeight="false" outlineLevel="0" collapsed="false">
      <c r="A503" s="51"/>
      <c r="B503" s="51"/>
      <c r="C503" s="6"/>
      <c r="D503" s="49"/>
      <c r="E503" s="51"/>
      <c r="F503" s="6"/>
      <c r="G503" s="6"/>
      <c r="H503" s="6"/>
      <c r="I503" s="6"/>
      <c r="J503" s="6"/>
      <c r="K503" s="51"/>
      <c r="L503" s="51"/>
      <c r="M503" s="51"/>
      <c r="N503" s="51"/>
      <c r="O503" s="51"/>
      <c r="P503" s="51"/>
      <c r="Q503" s="51"/>
      <c r="R503" s="51"/>
      <c r="S503" s="51"/>
      <c r="T503" s="51"/>
      <c r="U503" s="51"/>
      <c r="V503" s="51"/>
      <c r="W503" s="51"/>
      <c r="X503" s="51"/>
      <c r="Y503" s="51"/>
      <c r="Z503" s="51"/>
      <c r="AA503" s="51"/>
      <c r="AB503" s="51"/>
    </row>
    <row r="504" customFormat="false" ht="15.75" hidden="false" customHeight="false" outlineLevel="0" collapsed="false">
      <c r="A504" s="51"/>
      <c r="B504" s="51"/>
      <c r="C504" s="6"/>
      <c r="D504" s="49"/>
      <c r="E504" s="51"/>
      <c r="F504" s="6"/>
      <c r="G504" s="6"/>
      <c r="H504" s="6"/>
      <c r="I504" s="6"/>
      <c r="J504" s="6"/>
      <c r="K504" s="51"/>
      <c r="L504" s="51"/>
      <c r="M504" s="51"/>
      <c r="N504" s="51"/>
      <c r="O504" s="51"/>
      <c r="P504" s="51"/>
      <c r="Q504" s="51"/>
      <c r="R504" s="51"/>
      <c r="S504" s="51"/>
      <c r="T504" s="51"/>
      <c r="U504" s="51"/>
      <c r="V504" s="51"/>
      <c r="W504" s="51"/>
      <c r="X504" s="51"/>
      <c r="Y504" s="51"/>
      <c r="Z504" s="51"/>
      <c r="AA504" s="51"/>
      <c r="AB504" s="51"/>
    </row>
    <row r="505" customFormat="false" ht="15.75" hidden="false" customHeight="false" outlineLevel="0" collapsed="false">
      <c r="A505" s="51"/>
      <c r="B505" s="51"/>
      <c r="C505" s="6"/>
      <c r="D505" s="49"/>
      <c r="E505" s="51"/>
      <c r="F505" s="6"/>
      <c r="G505" s="6"/>
      <c r="H505" s="6"/>
      <c r="I505" s="6"/>
      <c r="J505" s="6"/>
      <c r="K505" s="51"/>
      <c r="L505" s="51"/>
      <c r="M505" s="51"/>
      <c r="N505" s="51"/>
      <c r="O505" s="51"/>
      <c r="P505" s="51"/>
      <c r="Q505" s="51"/>
      <c r="R505" s="51"/>
      <c r="S505" s="51"/>
      <c r="T505" s="51"/>
      <c r="U505" s="51"/>
      <c r="V505" s="51"/>
      <c r="W505" s="51"/>
      <c r="X505" s="51"/>
      <c r="Y505" s="51"/>
      <c r="Z505" s="51"/>
      <c r="AA505" s="51"/>
      <c r="AB505" s="51"/>
    </row>
    <row r="506" customFormat="false" ht="15.75" hidden="false" customHeight="false" outlineLevel="0" collapsed="false">
      <c r="A506" s="51"/>
      <c r="B506" s="51"/>
      <c r="C506" s="6"/>
      <c r="D506" s="49"/>
      <c r="E506" s="51"/>
      <c r="F506" s="6"/>
      <c r="G506" s="6"/>
      <c r="H506" s="6"/>
      <c r="I506" s="6"/>
      <c r="J506" s="6"/>
      <c r="K506" s="51"/>
      <c r="L506" s="51"/>
      <c r="M506" s="51"/>
      <c r="N506" s="51"/>
      <c r="O506" s="51"/>
      <c r="P506" s="51"/>
      <c r="Q506" s="51"/>
      <c r="R506" s="51"/>
      <c r="S506" s="51"/>
      <c r="T506" s="51"/>
      <c r="U506" s="51"/>
      <c r="V506" s="51"/>
      <c r="W506" s="51"/>
      <c r="X506" s="51"/>
      <c r="Y506" s="51"/>
      <c r="Z506" s="51"/>
      <c r="AA506" s="51"/>
      <c r="AB506" s="51"/>
    </row>
    <row r="507" customFormat="false" ht="15.75" hidden="false" customHeight="false" outlineLevel="0" collapsed="false">
      <c r="A507" s="51"/>
      <c r="B507" s="51"/>
      <c r="C507" s="6"/>
      <c r="D507" s="49"/>
      <c r="E507" s="51"/>
      <c r="F507" s="6"/>
      <c r="G507" s="6"/>
      <c r="H507" s="6"/>
      <c r="I507" s="6"/>
      <c r="J507" s="6"/>
      <c r="K507" s="51"/>
      <c r="L507" s="51"/>
      <c r="M507" s="51"/>
      <c r="N507" s="51"/>
      <c r="O507" s="51"/>
      <c r="P507" s="51"/>
      <c r="Q507" s="51"/>
      <c r="R507" s="51"/>
      <c r="S507" s="51"/>
      <c r="T507" s="51"/>
      <c r="U507" s="51"/>
      <c r="V507" s="51"/>
      <c r="W507" s="51"/>
      <c r="X507" s="51"/>
      <c r="Y507" s="51"/>
      <c r="Z507" s="51"/>
      <c r="AA507" s="51"/>
      <c r="AB507" s="51"/>
    </row>
    <row r="508" customFormat="false" ht="15.75" hidden="false" customHeight="false" outlineLevel="0" collapsed="false">
      <c r="A508" s="51"/>
      <c r="B508" s="51"/>
      <c r="C508" s="6"/>
      <c r="D508" s="49"/>
      <c r="E508" s="51"/>
      <c r="F508" s="6"/>
      <c r="G508" s="6"/>
      <c r="H508" s="6"/>
      <c r="I508" s="6"/>
      <c r="J508" s="6"/>
      <c r="K508" s="51"/>
      <c r="L508" s="51"/>
      <c r="M508" s="51"/>
      <c r="N508" s="51"/>
      <c r="O508" s="51"/>
      <c r="P508" s="51"/>
      <c r="Q508" s="51"/>
      <c r="R508" s="51"/>
      <c r="S508" s="51"/>
      <c r="T508" s="51"/>
      <c r="U508" s="51"/>
      <c r="V508" s="51"/>
      <c r="W508" s="51"/>
      <c r="X508" s="51"/>
      <c r="Y508" s="51"/>
      <c r="Z508" s="51"/>
      <c r="AA508" s="51"/>
      <c r="AB508" s="51"/>
    </row>
    <row r="509" customFormat="false" ht="15.75" hidden="false" customHeight="false" outlineLevel="0" collapsed="false">
      <c r="A509" s="51"/>
      <c r="B509" s="51"/>
      <c r="C509" s="6"/>
      <c r="D509" s="49"/>
      <c r="E509" s="51"/>
      <c r="F509" s="6"/>
      <c r="G509" s="6"/>
      <c r="H509" s="6"/>
      <c r="I509" s="6"/>
      <c r="J509" s="6"/>
      <c r="K509" s="51"/>
      <c r="L509" s="51"/>
      <c r="M509" s="51"/>
      <c r="N509" s="51"/>
      <c r="O509" s="51"/>
      <c r="P509" s="51"/>
      <c r="Q509" s="51"/>
      <c r="R509" s="51"/>
      <c r="S509" s="51"/>
      <c r="T509" s="51"/>
      <c r="U509" s="51"/>
      <c r="V509" s="51"/>
      <c r="W509" s="51"/>
      <c r="X509" s="51"/>
      <c r="Y509" s="51"/>
      <c r="Z509" s="51"/>
      <c r="AA509" s="51"/>
      <c r="AB509" s="51"/>
    </row>
    <row r="510" customFormat="false" ht="15.75" hidden="false" customHeight="false" outlineLevel="0" collapsed="false">
      <c r="A510" s="51"/>
      <c r="B510" s="51"/>
      <c r="C510" s="6"/>
      <c r="D510" s="49"/>
      <c r="E510" s="51"/>
      <c r="F510" s="6"/>
      <c r="G510" s="6"/>
      <c r="H510" s="6"/>
      <c r="I510" s="6"/>
      <c r="J510" s="6"/>
      <c r="K510" s="51"/>
      <c r="L510" s="51"/>
      <c r="M510" s="51"/>
      <c r="N510" s="51"/>
      <c r="O510" s="51"/>
      <c r="P510" s="51"/>
      <c r="Q510" s="51"/>
      <c r="R510" s="51"/>
      <c r="S510" s="51"/>
      <c r="T510" s="51"/>
      <c r="U510" s="51"/>
      <c r="V510" s="51"/>
      <c r="W510" s="51"/>
      <c r="X510" s="51"/>
      <c r="Y510" s="51"/>
      <c r="Z510" s="51"/>
      <c r="AA510" s="51"/>
      <c r="AB510" s="51"/>
    </row>
    <row r="511" customFormat="false" ht="15.75" hidden="false" customHeight="false" outlineLevel="0" collapsed="false">
      <c r="A511" s="51"/>
      <c r="B511" s="51"/>
      <c r="C511" s="6"/>
      <c r="D511" s="49"/>
      <c r="E511" s="51"/>
      <c r="F511" s="6"/>
      <c r="G511" s="6"/>
      <c r="H511" s="6"/>
      <c r="I511" s="6"/>
      <c r="J511" s="6"/>
      <c r="K511" s="51"/>
      <c r="L511" s="51"/>
      <c r="M511" s="51"/>
      <c r="N511" s="51"/>
      <c r="O511" s="51"/>
      <c r="P511" s="51"/>
      <c r="Q511" s="51"/>
      <c r="R511" s="51"/>
      <c r="S511" s="51"/>
      <c r="T511" s="51"/>
      <c r="U511" s="51"/>
      <c r="V511" s="51"/>
      <c r="W511" s="51"/>
      <c r="X511" s="51"/>
      <c r="Y511" s="51"/>
      <c r="Z511" s="51"/>
      <c r="AA511" s="51"/>
      <c r="AB511" s="51"/>
    </row>
    <row r="512" customFormat="false" ht="15.75" hidden="false" customHeight="false" outlineLevel="0" collapsed="false">
      <c r="A512" s="51"/>
      <c r="B512" s="51"/>
      <c r="C512" s="6"/>
      <c r="D512" s="49"/>
      <c r="E512" s="51"/>
      <c r="F512" s="6"/>
      <c r="G512" s="6"/>
      <c r="H512" s="6"/>
      <c r="I512" s="6"/>
      <c r="J512" s="6"/>
      <c r="K512" s="51"/>
      <c r="L512" s="51"/>
      <c r="M512" s="51"/>
      <c r="N512" s="51"/>
      <c r="O512" s="51"/>
      <c r="P512" s="51"/>
      <c r="Q512" s="51"/>
      <c r="R512" s="51"/>
      <c r="S512" s="51"/>
      <c r="T512" s="51"/>
      <c r="U512" s="51"/>
      <c r="V512" s="51"/>
      <c r="W512" s="51"/>
      <c r="X512" s="51"/>
      <c r="Y512" s="51"/>
      <c r="Z512" s="51"/>
      <c r="AA512" s="51"/>
      <c r="AB512" s="51"/>
    </row>
    <row r="513" customFormat="false" ht="15.75" hidden="false" customHeight="false" outlineLevel="0" collapsed="false">
      <c r="A513" s="51"/>
      <c r="B513" s="51"/>
      <c r="C513" s="6"/>
      <c r="D513" s="49"/>
      <c r="E513" s="51"/>
      <c r="F513" s="6"/>
      <c r="G513" s="6"/>
      <c r="H513" s="6"/>
      <c r="I513" s="6"/>
      <c r="J513" s="6"/>
      <c r="K513" s="51"/>
      <c r="L513" s="51"/>
      <c r="M513" s="51"/>
      <c r="N513" s="51"/>
      <c r="O513" s="51"/>
      <c r="P513" s="51"/>
      <c r="Q513" s="51"/>
      <c r="R513" s="51"/>
      <c r="S513" s="51"/>
      <c r="T513" s="51"/>
      <c r="U513" s="51"/>
      <c r="V513" s="51"/>
      <c r="W513" s="51"/>
      <c r="X513" s="51"/>
      <c r="Y513" s="51"/>
      <c r="Z513" s="51"/>
      <c r="AA513" s="51"/>
      <c r="AB513" s="51"/>
    </row>
    <row r="514" customFormat="false" ht="15.75" hidden="false" customHeight="false" outlineLevel="0" collapsed="false">
      <c r="A514" s="51"/>
      <c r="B514" s="51"/>
      <c r="C514" s="6"/>
      <c r="D514" s="49"/>
      <c r="E514" s="51"/>
      <c r="F514" s="6"/>
      <c r="G514" s="6"/>
      <c r="H514" s="6"/>
      <c r="I514" s="6"/>
      <c r="J514" s="6"/>
      <c r="K514" s="51"/>
      <c r="L514" s="51"/>
      <c r="M514" s="51"/>
      <c r="N514" s="51"/>
      <c r="O514" s="51"/>
      <c r="P514" s="51"/>
      <c r="Q514" s="51"/>
      <c r="R514" s="51"/>
      <c r="S514" s="51"/>
      <c r="T514" s="51"/>
      <c r="U514" s="51"/>
      <c r="V514" s="51"/>
      <c r="W514" s="51"/>
      <c r="X514" s="51"/>
      <c r="Y514" s="51"/>
      <c r="Z514" s="51"/>
      <c r="AA514" s="51"/>
      <c r="AB514" s="51"/>
    </row>
    <row r="515" customFormat="false" ht="15.75" hidden="false" customHeight="false" outlineLevel="0" collapsed="false">
      <c r="A515" s="51"/>
      <c r="B515" s="51"/>
      <c r="C515" s="6"/>
      <c r="D515" s="49"/>
      <c r="E515" s="51"/>
      <c r="F515" s="6"/>
      <c r="G515" s="6"/>
      <c r="H515" s="6"/>
      <c r="I515" s="6"/>
      <c r="J515" s="6"/>
      <c r="K515" s="51"/>
      <c r="L515" s="51"/>
      <c r="M515" s="51"/>
      <c r="N515" s="51"/>
      <c r="O515" s="51"/>
      <c r="P515" s="51"/>
      <c r="Q515" s="51"/>
      <c r="R515" s="51"/>
      <c r="S515" s="51"/>
      <c r="T515" s="51"/>
      <c r="U515" s="51"/>
      <c r="V515" s="51"/>
      <c r="W515" s="51"/>
      <c r="X515" s="51"/>
      <c r="Y515" s="51"/>
      <c r="Z515" s="51"/>
      <c r="AA515" s="51"/>
      <c r="AB515" s="51"/>
    </row>
    <row r="516" customFormat="false" ht="15.75" hidden="false" customHeight="false" outlineLevel="0" collapsed="false">
      <c r="A516" s="51"/>
      <c r="B516" s="51"/>
      <c r="C516" s="6"/>
      <c r="D516" s="49"/>
      <c r="E516" s="51"/>
      <c r="F516" s="6"/>
      <c r="G516" s="6"/>
      <c r="H516" s="6"/>
      <c r="I516" s="6"/>
      <c r="J516" s="6"/>
      <c r="K516" s="51"/>
      <c r="L516" s="51"/>
      <c r="M516" s="51"/>
      <c r="N516" s="51"/>
      <c r="O516" s="51"/>
      <c r="P516" s="51"/>
      <c r="Q516" s="51"/>
      <c r="R516" s="51"/>
      <c r="S516" s="51"/>
      <c r="T516" s="51"/>
      <c r="U516" s="51"/>
      <c r="V516" s="51"/>
      <c r="W516" s="51"/>
      <c r="X516" s="51"/>
      <c r="Y516" s="51"/>
      <c r="Z516" s="51"/>
      <c r="AA516" s="51"/>
      <c r="AB516" s="51"/>
    </row>
    <row r="517" customFormat="false" ht="15.75" hidden="false" customHeight="false" outlineLevel="0" collapsed="false">
      <c r="A517" s="51"/>
      <c r="B517" s="51"/>
      <c r="C517" s="6"/>
      <c r="D517" s="49"/>
      <c r="E517" s="51"/>
      <c r="F517" s="6"/>
      <c r="G517" s="6"/>
      <c r="H517" s="6"/>
      <c r="I517" s="6"/>
      <c r="J517" s="6"/>
      <c r="K517" s="51"/>
      <c r="L517" s="51"/>
      <c r="M517" s="51"/>
      <c r="N517" s="51"/>
      <c r="O517" s="51"/>
      <c r="P517" s="51"/>
      <c r="Q517" s="51"/>
      <c r="R517" s="51"/>
      <c r="S517" s="51"/>
      <c r="T517" s="51"/>
      <c r="U517" s="51"/>
      <c r="V517" s="51"/>
      <c r="W517" s="51"/>
      <c r="X517" s="51"/>
      <c r="Y517" s="51"/>
      <c r="Z517" s="51"/>
      <c r="AA517" s="51"/>
      <c r="AB517" s="51"/>
    </row>
    <row r="518" customFormat="false" ht="15.75" hidden="false" customHeight="false" outlineLevel="0" collapsed="false">
      <c r="A518" s="51"/>
      <c r="B518" s="51"/>
      <c r="C518" s="6"/>
      <c r="D518" s="49"/>
      <c r="E518" s="51"/>
      <c r="F518" s="6"/>
      <c r="G518" s="6"/>
      <c r="H518" s="6"/>
      <c r="I518" s="6"/>
      <c r="J518" s="6"/>
      <c r="K518" s="51"/>
      <c r="L518" s="51"/>
      <c r="M518" s="51"/>
      <c r="N518" s="51"/>
      <c r="O518" s="51"/>
      <c r="P518" s="51"/>
      <c r="Q518" s="51"/>
      <c r="R518" s="51"/>
      <c r="S518" s="51"/>
      <c r="T518" s="51"/>
      <c r="U518" s="51"/>
      <c r="V518" s="51"/>
      <c r="W518" s="51"/>
      <c r="X518" s="51"/>
      <c r="Y518" s="51"/>
      <c r="Z518" s="51"/>
      <c r="AA518" s="51"/>
      <c r="AB518" s="51"/>
    </row>
    <row r="519" customFormat="false" ht="15.75" hidden="false" customHeight="false" outlineLevel="0" collapsed="false">
      <c r="A519" s="51"/>
      <c r="B519" s="51"/>
      <c r="C519" s="6"/>
      <c r="D519" s="49"/>
      <c r="E519" s="51"/>
      <c r="F519" s="6"/>
      <c r="G519" s="6"/>
      <c r="H519" s="6"/>
      <c r="I519" s="6"/>
      <c r="J519" s="6"/>
      <c r="K519" s="51"/>
      <c r="L519" s="51"/>
      <c r="M519" s="51"/>
      <c r="N519" s="51"/>
      <c r="O519" s="51"/>
      <c r="P519" s="51"/>
      <c r="Q519" s="51"/>
      <c r="R519" s="51"/>
      <c r="S519" s="51"/>
      <c r="T519" s="51"/>
      <c r="U519" s="51"/>
      <c r="V519" s="51"/>
      <c r="W519" s="51"/>
      <c r="X519" s="51"/>
      <c r="Y519" s="51"/>
      <c r="Z519" s="51"/>
      <c r="AA519" s="51"/>
      <c r="AB519" s="51"/>
    </row>
    <row r="520" customFormat="false" ht="15.75" hidden="false" customHeight="false" outlineLevel="0" collapsed="false">
      <c r="A520" s="51"/>
      <c r="B520" s="51"/>
      <c r="C520" s="6"/>
      <c r="D520" s="49"/>
      <c r="E520" s="51"/>
      <c r="F520" s="6"/>
      <c r="G520" s="6"/>
      <c r="H520" s="6"/>
      <c r="I520" s="6"/>
      <c r="J520" s="6"/>
      <c r="K520" s="51"/>
      <c r="L520" s="51"/>
      <c r="M520" s="51"/>
      <c r="N520" s="51"/>
      <c r="O520" s="51"/>
      <c r="P520" s="51"/>
      <c r="Q520" s="51"/>
      <c r="R520" s="51"/>
      <c r="S520" s="51"/>
      <c r="T520" s="51"/>
      <c r="U520" s="51"/>
      <c r="V520" s="51"/>
      <c r="W520" s="51"/>
      <c r="X520" s="51"/>
      <c r="Y520" s="51"/>
      <c r="Z520" s="51"/>
      <c r="AA520" s="51"/>
      <c r="AB520" s="51"/>
    </row>
    <row r="521" customFormat="false" ht="15.75" hidden="false" customHeight="false" outlineLevel="0" collapsed="false">
      <c r="A521" s="51"/>
      <c r="B521" s="51"/>
      <c r="C521" s="6"/>
      <c r="D521" s="49"/>
      <c r="E521" s="51"/>
      <c r="F521" s="6"/>
      <c r="G521" s="6"/>
      <c r="H521" s="6"/>
      <c r="I521" s="6"/>
      <c r="J521" s="6"/>
      <c r="K521" s="51"/>
      <c r="L521" s="51"/>
      <c r="M521" s="51"/>
      <c r="N521" s="51"/>
      <c r="O521" s="51"/>
      <c r="P521" s="51"/>
      <c r="Q521" s="51"/>
      <c r="R521" s="51"/>
      <c r="S521" s="51"/>
      <c r="T521" s="51"/>
      <c r="U521" s="51"/>
      <c r="V521" s="51"/>
      <c r="W521" s="51"/>
      <c r="X521" s="51"/>
      <c r="Y521" s="51"/>
      <c r="Z521" s="51"/>
      <c r="AA521" s="51"/>
      <c r="AB521" s="51"/>
    </row>
    <row r="522" customFormat="false" ht="15.75" hidden="false" customHeight="false" outlineLevel="0" collapsed="false">
      <c r="A522" s="51"/>
      <c r="B522" s="51"/>
      <c r="C522" s="6"/>
      <c r="D522" s="49"/>
      <c r="E522" s="51"/>
      <c r="F522" s="6"/>
      <c r="G522" s="6"/>
      <c r="H522" s="6"/>
      <c r="I522" s="6"/>
      <c r="J522" s="6"/>
      <c r="K522" s="51"/>
      <c r="L522" s="51"/>
      <c r="M522" s="51"/>
      <c r="N522" s="51"/>
      <c r="O522" s="51"/>
      <c r="P522" s="51"/>
      <c r="Q522" s="51"/>
      <c r="R522" s="51"/>
      <c r="S522" s="51"/>
      <c r="T522" s="51"/>
      <c r="U522" s="51"/>
      <c r="V522" s="51"/>
      <c r="W522" s="51"/>
      <c r="X522" s="51"/>
      <c r="Y522" s="51"/>
      <c r="Z522" s="51"/>
      <c r="AA522" s="51"/>
      <c r="AB522" s="51"/>
    </row>
    <row r="523" customFormat="false" ht="15.75" hidden="false" customHeight="false" outlineLevel="0" collapsed="false">
      <c r="A523" s="51"/>
      <c r="B523" s="51"/>
      <c r="C523" s="6"/>
      <c r="D523" s="49"/>
      <c r="E523" s="51"/>
      <c r="F523" s="6"/>
      <c r="G523" s="6"/>
      <c r="H523" s="6"/>
      <c r="I523" s="6"/>
      <c r="J523" s="6"/>
      <c r="K523" s="51"/>
      <c r="L523" s="51"/>
      <c r="M523" s="51"/>
      <c r="N523" s="51"/>
      <c r="O523" s="51"/>
      <c r="P523" s="51"/>
      <c r="Q523" s="51"/>
      <c r="R523" s="51"/>
      <c r="S523" s="51"/>
      <c r="T523" s="51"/>
      <c r="U523" s="51"/>
      <c r="V523" s="51"/>
      <c r="W523" s="51"/>
      <c r="X523" s="51"/>
      <c r="Y523" s="51"/>
      <c r="Z523" s="51"/>
      <c r="AA523" s="51"/>
      <c r="AB523" s="51"/>
    </row>
    <row r="524" customFormat="false" ht="15.75" hidden="false" customHeight="false" outlineLevel="0" collapsed="false">
      <c r="A524" s="51"/>
      <c r="B524" s="51"/>
      <c r="C524" s="6"/>
      <c r="D524" s="49"/>
      <c r="E524" s="51"/>
      <c r="F524" s="6"/>
      <c r="G524" s="6"/>
      <c r="H524" s="6"/>
      <c r="I524" s="6"/>
      <c r="J524" s="6"/>
      <c r="K524" s="51"/>
      <c r="L524" s="51"/>
      <c r="M524" s="51"/>
      <c r="N524" s="51"/>
      <c r="O524" s="51"/>
      <c r="P524" s="51"/>
      <c r="Q524" s="51"/>
      <c r="R524" s="51"/>
      <c r="S524" s="51"/>
      <c r="T524" s="51"/>
      <c r="U524" s="51"/>
      <c r="V524" s="51"/>
      <c r="W524" s="51"/>
      <c r="X524" s="51"/>
      <c r="Y524" s="51"/>
      <c r="Z524" s="51"/>
      <c r="AA524" s="51"/>
      <c r="AB524" s="51"/>
    </row>
    <row r="525" customFormat="false" ht="15.75" hidden="false" customHeight="false" outlineLevel="0" collapsed="false">
      <c r="A525" s="51"/>
      <c r="B525" s="51"/>
      <c r="C525" s="6"/>
      <c r="D525" s="49"/>
      <c r="E525" s="51"/>
      <c r="F525" s="6"/>
      <c r="G525" s="6"/>
      <c r="H525" s="6"/>
      <c r="I525" s="6"/>
      <c r="J525" s="6"/>
      <c r="K525" s="51"/>
      <c r="L525" s="51"/>
      <c r="M525" s="51"/>
      <c r="N525" s="51"/>
      <c r="O525" s="51"/>
      <c r="P525" s="51"/>
      <c r="Q525" s="51"/>
      <c r="R525" s="51"/>
      <c r="S525" s="51"/>
      <c r="T525" s="51"/>
      <c r="U525" s="51"/>
      <c r="V525" s="51"/>
      <c r="W525" s="51"/>
      <c r="X525" s="51"/>
      <c r="Y525" s="51"/>
      <c r="Z525" s="51"/>
      <c r="AA525" s="51"/>
      <c r="AB525" s="51"/>
    </row>
    <row r="526" customFormat="false" ht="15.75" hidden="false" customHeight="false" outlineLevel="0" collapsed="false">
      <c r="A526" s="51"/>
      <c r="B526" s="51"/>
      <c r="C526" s="6"/>
      <c r="D526" s="49"/>
      <c r="E526" s="51"/>
      <c r="F526" s="6"/>
      <c r="G526" s="6"/>
      <c r="H526" s="6"/>
      <c r="I526" s="6"/>
      <c r="J526" s="6"/>
      <c r="K526" s="51"/>
      <c r="L526" s="51"/>
      <c r="M526" s="51"/>
      <c r="N526" s="51"/>
      <c r="O526" s="51"/>
      <c r="P526" s="51"/>
      <c r="Q526" s="51"/>
      <c r="R526" s="51"/>
      <c r="S526" s="51"/>
      <c r="T526" s="51"/>
      <c r="U526" s="51"/>
      <c r="V526" s="51"/>
      <c r="W526" s="51"/>
      <c r="X526" s="51"/>
      <c r="Y526" s="51"/>
      <c r="Z526" s="51"/>
      <c r="AA526" s="51"/>
      <c r="AB526" s="51"/>
    </row>
    <row r="527" customFormat="false" ht="15.75" hidden="false" customHeight="false" outlineLevel="0" collapsed="false">
      <c r="A527" s="51"/>
      <c r="B527" s="51"/>
      <c r="C527" s="6"/>
      <c r="D527" s="49"/>
      <c r="E527" s="51"/>
      <c r="F527" s="6"/>
      <c r="G527" s="6"/>
      <c r="H527" s="6"/>
      <c r="I527" s="6"/>
      <c r="J527" s="6"/>
      <c r="K527" s="51"/>
      <c r="L527" s="51"/>
      <c r="M527" s="51"/>
      <c r="N527" s="51"/>
      <c r="O527" s="51"/>
      <c r="P527" s="51"/>
      <c r="Q527" s="51"/>
      <c r="R527" s="51"/>
      <c r="S527" s="51"/>
      <c r="T527" s="51"/>
      <c r="U527" s="51"/>
      <c r="V527" s="51"/>
      <c r="W527" s="51"/>
      <c r="X527" s="51"/>
      <c r="Y527" s="51"/>
      <c r="Z527" s="51"/>
      <c r="AA527" s="51"/>
      <c r="AB527" s="51"/>
    </row>
    <row r="528" customFormat="false" ht="15.75" hidden="false" customHeight="false" outlineLevel="0" collapsed="false">
      <c r="A528" s="51"/>
      <c r="B528" s="51"/>
      <c r="C528" s="6"/>
      <c r="D528" s="49"/>
      <c r="E528" s="51"/>
      <c r="F528" s="6"/>
      <c r="G528" s="6"/>
      <c r="H528" s="6"/>
      <c r="I528" s="6"/>
      <c r="J528" s="6"/>
      <c r="K528" s="51"/>
      <c r="L528" s="51"/>
      <c r="M528" s="51"/>
      <c r="N528" s="51"/>
      <c r="O528" s="51"/>
      <c r="P528" s="51"/>
      <c r="Q528" s="51"/>
      <c r="R528" s="51"/>
      <c r="S528" s="51"/>
      <c r="T528" s="51"/>
      <c r="U528" s="51"/>
      <c r="V528" s="51"/>
      <c r="W528" s="51"/>
      <c r="X528" s="51"/>
      <c r="Y528" s="51"/>
      <c r="Z528" s="51"/>
      <c r="AA528" s="51"/>
      <c r="AB528" s="51"/>
    </row>
    <row r="529" customFormat="false" ht="15.75" hidden="false" customHeight="false" outlineLevel="0" collapsed="false">
      <c r="A529" s="51"/>
      <c r="B529" s="51"/>
      <c r="C529" s="6"/>
      <c r="D529" s="49"/>
      <c r="E529" s="51"/>
      <c r="F529" s="6"/>
      <c r="G529" s="6"/>
      <c r="H529" s="6"/>
      <c r="I529" s="6"/>
      <c r="J529" s="6"/>
      <c r="K529" s="51"/>
      <c r="L529" s="51"/>
      <c r="M529" s="51"/>
      <c r="N529" s="51"/>
      <c r="O529" s="51"/>
      <c r="P529" s="51"/>
      <c r="Q529" s="51"/>
      <c r="R529" s="51"/>
      <c r="S529" s="51"/>
      <c r="T529" s="51"/>
      <c r="U529" s="51"/>
      <c r="V529" s="51"/>
      <c r="W529" s="51"/>
      <c r="X529" s="51"/>
      <c r="Y529" s="51"/>
      <c r="Z529" s="51"/>
      <c r="AA529" s="51"/>
      <c r="AB529" s="51"/>
    </row>
    <row r="530" customFormat="false" ht="15.75" hidden="false" customHeight="false" outlineLevel="0" collapsed="false">
      <c r="A530" s="51"/>
      <c r="B530" s="51"/>
      <c r="C530" s="6"/>
      <c r="D530" s="49"/>
      <c r="E530" s="51"/>
      <c r="F530" s="6"/>
      <c r="G530" s="6"/>
      <c r="H530" s="6"/>
      <c r="I530" s="6"/>
      <c r="J530" s="6"/>
      <c r="K530" s="51"/>
      <c r="L530" s="51"/>
      <c r="M530" s="51"/>
      <c r="N530" s="51"/>
      <c r="O530" s="51"/>
      <c r="P530" s="51"/>
      <c r="Q530" s="51"/>
      <c r="R530" s="51"/>
      <c r="S530" s="51"/>
      <c r="T530" s="51"/>
      <c r="U530" s="51"/>
      <c r="V530" s="51"/>
      <c r="W530" s="51"/>
      <c r="X530" s="51"/>
      <c r="Y530" s="51"/>
      <c r="Z530" s="51"/>
      <c r="AA530" s="51"/>
      <c r="AB530" s="51"/>
    </row>
    <row r="531" customFormat="false" ht="15.75" hidden="false" customHeight="false" outlineLevel="0" collapsed="false">
      <c r="A531" s="51"/>
      <c r="B531" s="51"/>
      <c r="C531" s="6"/>
      <c r="D531" s="49"/>
      <c r="E531" s="51"/>
      <c r="F531" s="6"/>
      <c r="G531" s="6"/>
      <c r="H531" s="6"/>
      <c r="I531" s="6"/>
      <c r="J531" s="6"/>
      <c r="K531" s="51"/>
      <c r="L531" s="51"/>
      <c r="M531" s="51"/>
      <c r="N531" s="51"/>
      <c r="O531" s="51"/>
      <c r="P531" s="51"/>
      <c r="Q531" s="51"/>
      <c r="R531" s="51"/>
      <c r="S531" s="51"/>
      <c r="T531" s="51"/>
      <c r="U531" s="51"/>
      <c r="V531" s="51"/>
      <c r="W531" s="51"/>
      <c r="X531" s="51"/>
      <c r="Y531" s="51"/>
      <c r="Z531" s="51"/>
      <c r="AA531" s="51"/>
      <c r="AB531" s="51"/>
    </row>
    <row r="532" customFormat="false" ht="15.75" hidden="false" customHeight="false" outlineLevel="0" collapsed="false">
      <c r="A532" s="51"/>
      <c r="B532" s="51"/>
      <c r="C532" s="6"/>
      <c r="D532" s="49"/>
      <c r="E532" s="51"/>
      <c r="F532" s="6"/>
      <c r="G532" s="6"/>
      <c r="H532" s="6"/>
      <c r="I532" s="6"/>
      <c r="J532" s="6"/>
      <c r="K532" s="51"/>
      <c r="L532" s="51"/>
      <c r="M532" s="51"/>
      <c r="N532" s="51"/>
      <c r="O532" s="51"/>
      <c r="P532" s="51"/>
      <c r="Q532" s="51"/>
      <c r="R532" s="51"/>
      <c r="S532" s="51"/>
      <c r="T532" s="51"/>
      <c r="U532" s="51"/>
      <c r="V532" s="51"/>
      <c r="W532" s="51"/>
      <c r="X532" s="51"/>
      <c r="Y532" s="51"/>
      <c r="Z532" s="51"/>
      <c r="AA532" s="51"/>
      <c r="AB532" s="51"/>
    </row>
    <row r="533" customFormat="false" ht="15.75" hidden="false" customHeight="false" outlineLevel="0" collapsed="false">
      <c r="A533" s="51"/>
      <c r="B533" s="51"/>
      <c r="C533" s="6"/>
      <c r="D533" s="49"/>
      <c r="E533" s="51"/>
      <c r="F533" s="6"/>
      <c r="G533" s="6"/>
      <c r="H533" s="6"/>
      <c r="I533" s="6"/>
      <c r="J533" s="6"/>
      <c r="K533" s="51"/>
      <c r="L533" s="51"/>
      <c r="M533" s="51"/>
      <c r="N533" s="51"/>
      <c r="O533" s="51"/>
      <c r="P533" s="51"/>
      <c r="Q533" s="51"/>
      <c r="R533" s="51"/>
      <c r="S533" s="51"/>
      <c r="T533" s="51"/>
      <c r="U533" s="51"/>
      <c r="V533" s="51"/>
      <c r="W533" s="51"/>
      <c r="X533" s="51"/>
      <c r="Y533" s="51"/>
      <c r="Z533" s="51"/>
      <c r="AA533" s="51"/>
      <c r="AB533" s="51"/>
    </row>
    <row r="534" customFormat="false" ht="15.75" hidden="false" customHeight="false" outlineLevel="0" collapsed="false">
      <c r="A534" s="51"/>
      <c r="B534" s="51"/>
      <c r="C534" s="6"/>
      <c r="D534" s="49"/>
      <c r="E534" s="51"/>
      <c r="F534" s="6"/>
      <c r="G534" s="6"/>
      <c r="H534" s="6"/>
      <c r="I534" s="6"/>
      <c r="J534" s="6"/>
      <c r="K534" s="51"/>
      <c r="L534" s="51"/>
      <c r="M534" s="51"/>
      <c r="N534" s="51"/>
      <c r="O534" s="51"/>
      <c r="P534" s="51"/>
      <c r="Q534" s="51"/>
      <c r="R534" s="51"/>
      <c r="S534" s="51"/>
      <c r="T534" s="51"/>
      <c r="U534" s="51"/>
      <c r="V534" s="51"/>
      <c r="W534" s="51"/>
      <c r="X534" s="51"/>
      <c r="Y534" s="51"/>
      <c r="Z534" s="51"/>
      <c r="AA534" s="51"/>
      <c r="AB534" s="51"/>
    </row>
    <row r="535" customFormat="false" ht="15.75" hidden="false" customHeight="false" outlineLevel="0" collapsed="false">
      <c r="A535" s="51"/>
      <c r="B535" s="51"/>
      <c r="C535" s="6"/>
      <c r="D535" s="49"/>
      <c r="E535" s="51"/>
      <c r="F535" s="6"/>
      <c r="G535" s="6"/>
      <c r="H535" s="6"/>
      <c r="I535" s="6"/>
      <c r="J535" s="6"/>
      <c r="K535" s="51"/>
      <c r="L535" s="51"/>
      <c r="M535" s="51"/>
      <c r="N535" s="51"/>
      <c r="O535" s="51"/>
      <c r="P535" s="51"/>
      <c r="Q535" s="51"/>
      <c r="R535" s="51"/>
      <c r="S535" s="51"/>
      <c r="T535" s="51"/>
      <c r="U535" s="51"/>
      <c r="V535" s="51"/>
      <c r="W535" s="51"/>
      <c r="X535" s="51"/>
      <c r="Y535" s="51"/>
      <c r="Z535" s="51"/>
      <c r="AA535" s="51"/>
      <c r="AB535" s="51"/>
    </row>
    <row r="536" customFormat="false" ht="15.75" hidden="false" customHeight="false" outlineLevel="0" collapsed="false">
      <c r="A536" s="51"/>
      <c r="B536" s="51"/>
      <c r="C536" s="6"/>
      <c r="D536" s="49"/>
      <c r="E536" s="51"/>
      <c r="F536" s="6"/>
      <c r="G536" s="6"/>
      <c r="H536" s="6"/>
      <c r="I536" s="6"/>
      <c r="J536" s="6"/>
      <c r="K536" s="51"/>
      <c r="L536" s="51"/>
      <c r="M536" s="51"/>
      <c r="N536" s="51"/>
      <c r="O536" s="51"/>
      <c r="P536" s="51"/>
      <c r="Q536" s="51"/>
      <c r="R536" s="51"/>
      <c r="S536" s="51"/>
      <c r="T536" s="51"/>
      <c r="U536" s="51"/>
      <c r="V536" s="51"/>
      <c r="W536" s="51"/>
      <c r="X536" s="51"/>
      <c r="Y536" s="51"/>
      <c r="Z536" s="51"/>
      <c r="AA536" s="51"/>
      <c r="AB536" s="51"/>
    </row>
    <row r="537" customFormat="false" ht="15.75" hidden="false" customHeight="false" outlineLevel="0" collapsed="false">
      <c r="A537" s="51"/>
      <c r="B537" s="51"/>
      <c r="C537" s="6"/>
      <c r="D537" s="49"/>
      <c r="E537" s="51"/>
      <c r="F537" s="6"/>
      <c r="G537" s="6"/>
      <c r="H537" s="6"/>
      <c r="I537" s="6"/>
      <c r="J537" s="6"/>
      <c r="K537" s="51"/>
      <c r="L537" s="51"/>
      <c r="M537" s="51"/>
      <c r="N537" s="51"/>
      <c r="O537" s="51"/>
      <c r="P537" s="51"/>
      <c r="Q537" s="51"/>
      <c r="R537" s="51"/>
      <c r="S537" s="51"/>
      <c r="T537" s="51"/>
      <c r="U537" s="51"/>
      <c r="V537" s="51"/>
      <c r="W537" s="51"/>
      <c r="X537" s="51"/>
      <c r="Y537" s="51"/>
      <c r="Z537" s="51"/>
      <c r="AA537" s="51"/>
      <c r="AB537" s="51"/>
    </row>
    <row r="538" customFormat="false" ht="15.75" hidden="false" customHeight="false" outlineLevel="0" collapsed="false">
      <c r="A538" s="51"/>
      <c r="B538" s="51"/>
      <c r="C538" s="6"/>
      <c r="D538" s="49"/>
      <c r="E538" s="51"/>
      <c r="F538" s="6"/>
      <c r="G538" s="6"/>
      <c r="H538" s="6"/>
      <c r="I538" s="6"/>
      <c r="J538" s="6"/>
      <c r="K538" s="51"/>
      <c r="L538" s="51"/>
      <c r="M538" s="51"/>
      <c r="N538" s="51"/>
      <c r="O538" s="51"/>
      <c r="P538" s="51"/>
      <c r="Q538" s="51"/>
      <c r="R538" s="51"/>
      <c r="S538" s="51"/>
      <c r="T538" s="51"/>
      <c r="U538" s="51"/>
      <c r="V538" s="51"/>
      <c r="W538" s="51"/>
      <c r="X538" s="51"/>
      <c r="Y538" s="51"/>
      <c r="Z538" s="51"/>
      <c r="AA538" s="51"/>
      <c r="AB538" s="51"/>
    </row>
    <row r="539" customFormat="false" ht="15.75" hidden="false" customHeight="false" outlineLevel="0" collapsed="false">
      <c r="A539" s="51"/>
      <c r="B539" s="51"/>
      <c r="C539" s="6"/>
      <c r="D539" s="49"/>
      <c r="E539" s="51"/>
      <c r="F539" s="6"/>
      <c r="G539" s="6"/>
      <c r="H539" s="6"/>
      <c r="I539" s="6"/>
      <c r="J539" s="6"/>
      <c r="K539" s="51"/>
      <c r="L539" s="51"/>
      <c r="M539" s="51"/>
      <c r="N539" s="51"/>
      <c r="O539" s="51"/>
      <c r="P539" s="51"/>
      <c r="Q539" s="51"/>
      <c r="R539" s="51"/>
      <c r="S539" s="51"/>
      <c r="T539" s="51"/>
      <c r="U539" s="51"/>
      <c r="V539" s="51"/>
      <c r="W539" s="51"/>
      <c r="X539" s="51"/>
      <c r="Y539" s="51"/>
      <c r="Z539" s="51"/>
      <c r="AA539" s="51"/>
      <c r="AB539" s="51"/>
    </row>
    <row r="540" customFormat="false" ht="15.75" hidden="false" customHeight="false" outlineLevel="0" collapsed="false">
      <c r="A540" s="51"/>
      <c r="B540" s="51"/>
      <c r="C540" s="6"/>
      <c r="D540" s="49"/>
      <c r="E540" s="51"/>
      <c r="F540" s="6"/>
      <c r="G540" s="6"/>
      <c r="H540" s="6"/>
      <c r="I540" s="6"/>
      <c r="J540" s="6"/>
      <c r="K540" s="51"/>
      <c r="L540" s="51"/>
      <c r="M540" s="51"/>
      <c r="N540" s="51"/>
      <c r="O540" s="51"/>
      <c r="P540" s="51"/>
      <c r="Q540" s="51"/>
      <c r="R540" s="51"/>
      <c r="S540" s="51"/>
      <c r="T540" s="51"/>
      <c r="U540" s="51"/>
      <c r="V540" s="51"/>
      <c r="W540" s="51"/>
      <c r="X540" s="51"/>
      <c r="Y540" s="51"/>
      <c r="Z540" s="51"/>
      <c r="AA540" s="51"/>
      <c r="AB540" s="51"/>
    </row>
    <row r="541" customFormat="false" ht="15.75" hidden="false" customHeight="false" outlineLevel="0" collapsed="false">
      <c r="A541" s="51"/>
      <c r="B541" s="51"/>
      <c r="C541" s="6"/>
      <c r="D541" s="49"/>
      <c r="E541" s="51"/>
      <c r="F541" s="6"/>
      <c r="G541" s="6"/>
      <c r="H541" s="6"/>
      <c r="I541" s="6"/>
      <c r="J541" s="6"/>
      <c r="K541" s="51"/>
      <c r="L541" s="51"/>
      <c r="M541" s="51"/>
      <c r="N541" s="51"/>
      <c r="O541" s="51"/>
      <c r="P541" s="51"/>
      <c r="Q541" s="51"/>
      <c r="R541" s="51"/>
      <c r="S541" s="51"/>
      <c r="T541" s="51"/>
      <c r="U541" s="51"/>
      <c r="V541" s="51"/>
      <c r="W541" s="51"/>
      <c r="X541" s="51"/>
      <c r="Y541" s="51"/>
      <c r="Z541" s="51"/>
      <c r="AA541" s="51"/>
      <c r="AB541" s="51"/>
    </row>
    <row r="542" customFormat="false" ht="15.75" hidden="false" customHeight="false" outlineLevel="0" collapsed="false">
      <c r="A542" s="51"/>
      <c r="B542" s="51"/>
      <c r="C542" s="6"/>
      <c r="D542" s="49"/>
      <c r="E542" s="51"/>
      <c r="F542" s="6"/>
      <c r="G542" s="6"/>
      <c r="H542" s="6"/>
      <c r="I542" s="6"/>
      <c r="J542" s="6"/>
      <c r="K542" s="51"/>
      <c r="L542" s="51"/>
      <c r="M542" s="51"/>
      <c r="N542" s="51"/>
      <c r="O542" s="51"/>
      <c r="P542" s="51"/>
      <c r="Q542" s="51"/>
      <c r="R542" s="51"/>
      <c r="S542" s="51"/>
      <c r="T542" s="51"/>
      <c r="U542" s="51"/>
      <c r="V542" s="51"/>
      <c r="W542" s="51"/>
      <c r="X542" s="51"/>
      <c r="Y542" s="51"/>
      <c r="Z542" s="51"/>
      <c r="AA542" s="51"/>
      <c r="AB542" s="51"/>
    </row>
    <row r="543" customFormat="false" ht="15.75" hidden="false" customHeight="false" outlineLevel="0" collapsed="false">
      <c r="A543" s="51"/>
      <c r="B543" s="51"/>
      <c r="C543" s="6"/>
      <c r="D543" s="49"/>
      <c r="E543" s="51"/>
      <c r="F543" s="6"/>
      <c r="G543" s="6"/>
      <c r="H543" s="6"/>
      <c r="I543" s="6"/>
      <c r="J543" s="6"/>
      <c r="K543" s="51"/>
      <c r="L543" s="51"/>
      <c r="M543" s="51"/>
      <c r="N543" s="51"/>
      <c r="O543" s="51"/>
      <c r="P543" s="51"/>
      <c r="Q543" s="51"/>
      <c r="R543" s="51"/>
      <c r="S543" s="51"/>
      <c r="T543" s="51"/>
      <c r="U543" s="51"/>
      <c r="V543" s="51"/>
      <c r="W543" s="51"/>
      <c r="X543" s="51"/>
      <c r="Y543" s="51"/>
      <c r="Z543" s="51"/>
      <c r="AA543" s="51"/>
      <c r="AB543" s="51"/>
    </row>
    <row r="544" customFormat="false" ht="15.75" hidden="false" customHeight="false" outlineLevel="0" collapsed="false">
      <c r="A544" s="51"/>
      <c r="B544" s="51"/>
      <c r="C544" s="6"/>
      <c r="D544" s="49"/>
      <c r="E544" s="51"/>
      <c r="F544" s="6"/>
      <c r="G544" s="6"/>
      <c r="H544" s="6"/>
      <c r="I544" s="6"/>
      <c r="J544" s="6"/>
      <c r="K544" s="51"/>
      <c r="L544" s="51"/>
      <c r="M544" s="51"/>
      <c r="N544" s="51"/>
      <c r="O544" s="51"/>
      <c r="P544" s="51"/>
      <c r="Q544" s="51"/>
      <c r="R544" s="51"/>
      <c r="S544" s="51"/>
      <c r="T544" s="51"/>
      <c r="U544" s="51"/>
      <c r="V544" s="51"/>
      <c r="W544" s="51"/>
      <c r="X544" s="51"/>
      <c r="Y544" s="51"/>
      <c r="Z544" s="51"/>
      <c r="AA544" s="51"/>
      <c r="AB544" s="51"/>
    </row>
    <row r="545" customFormat="false" ht="15.75" hidden="false" customHeight="false" outlineLevel="0" collapsed="false">
      <c r="A545" s="51"/>
      <c r="B545" s="51"/>
      <c r="C545" s="6"/>
      <c r="D545" s="49"/>
      <c r="E545" s="51"/>
      <c r="F545" s="6"/>
      <c r="G545" s="6"/>
      <c r="H545" s="6"/>
      <c r="I545" s="6"/>
      <c r="J545" s="6"/>
      <c r="K545" s="51"/>
      <c r="L545" s="51"/>
      <c r="M545" s="51"/>
      <c r="N545" s="51"/>
      <c r="O545" s="51"/>
      <c r="P545" s="51"/>
      <c r="Q545" s="51"/>
      <c r="R545" s="51"/>
      <c r="S545" s="51"/>
      <c r="T545" s="51"/>
      <c r="U545" s="51"/>
      <c r="V545" s="51"/>
      <c r="W545" s="51"/>
      <c r="X545" s="51"/>
      <c r="Y545" s="51"/>
      <c r="Z545" s="51"/>
      <c r="AA545" s="51"/>
      <c r="AB545" s="51"/>
    </row>
    <row r="546" customFormat="false" ht="15.75" hidden="false" customHeight="false" outlineLevel="0" collapsed="false">
      <c r="A546" s="51"/>
      <c r="B546" s="51"/>
      <c r="C546" s="6"/>
      <c r="D546" s="49"/>
      <c r="E546" s="51"/>
      <c r="F546" s="6"/>
      <c r="G546" s="6"/>
      <c r="H546" s="6"/>
      <c r="I546" s="6"/>
      <c r="J546" s="6"/>
      <c r="K546" s="51"/>
      <c r="L546" s="51"/>
      <c r="M546" s="51"/>
      <c r="N546" s="51"/>
      <c r="O546" s="51"/>
      <c r="P546" s="51"/>
      <c r="Q546" s="51"/>
      <c r="R546" s="51"/>
      <c r="S546" s="51"/>
      <c r="T546" s="51"/>
      <c r="U546" s="51"/>
      <c r="V546" s="51"/>
      <c r="W546" s="51"/>
      <c r="X546" s="51"/>
      <c r="Y546" s="51"/>
      <c r="Z546" s="51"/>
      <c r="AA546" s="51"/>
      <c r="AB546" s="51"/>
    </row>
    <row r="547" customFormat="false" ht="15.75" hidden="false" customHeight="false" outlineLevel="0" collapsed="false">
      <c r="A547" s="51"/>
      <c r="B547" s="51"/>
      <c r="C547" s="6"/>
      <c r="D547" s="49"/>
      <c r="E547" s="51"/>
      <c r="F547" s="6"/>
      <c r="G547" s="6"/>
      <c r="H547" s="6"/>
      <c r="I547" s="6"/>
      <c r="J547" s="6"/>
      <c r="K547" s="51"/>
      <c r="L547" s="51"/>
      <c r="M547" s="51"/>
      <c r="N547" s="51"/>
      <c r="O547" s="51"/>
      <c r="P547" s="51"/>
      <c r="Q547" s="51"/>
      <c r="R547" s="51"/>
      <c r="S547" s="51"/>
      <c r="T547" s="51"/>
      <c r="U547" s="51"/>
      <c r="V547" s="51"/>
      <c r="W547" s="51"/>
      <c r="X547" s="51"/>
      <c r="Y547" s="51"/>
      <c r="Z547" s="51"/>
      <c r="AA547" s="51"/>
      <c r="AB547" s="51"/>
    </row>
    <row r="548" customFormat="false" ht="15.75" hidden="false" customHeight="false" outlineLevel="0" collapsed="false">
      <c r="A548" s="51"/>
      <c r="B548" s="51"/>
      <c r="C548" s="6"/>
      <c r="D548" s="49"/>
      <c r="E548" s="51"/>
      <c r="F548" s="6"/>
      <c r="G548" s="6"/>
      <c r="H548" s="6"/>
      <c r="I548" s="6"/>
      <c r="J548" s="6"/>
      <c r="K548" s="51"/>
      <c r="L548" s="51"/>
      <c r="M548" s="51"/>
      <c r="N548" s="51"/>
      <c r="O548" s="51"/>
      <c r="P548" s="51"/>
      <c r="Q548" s="51"/>
      <c r="R548" s="51"/>
      <c r="S548" s="51"/>
      <c r="T548" s="51"/>
      <c r="U548" s="51"/>
      <c r="V548" s="51"/>
      <c r="W548" s="51"/>
      <c r="X548" s="51"/>
      <c r="Y548" s="51"/>
      <c r="Z548" s="51"/>
      <c r="AA548" s="51"/>
      <c r="AB548" s="51"/>
    </row>
    <row r="549" customFormat="false" ht="15.75" hidden="false" customHeight="false" outlineLevel="0" collapsed="false">
      <c r="A549" s="51"/>
      <c r="B549" s="51"/>
      <c r="C549" s="6"/>
      <c r="D549" s="49"/>
      <c r="E549" s="51"/>
      <c r="F549" s="6"/>
      <c r="G549" s="6"/>
      <c r="H549" s="6"/>
      <c r="I549" s="6"/>
      <c r="J549" s="6"/>
      <c r="K549" s="51"/>
      <c r="L549" s="51"/>
      <c r="M549" s="51"/>
      <c r="N549" s="51"/>
      <c r="O549" s="51"/>
      <c r="P549" s="51"/>
      <c r="Q549" s="51"/>
      <c r="R549" s="51"/>
      <c r="S549" s="51"/>
      <c r="T549" s="51"/>
      <c r="U549" s="51"/>
      <c r="V549" s="51"/>
      <c r="W549" s="51"/>
      <c r="X549" s="51"/>
      <c r="Y549" s="51"/>
      <c r="Z549" s="51"/>
      <c r="AA549" s="51"/>
      <c r="AB549" s="51"/>
    </row>
    <row r="550" customFormat="false" ht="15.75" hidden="false" customHeight="false" outlineLevel="0" collapsed="false">
      <c r="A550" s="51"/>
      <c r="B550" s="51"/>
      <c r="C550" s="6"/>
      <c r="D550" s="49"/>
      <c r="E550" s="51"/>
      <c r="F550" s="6"/>
      <c r="G550" s="6"/>
      <c r="H550" s="6"/>
      <c r="I550" s="6"/>
      <c r="J550" s="6"/>
      <c r="K550" s="51"/>
      <c r="L550" s="51"/>
      <c r="M550" s="51"/>
      <c r="N550" s="51"/>
      <c r="O550" s="51"/>
      <c r="P550" s="51"/>
      <c r="Q550" s="51"/>
      <c r="R550" s="51"/>
      <c r="S550" s="51"/>
      <c r="T550" s="51"/>
      <c r="U550" s="51"/>
      <c r="V550" s="51"/>
      <c r="W550" s="51"/>
      <c r="X550" s="51"/>
      <c r="Y550" s="51"/>
      <c r="Z550" s="51"/>
      <c r="AA550" s="51"/>
      <c r="AB550" s="51"/>
    </row>
    <row r="551" customFormat="false" ht="15.75" hidden="false" customHeight="false" outlineLevel="0" collapsed="false">
      <c r="A551" s="51"/>
      <c r="B551" s="51"/>
      <c r="C551" s="6"/>
      <c r="D551" s="49"/>
      <c r="E551" s="51"/>
      <c r="F551" s="6"/>
      <c r="G551" s="6"/>
      <c r="H551" s="6"/>
      <c r="I551" s="6"/>
      <c r="J551" s="6"/>
      <c r="K551" s="51"/>
      <c r="L551" s="51"/>
      <c r="M551" s="51"/>
      <c r="N551" s="51"/>
      <c r="O551" s="51"/>
      <c r="P551" s="51"/>
      <c r="Q551" s="51"/>
      <c r="R551" s="51"/>
      <c r="S551" s="51"/>
      <c r="T551" s="51"/>
      <c r="U551" s="51"/>
      <c r="V551" s="51"/>
      <c r="W551" s="51"/>
      <c r="X551" s="51"/>
      <c r="Y551" s="51"/>
      <c r="Z551" s="51"/>
      <c r="AA551" s="51"/>
      <c r="AB551" s="51"/>
    </row>
    <row r="552" customFormat="false" ht="15.75" hidden="false" customHeight="false" outlineLevel="0" collapsed="false">
      <c r="A552" s="51"/>
      <c r="B552" s="51"/>
      <c r="C552" s="6"/>
      <c r="D552" s="49"/>
      <c r="E552" s="51"/>
      <c r="F552" s="6"/>
      <c r="G552" s="6"/>
      <c r="H552" s="6"/>
      <c r="I552" s="6"/>
      <c r="J552" s="6"/>
      <c r="K552" s="51"/>
      <c r="L552" s="51"/>
      <c r="M552" s="51"/>
      <c r="N552" s="51"/>
      <c r="O552" s="51"/>
      <c r="P552" s="51"/>
      <c r="Q552" s="51"/>
      <c r="R552" s="51"/>
      <c r="S552" s="51"/>
      <c r="T552" s="51"/>
      <c r="U552" s="51"/>
      <c r="V552" s="51"/>
      <c r="W552" s="51"/>
      <c r="X552" s="51"/>
      <c r="Y552" s="51"/>
      <c r="Z552" s="51"/>
      <c r="AA552" s="51"/>
      <c r="AB552" s="51"/>
    </row>
    <row r="553" customFormat="false" ht="15.75" hidden="false" customHeight="false" outlineLevel="0" collapsed="false">
      <c r="A553" s="51"/>
      <c r="B553" s="51"/>
      <c r="C553" s="6"/>
      <c r="D553" s="49"/>
      <c r="E553" s="51"/>
      <c r="F553" s="6"/>
      <c r="G553" s="6"/>
      <c r="H553" s="6"/>
      <c r="I553" s="6"/>
      <c r="J553" s="6"/>
      <c r="K553" s="51"/>
      <c r="L553" s="51"/>
      <c r="M553" s="51"/>
      <c r="N553" s="51"/>
      <c r="O553" s="51"/>
      <c r="P553" s="51"/>
      <c r="Q553" s="51"/>
      <c r="R553" s="51"/>
      <c r="S553" s="51"/>
      <c r="T553" s="51"/>
      <c r="U553" s="51"/>
      <c r="V553" s="51"/>
      <c r="W553" s="51"/>
      <c r="X553" s="51"/>
      <c r="Y553" s="51"/>
      <c r="Z553" s="51"/>
      <c r="AA553" s="51"/>
      <c r="AB553" s="51"/>
    </row>
    <row r="554" customFormat="false" ht="15.75" hidden="false" customHeight="false" outlineLevel="0" collapsed="false">
      <c r="A554" s="51"/>
      <c r="B554" s="51"/>
      <c r="C554" s="6"/>
      <c r="D554" s="49"/>
      <c r="E554" s="51"/>
      <c r="F554" s="6"/>
      <c r="G554" s="6"/>
      <c r="H554" s="6"/>
      <c r="I554" s="6"/>
      <c r="J554" s="6"/>
      <c r="K554" s="51"/>
      <c r="L554" s="51"/>
      <c r="M554" s="51"/>
      <c r="N554" s="51"/>
      <c r="O554" s="51"/>
      <c r="P554" s="51"/>
      <c r="Q554" s="51"/>
      <c r="R554" s="51"/>
      <c r="S554" s="51"/>
      <c r="T554" s="51"/>
      <c r="U554" s="51"/>
      <c r="V554" s="51"/>
      <c r="W554" s="51"/>
      <c r="X554" s="51"/>
      <c r="Y554" s="51"/>
      <c r="Z554" s="51"/>
      <c r="AA554" s="51"/>
      <c r="AB554" s="51"/>
    </row>
    <row r="555" customFormat="false" ht="15.75" hidden="false" customHeight="false" outlineLevel="0" collapsed="false">
      <c r="A555" s="51"/>
      <c r="B555" s="51"/>
      <c r="C555" s="6"/>
      <c r="D555" s="49"/>
      <c r="E555" s="51"/>
      <c r="F555" s="6"/>
      <c r="G555" s="6"/>
      <c r="H555" s="6"/>
      <c r="I555" s="6"/>
      <c r="J555" s="6"/>
      <c r="K555" s="51"/>
      <c r="L555" s="51"/>
      <c r="M555" s="51"/>
      <c r="N555" s="51"/>
      <c r="O555" s="51"/>
      <c r="P555" s="51"/>
      <c r="Q555" s="51"/>
      <c r="R555" s="51"/>
      <c r="S555" s="51"/>
      <c r="T555" s="51"/>
      <c r="U555" s="51"/>
      <c r="V555" s="51"/>
      <c r="W555" s="51"/>
      <c r="X555" s="51"/>
      <c r="Y555" s="51"/>
      <c r="Z555" s="51"/>
      <c r="AA555" s="51"/>
      <c r="AB555" s="51"/>
    </row>
    <row r="556" customFormat="false" ht="15.75" hidden="false" customHeight="false" outlineLevel="0" collapsed="false">
      <c r="A556" s="51"/>
      <c r="B556" s="51"/>
      <c r="C556" s="6"/>
      <c r="D556" s="49"/>
      <c r="E556" s="51"/>
      <c r="F556" s="6"/>
      <c r="G556" s="6"/>
      <c r="H556" s="6"/>
      <c r="I556" s="6"/>
      <c r="J556" s="6"/>
      <c r="K556" s="51"/>
      <c r="L556" s="51"/>
      <c r="M556" s="51"/>
      <c r="N556" s="51"/>
      <c r="O556" s="51"/>
      <c r="P556" s="51"/>
      <c r="Q556" s="51"/>
      <c r="R556" s="51"/>
      <c r="S556" s="51"/>
      <c r="T556" s="51"/>
      <c r="U556" s="51"/>
      <c r="V556" s="51"/>
      <c r="W556" s="51"/>
      <c r="X556" s="51"/>
      <c r="Y556" s="51"/>
      <c r="Z556" s="51"/>
      <c r="AA556" s="51"/>
      <c r="AB556" s="51"/>
    </row>
    <row r="557" customFormat="false" ht="15.75" hidden="false" customHeight="false" outlineLevel="0" collapsed="false">
      <c r="A557" s="51"/>
      <c r="B557" s="51"/>
      <c r="C557" s="6"/>
      <c r="D557" s="49"/>
      <c r="E557" s="51"/>
      <c r="F557" s="6"/>
      <c r="G557" s="6"/>
      <c r="H557" s="6"/>
      <c r="I557" s="6"/>
      <c r="J557" s="6"/>
      <c r="K557" s="51"/>
      <c r="L557" s="51"/>
      <c r="M557" s="51"/>
      <c r="N557" s="51"/>
      <c r="O557" s="51"/>
      <c r="P557" s="51"/>
      <c r="Q557" s="51"/>
      <c r="R557" s="51"/>
      <c r="S557" s="51"/>
      <c r="T557" s="51"/>
      <c r="U557" s="51"/>
      <c r="V557" s="51"/>
      <c r="W557" s="51"/>
      <c r="X557" s="51"/>
      <c r="Y557" s="51"/>
      <c r="Z557" s="51"/>
      <c r="AA557" s="51"/>
      <c r="AB557" s="51"/>
    </row>
    <row r="558" customFormat="false" ht="15.75" hidden="false" customHeight="false" outlineLevel="0" collapsed="false">
      <c r="A558" s="51"/>
      <c r="B558" s="51"/>
      <c r="C558" s="6"/>
      <c r="D558" s="49"/>
      <c r="E558" s="51"/>
      <c r="F558" s="6"/>
      <c r="G558" s="6"/>
      <c r="H558" s="6"/>
      <c r="I558" s="6"/>
      <c r="J558" s="6"/>
      <c r="K558" s="51"/>
      <c r="L558" s="51"/>
      <c r="M558" s="51"/>
      <c r="N558" s="51"/>
      <c r="O558" s="51"/>
      <c r="P558" s="51"/>
      <c r="Q558" s="51"/>
      <c r="R558" s="51"/>
      <c r="S558" s="51"/>
      <c r="T558" s="51"/>
      <c r="U558" s="51"/>
      <c r="V558" s="51"/>
      <c r="W558" s="51"/>
      <c r="X558" s="51"/>
      <c r="Y558" s="51"/>
      <c r="Z558" s="51"/>
      <c r="AA558" s="51"/>
      <c r="AB558" s="51"/>
    </row>
    <row r="559" customFormat="false" ht="15.75" hidden="false" customHeight="false" outlineLevel="0" collapsed="false">
      <c r="A559" s="51"/>
      <c r="B559" s="51"/>
      <c r="C559" s="6"/>
      <c r="D559" s="49"/>
      <c r="E559" s="51"/>
      <c r="F559" s="6"/>
      <c r="G559" s="6"/>
      <c r="H559" s="6"/>
      <c r="I559" s="6"/>
      <c r="J559" s="6"/>
      <c r="K559" s="51"/>
      <c r="L559" s="51"/>
      <c r="M559" s="51"/>
      <c r="N559" s="51"/>
      <c r="O559" s="51"/>
      <c r="P559" s="51"/>
      <c r="Q559" s="51"/>
      <c r="R559" s="51"/>
      <c r="S559" s="51"/>
      <c r="T559" s="51"/>
      <c r="U559" s="51"/>
      <c r="V559" s="51"/>
      <c r="W559" s="51"/>
      <c r="X559" s="51"/>
      <c r="Y559" s="51"/>
      <c r="Z559" s="51"/>
      <c r="AA559" s="51"/>
      <c r="AB559" s="51"/>
    </row>
    <row r="560" customFormat="false" ht="15.75" hidden="false" customHeight="false" outlineLevel="0" collapsed="false">
      <c r="A560" s="51"/>
      <c r="B560" s="51"/>
      <c r="C560" s="6"/>
      <c r="D560" s="49"/>
      <c r="E560" s="51"/>
      <c r="F560" s="6"/>
      <c r="G560" s="6"/>
      <c r="H560" s="6"/>
      <c r="I560" s="6"/>
      <c r="J560" s="6"/>
      <c r="K560" s="51"/>
      <c r="L560" s="51"/>
      <c r="M560" s="51"/>
      <c r="N560" s="51"/>
      <c r="O560" s="51"/>
      <c r="P560" s="51"/>
      <c r="Q560" s="51"/>
      <c r="R560" s="51"/>
      <c r="S560" s="51"/>
      <c r="T560" s="51"/>
      <c r="U560" s="51"/>
      <c r="V560" s="51"/>
      <c r="W560" s="51"/>
      <c r="X560" s="51"/>
      <c r="Y560" s="51"/>
      <c r="Z560" s="51"/>
      <c r="AA560" s="51"/>
      <c r="AB560" s="51"/>
    </row>
    <row r="561" customFormat="false" ht="15.75" hidden="false" customHeight="false" outlineLevel="0" collapsed="false">
      <c r="A561" s="51"/>
      <c r="B561" s="51"/>
      <c r="C561" s="6"/>
      <c r="D561" s="49"/>
      <c r="E561" s="51"/>
      <c r="F561" s="6"/>
      <c r="G561" s="6"/>
      <c r="H561" s="6"/>
      <c r="I561" s="6"/>
      <c r="J561" s="6"/>
      <c r="K561" s="51"/>
      <c r="L561" s="51"/>
      <c r="M561" s="51"/>
      <c r="N561" s="51"/>
      <c r="O561" s="51"/>
      <c r="P561" s="51"/>
      <c r="Q561" s="51"/>
      <c r="R561" s="51"/>
      <c r="S561" s="51"/>
      <c r="T561" s="51"/>
      <c r="U561" s="51"/>
      <c r="V561" s="51"/>
      <c r="W561" s="51"/>
      <c r="X561" s="51"/>
      <c r="Y561" s="51"/>
      <c r="Z561" s="51"/>
      <c r="AA561" s="51"/>
      <c r="AB561" s="51"/>
    </row>
    <row r="562" customFormat="false" ht="15.75" hidden="false" customHeight="false" outlineLevel="0" collapsed="false">
      <c r="A562" s="51"/>
      <c r="B562" s="51"/>
      <c r="C562" s="6"/>
      <c r="D562" s="49"/>
      <c r="E562" s="51"/>
      <c r="F562" s="6"/>
      <c r="G562" s="6"/>
      <c r="H562" s="6"/>
      <c r="I562" s="6"/>
      <c r="J562" s="6"/>
      <c r="K562" s="51"/>
      <c r="L562" s="51"/>
      <c r="M562" s="51"/>
      <c r="N562" s="51"/>
      <c r="O562" s="51"/>
      <c r="P562" s="51"/>
      <c r="Q562" s="51"/>
      <c r="R562" s="51"/>
      <c r="S562" s="51"/>
      <c r="T562" s="51"/>
      <c r="U562" s="51"/>
      <c r="V562" s="51"/>
      <c r="W562" s="51"/>
      <c r="X562" s="51"/>
      <c r="Y562" s="51"/>
      <c r="Z562" s="51"/>
      <c r="AA562" s="51"/>
      <c r="AB562" s="51"/>
    </row>
    <row r="563" customFormat="false" ht="15.75" hidden="false" customHeight="false" outlineLevel="0" collapsed="false">
      <c r="A563" s="51"/>
      <c r="B563" s="51"/>
      <c r="C563" s="6"/>
      <c r="D563" s="49"/>
      <c r="E563" s="51"/>
      <c r="F563" s="6"/>
      <c r="G563" s="6"/>
      <c r="H563" s="6"/>
      <c r="I563" s="6"/>
      <c r="J563" s="6"/>
      <c r="K563" s="51"/>
      <c r="L563" s="51"/>
      <c r="M563" s="51"/>
      <c r="N563" s="51"/>
      <c r="O563" s="51"/>
      <c r="P563" s="51"/>
      <c r="Q563" s="51"/>
      <c r="R563" s="51"/>
      <c r="S563" s="51"/>
      <c r="T563" s="51"/>
      <c r="U563" s="51"/>
      <c r="V563" s="51"/>
      <c r="W563" s="51"/>
      <c r="X563" s="51"/>
      <c r="Y563" s="51"/>
      <c r="Z563" s="51"/>
      <c r="AA563" s="51"/>
      <c r="AB563" s="51"/>
    </row>
    <row r="564" customFormat="false" ht="15.75" hidden="false" customHeight="false" outlineLevel="0" collapsed="false">
      <c r="A564" s="51"/>
      <c r="B564" s="51"/>
      <c r="C564" s="6"/>
      <c r="D564" s="49"/>
      <c r="E564" s="51"/>
      <c r="F564" s="6"/>
      <c r="G564" s="6"/>
      <c r="H564" s="6"/>
      <c r="I564" s="6"/>
      <c r="J564" s="6"/>
      <c r="K564" s="51"/>
      <c r="L564" s="51"/>
      <c r="M564" s="51"/>
      <c r="N564" s="51"/>
      <c r="O564" s="51"/>
      <c r="P564" s="51"/>
      <c r="Q564" s="51"/>
      <c r="R564" s="51"/>
      <c r="S564" s="51"/>
      <c r="T564" s="51"/>
      <c r="U564" s="51"/>
      <c r="V564" s="51"/>
      <c r="W564" s="51"/>
      <c r="X564" s="51"/>
      <c r="Y564" s="51"/>
      <c r="Z564" s="51"/>
      <c r="AA564" s="51"/>
      <c r="AB564" s="51"/>
    </row>
    <row r="565" customFormat="false" ht="15.75" hidden="false" customHeight="false" outlineLevel="0" collapsed="false">
      <c r="A565" s="51"/>
      <c r="B565" s="51"/>
      <c r="C565" s="6"/>
      <c r="D565" s="49"/>
      <c r="E565" s="51"/>
      <c r="F565" s="6"/>
      <c r="G565" s="6"/>
      <c r="H565" s="6"/>
      <c r="I565" s="6"/>
      <c r="J565" s="6"/>
      <c r="K565" s="51"/>
      <c r="L565" s="51"/>
      <c r="M565" s="51"/>
      <c r="N565" s="51"/>
      <c r="O565" s="51"/>
      <c r="P565" s="51"/>
      <c r="Q565" s="51"/>
      <c r="R565" s="51"/>
      <c r="S565" s="51"/>
      <c r="T565" s="51"/>
      <c r="U565" s="51"/>
      <c r="V565" s="51"/>
      <c r="W565" s="51"/>
      <c r="X565" s="51"/>
      <c r="Y565" s="51"/>
      <c r="Z565" s="51"/>
      <c r="AA565" s="51"/>
      <c r="AB565" s="51"/>
    </row>
    <row r="566" customFormat="false" ht="15.75" hidden="false" customHeight="false" outlineLevel="0" collapsed="false">
      <c r="A566" s="51"/>
      <c r="B566" s="51"/>
      <c r="C566" s="6"/>
      <c r="D566" s="49"/>
      <c r="E566" s="51"/>
      <c r="F566" s="6"/>
      <c r="G566" s="6"/>
      <c r="H566" s="6"/>
      <c r="I566" s="6"/>
      <c r="J566" s="6"/>
      <c r="K566" s="51"/>
      <c r="L566" s="51"/>
      <c r="M566" s="51"/>
      <c r="N566" s="51"/>
      <c r="O566" s="51"/>
      <c r="P566" s="51"/>
      <c r="Q566" s="51"/>
      <c r="R566" s="51"/>
      <c r="S566" s="51"/>
      <c r="T566" s="51"/>
      <c r="U566" s="51"/>
      <c r="V566" s="51"/>
      <c r="W566" s="51"/>
      <c r="X566" s="51"/>
      <c r="Y566" s="51"/>
      <c r="Z566" s="51"/>
      <c r="AA566" s="51"/>
      <c r="AB566" s="51"/>
    </row>
    <row r="567" customFormat="false" ht="15.75" hidden="false" customHeight="false" outlineLevel="0" collapsed="false">
      <c r="A567" s="51"/>
      <c r="B567" s="51"/>
      <c r="C567" s="6"/>
      <c r="D567" s="49"/>
      <c r="E567" s="51"/>
      <c r="F567" s="6"/>
      <c r="G567" s="6"/>
      <c r="H567" s="6"/>
      <c r="I567" s="6"/>
      <c r="J567" s="6"/>
      <c r="K567" s="51"/>
      <c r="L567" s="51"/>
      <c r="M567" s="51"/>
      <c r="N567" s="51"/>
      <c r="O567" s="51"/>
      <c r="P567" s="51"/>
      <c r="Q567" s="51"/>
      <c r="R567" s="51"/>
      <c r="S567" s="51"/>
      <c r="T567" s="51"/>
      <c r="U567" s="51"/>
      <c r="V567" s="51"/>
      <c r="W567" s="51"/>
      <c r="X567" s="51"/>
      <c r="Y567" s="51"/>
      <c r="Z567" s="51"/>
      <c r="AA567" s="51"/>
      <c r="AB567" s="51"/>
    </row>
    <row r="568" customFormat="false" ht="15.75" hidden="false" customHeight="false" outlineLevel="0" collapsed="false">
      <c r="A568" s="51"/>
      <c r="B568" s="51"/>
      <c r="C568" s="6"/>
      <c r="D568" s="49"/>
      <c r="E568" s="51"/>
      <c r="F568" s="6"/>
      <c r="G568" s="6"/>
      <c r="H568" s="6"/>
      <c r="I568" s="6"/>
      <c r="J568" s="6"/>
      <c r="K568" s="51"/>
      <c r="L568" s="51"/>
      <c r="M568" s="51"/>
      <c r="N568" s="51"/>
      <c r="O568" s="51"/>
      <c r="P568" s="51"/>
      <c r="Q568" s="51"/>
      <c r="R568" s="51"/>
      <c r="S568" s="51"/>
      <c r="T568" s="51"/>
      <c r="U568" s="51"/>
      <c r="V568" s="51"/>
      <c r="W568" s="51"/>
      <c r="X568" s="51"/>
      <c r="Y568" s="51"/>
      <c r="Z568" s="51"/>
      <c r="AA568" s="51"/>
      <c r="AB568" s="51"/>
    </row>
    <row r="569" customFormat="false" ht="15.75" hidden="false" customHeight="false" outlineLevel="0" collapsed="false">
      <c r="A569" s="51"/>
      <c r="B569" s="51"/>
      <c r="C569" s="6"/>
      <c r="D569" s="49"/>
      <c r="E569" s="51"/>
      <c r="F569" s="6"/>
      <c r="G569" s="6"/>
      <c r="H569" s="6"/>
      <c r="I569" s="6"/>
      <c r="J569" s="6"/>
      <c r="K569" s="51"/>
      <c r="L569" s="51"/>
      <c r="M569" s="51"/>
      <c r="N569" s="51"/>
      <c r="O569" s="51"/>
      <c r="P569" s="51"/>
      <c r="Q569" s="51"/>
      <c r="R569" s="51"/>
      <c r="S569" s="51"/>
      <c r="T569" s="51"/>
      <c r="U569" s="51"/>
      <c r="V569" s="51"/>
      <c r="W569" s="51"/>
      <c r="X569" s="51"/>
      <c r="Y569" s="51"/>
      <c r="Z569" s="51"/>
      <c r="AA569" s="51"/>
      <c r="AB569" s="51"/>
    </row>
    <row r="570" customFormat="false" ht="15.75" hidden="false" customHeight="false" outlineLevel="0" collapsed="false">
      <c r="A570" s="51"/>
      <c r="B570" s="51"/>
      <c r="C570" s="6"/>
      <c r="D570" s="49"/>
      <c r="E570" s="51"/>
      <c r="F570" s="6"/>
      <c r="G570" s="6"/>
      <c r="H570" s="6"/>
      <c r="I570" s="6"/>
      <c r="J570" s="6"/>
      <c r="K570" s="51"/>
      <c r="L570" s="51"/>
      <c r="M570" s="51"/>
      <c r="N570" s="51"/>
      <c r="O570" s="51"/>
      <c r="P570" s="51"/>
      <c r="Q570" s="51"/>
      <c r="R570" s="51"/>
      <c r="S570" s="51"/>
      <c r="T570" s="51"/>
      <c r="U570" s="51"/>
      <c r="V570" s="51"/>
      <c r="W570" s="51"/>
      <c r="X570" s="51"/>
      <c r="Y570" s="51"/>
      <c r="Z570" s="51"/>
      <c r="AA570" s="51"/>
      <c r="AB570" s="51"/>
    </row>
    <row r="571" customFormat="false" ht="15.75" hidden="false" customHeight="false" outlineLevel="0" collapsed="false">
      <c r="A571" s="51"/>
      <c r="B571" s="51"/>
      <c r="C571" s="6"/>
      <c r="D571" s="49"/>
      <c r="E571" s="51"/>
      <c r="F571" s="6"/>
      <c r="G571" s="6"/>
      <c r="H571" s="6"/>
      <c r="I571" s="6"/>
      <c r="J571" s="6"/>
      <c r="K571" s="51"/>
      <c r="L571" s="51"/>
      <c r="M571" s="51"/>
      <c r="N571" s="51"/>
      <c r="O571" s="51"/>
      <c r="P571" s="51"/>
      <c r="Q571" s="51"/>
      <c r="R571" s="51"/>
      <c r="S571" s="51"/>
      <c r="T571" s="51"/>
      <c r="U571" s="51"/>
      <c r="V571" s="51"/>
      <c r="W571" s="51"/>
      <c r="X571" s="51"/>
      <c r="Y571" s="51"/>
      <c r="Z571" s="51"/>
      <c r="AA571" s="51"/>
      <c r="AB571" s="51"/>
    </row>
    <row r="572" customFormat="false" ht="15.75" hidden="false" customHeight="false" outlineLevel="0" collapsed="false">
      <c r="A572" s="51"/>
      <c r="B572" s="51"/>
      <c r="C572" s="6"/>
      <c r="D572" s="49"/>
      <c r="E572" s="51"/>
      <c r="F572" s="6"/>
      <c r="G572" s="6"/>
      <c r="H572" s="6"/>
      <c r="I572" s="6"/>
      <c r="J572" s="6"/>
      <c r="K572" s="51"/>
      <c r="L572" s="51"/>
      <c r="M572" s="51"/>
      <c r="N572" s="51"/>
      <c r="O572" s="51"/>
      <c r="P572" s="51"/>
      <c r="Q572" s="51"/>
      <c r="R572" s="51"/>
      <c r="S572" s="51"/>
      <c r="T572" s="51"/>
      <c r="U572" s="51"/>
      <c r="V572" s="51"/>
      <c r="W572" s="51"/>
      <c r="X572" s="51"/>
      <c r="Y572" s="51"/>
      <c r="Z572" s="51"/>
      <c r="AA572" s="51"/>
      <c r="AB572" s="51"/>
    </row>
    <row r="573" customFormat="false" ht="15.75" hidden="false" customHeight="false" outlineLevel="0" collapsed="false">
      <c r="A573" s="51"/>
      <c r="B573" s="51"/>
      <c r="C573" s="6"/>
      <c r="D573" s="49"/>
      <c r="E573" s="51"/>
      <c r="F573" s="6"/>
      <c r="G573" s="6"/>
      <c r="H573" s="6"/>
      <c r="I573" s="6"/>
      <c r="J573" s="6"/>
      <c r="K573" s="51"/>
      <c r="L573" s="51"/>
      <c r="M573" s="51"/>
      <c r="N573" s="51"/>
      <c r="O573" s="51"/>
      <c r="P573" s="51"/>
      <c r="Q573" s="51"/>
      <c r="R573" s="51"/>
      <c r="S573" s="51"/>
      <c r="T573" s="51"/>
      <c r="U573" s="51"/>
      <c r="V573" s="51"/>
      <c r="W573" s="51"/>
      <c r="X573" s="51"/>
      <c r="Y573" s="51"/>
      <c r="Z573" s="51"/>
      <c r="AA573" s="51"/>
      <c r="AB573" s="51"/>
    </row>
    <row r="574" customFormat="false" ht="15.75" hidden="false" customHeight="false" outlineLevel="0" collapsed="false">
      <c r="A574" s="51"/>
      <c r="B574" s="51"/>
      <c r="C574" s="6"/>
      <c r="D574" s="49"/>
      <c r="E574" s="51"/>
      <c r="F574" s="6"/>
      <c r="G574" s="6"/>
      <c r="H574" s="6"/>
      <c r="I574" s="6"/>
      <c r="J574" s="6"/>
      <c r="K574" s="51"/>
      <c r="L574" s="51"/>
      <c r="M574" s="51"/>
      <c r="N574" s="51"/>
      <c r="O574" s="51"/>
      <c r="P574" s="51"/>
      <c r="Q574" s="51"/>
      <c r="R574" s="51"/>
      <c r="S574" s="51"/>
      <c r="T574" s="51"/>
      <c r="U574" s="51"/>
      <c r="V574" s="51"/>
      <c r="W574" s="51"/>
      <c r="X574" s="51"/>
      <c r="Y574" s="51"/>
      <c r="Z574" s="51"/>
      <c r="AA574" s="51"/>
      <c r="AB574" s="51"/>
    </row>
    <row r="575" customFormat="false" ht="15.75" hidden="false" customHeight="false" outlineLevel="0" collapsed="false">
      <c r="A575" s="51"/>
      <c r="B575" s="51"/>
      <c r="C575" s="6"/>
      <c r="D575" s="49"/>
      <c r="E575" s="51"/>
      <c r="F575" s="6"/>
      <c r="G575" s="6"/>
      <c r="H575" s="6"/>
      <c r="I575" s="6"/>
      <c r="J575" s="6"/>
      <c r="K575" s="51"/>
      <c r="L575" s="51"/>
      <c r="M575" s="51"/>
      <c r="N575" s="51"/>
      <c r="O575" s="51"/>
      <c r="P575" s="51"/>
      <c r="Q575" s="51"/>
      <c r="R575" s="51"/>
      <c r="S575" s="51"/>
      <c r="T575" s="51"/>
      <c r="U575" s="51"/>
      <c r="V575" s="51"/>
      <c r="W575" s="51"/>
      <c r="X575" s="51"/>
      <c r="Y575" s="51"/>
      <c r="Z575" s="51"/>
      <c r="AA575" s="51"/>
      <c r="AB575" s="51"/>
    </row>
    <row r="576" customFormat="false" ht="15.75" hidden="false" customHeight="false" outlineLevel="0" collapsed="false">
      <c r="A576" s="51"/>
      <c r="B576" s="51"/>
      <c r="C576" s="6"/>
      <c r="D576" s="49"/>
      <c r="E576" s="51"/>
      <c r="F576" s="6"/>
      <c r="G576" s="6"/>
      <c r="H576" s="6"/>
      <c r="I576" s="6"/>
      <c r="J576" s="6"/>
      <c r="K576" s="51"/>
      <c r="L576" s="51"/>
      <c r="M576" s="51"/>
      <c r="N576" s="51"/>
      <c r="O576" s="51"/>
      <c r="P576" s="51"/>
      <c r="Q576" s="51"/>
      <c r="R576" s="51"/>
      <c r="S576" s="51"/>
      <c r="T576" s="51"/>
      <c r="U576" s="51"/>
      <c r="V576" s="51"/>
      <c r="W576" s="51"/>
      <c r="X576" s="51"/>
      <c r="Y576" s="51"/>
      <c r="Z576" s="51"/>
      <c r="AA576" s="51"/>
      <c r="AB576" s="51"/>
    </row>
    <row r="577" customFormat="false" ht="15.75" hidden="false" customHeight="false" outlineLevel="0" collapsed="false">
      <c r="A577" s="51"/>
      <c r="B577" s="51"/>
      <c r="C577" s="6"/>
      <c r="D577" s="49"/>
      <c r="E577" s="51"/>
      <c r="F577" s="6"/>
      <c r="G577" s="6"/>
      <c r="H577" s="6"/>
      <c r="I577" s="6"/>
      <c r="J577" s="6"/>
      <c r="K577" s="51"/>
      <c r="L577" s="51"/>
      <c r="M577" s="51"/>
      <c r="N577" s="51"/>
      <c r="O577" s="51"/>
      <c r="P577" s="51"/>
      <c r="Q577" s="51"/>
      <c r="R577" s="51"/>
      <c r="S577" s="51"/>
      <c r="T577" s="51"/>
      <c r="U577" s="51"/>
      <c r="V577" s="51"/>
      <c r="W577" s="51"/>
      <c r="X577" s="51"/>
      <c r="Y577" s="51"/>
      <c r="Z577" s="51"/>
      <c r="AA577" s="51"/>
      <c r="AB577" s="51"/>
    </row>
    <row r="578" customFormat="false" ht="15.75" hidden="false" customHeight="false" outlineLevel="0" collapsed="false">
      <c r="A578" s="51"/>
      <c r="B578" s="51"/>
      <c r="C578" s="6"/>
      <c r="D578" s="49"/>
      <c r="E578" s="51"/>
      <c r="F578" s="6"/>
      <c r="G578" s="6"/>
      <c r="H578" s="6"/>
      <c r="I578" s="6"/>
      <c r="J578" s="6"/>
      <c r="K578" s="51"/>
      <c r="L578" s="51"/>
      <c r="M578" s="51"/>
      <c r="N578" s="51"/>
      <c r="O578" s="51"/>
      <c r="P578" s="51"/>
      <c r="Q578" s="51"/>
      <c r="R578" s="51"/>
      <c r="S578" s="51"/>
      <c r="T578" s="51"/>
      <c r="U578" s="51"/>
      <c r="V578" s="51"/>
      <c r="W578" s="51"/>
      <c r="X578" s="51"/>
      <c r="Y578" s="51"/>
      <c r="Z578" s="51"/>
      <c r="AA578" s="51"/>
      <c r="AB578" s="51"/>
    </row>
    <row r="579" customFormat="false" ht="15.75" hidden="false" customHeight="false" outlineLevel="0" collapsed="false">
      <c r="A579" s="51"/>
      <c r="B579" s="51"/>
      <c r="C579" s="6"/>
      <c r="D579" s="49"/>
      <c r="E579" s="51"/>
      <c r="F579" s="6"/>
      <c r="G579" s="6"/>
      <c r="H579" s="6"/>
      <c r="I579" s="6"/>
      <c r="J579" s="6"/>
      <c r="K579" s="51"/>
      <c r="L579" s="51"/>
      <c r="M579" s="51"/>
      <c r="N579" s="51"/>
      <c r="O579" s="51"/>
      <c r="P579" s="51"/>
      <c r="Q579" s="51"/>
      <c r="R579" s="51"/>
      <c r="S579" s="51"/>
      <c r="T579" s="51"/>
      <c r="U579" s="51"/>
      <c r="V579" s="51"/>
      <c r="W579" s="51"/>
      <c r="X579" s="51"/>
      <c r="Y579" s="51"/>
      <c r="Z579" s="51"/>
      <c r="AA579" s="51"/>
      <c r="AB579" s="51"/>
    </row>
    <row r="580" customFormat="false" ht="15.75" hidden="false" customHeight="false" outlineLevel="0" collapsed="false">
      <c r="A580" s="51"/>
      <c r="B580" s="51"/>
      <c r="C580" s="6"/>
      <c r="D580" s="49"/>
      <c r="E580" s="51"/>
      <c r="F580" s="6"/>
      <c r="G580" s="6"/>
      <c r="H580" s="6"/>
      <c r="I580" s="6"/>
      <c r="J580" s="6"/>
      <c r="K580" s="51"/>
      <c r="L580" s="51"/>
      <c r="M580" s="51"/>
      <c r="N580" s="51"/>
      <c r="O580" s="51"/>
      <c r="P580" s="51"/>
      <c r="Q580" s="51"/>
      <c r="R580" s="51"/>
      <c r="S580" s="51"/>
      <c r="T580" s="51"/>
      <c r="U580" s="51"/>
      <c r="V580" s="51"/>
      <c r="W580" s="51"/>
      <c r="X580" s="51"/>
      <c r="Y580" s="51"/>
      <c r="Z580" s="51"/>
      <c r="AA580" s="51"/>
      <c r="AB580" s="51"/>
    </row>
    <row r="581" customFormat="false" ht="15.75" hidden="false" customHeight="false" outlineLevel="0" collapsed="false">
      <c r="A581" s="51"/>
      <c r="B581" s="51"/>
      <c r="C581" s="6"/>
      <c r="D581" s="49"/>
      <c r="E581" s="51"/>
      <c r="F581" s="6"/>
      <c r="G581" s="6"/>
      <c r="H581" s="6"/>
      <c r="I581" s="6"/>
      <c r="J581" s="6"/>
      <c r="K581" s="51"/>
      <c r="L581" s="51"/>
      <c r="M581" s="51"/>
      <c r="N581" s="51"/>
      <c r="O581" s="51"/>
      <c r="P581" s="51"/>
      <c r="Q581" s="51"/>
      <c r="R581" s="51"/>
      <c r="S581" s="51"/>
      <c r="T581" s="51"/>
      <c r="U581" s="51"/>
      <c r="V581" s="51"/>
      <c r="W581" s="51"/>
      <c r="X581" s="51"/>
      <c r="Y581" s="51"/>
      <c r="Z581" s="51"/>
      <c r="AA581" s="51"/>
      <c r="AB581" s="51"/>
    </row>
    <row r="582" customFormat="false" ht="15.75" hidden="false" customHeight="false" outlineLevel="0" collapsed="false">
      <c r="A582" s="51"/>
      <c r="B582" s="51"/>
      <c r="C582" s="6"/>
      <c r="D582" s="49"/>
      <c r="E582" s="51"/>
      <c r="F582" s="6"/>
      <c r="G582" s="6"/>
      <c r="H582" s="6"/>
      <c r="I582" s="6"/>
      <c r="J582" s="6"/>
      <c r="K582" s="51"/>
      <c r="L582" s="51"/>
      <c r="M582" s="51"/>
      <c r="N582" s="51"/>
      <c r="O582" s="51"/>
      <c r="P582" s="51"/>
      <c r="Q582" s="51"/>
      <c r="R582" s="51"/>
      <c r="S582" s="51"/>
      <c r="T582" s="51"/>
      <c r="U582" s="51"/>
      <c r="V582" s="51"/>
      <c r="W582" s="51"/>
      <c r="X582" s="51"/>
      <c r="Y582" s="51"/>
      <c r="Z582" s="51"/>
      <c r="AA582" s="51"/>
      <c r="AB582" s="51"/>
    </row>
    <row r="583" customFormat="false" ht="15.75" hidden="false" customHeight="false" outlineLevel="0" collapsed="false">
      <c r="A583" s="51"/>
      <c r="B583" s="51"/>
      <c r="C583" s="6"/>
      <c r="D583" s="49"/>
      <c r="E583" s="51"/>
      <c r="F583" s="6"/>
      <c r="G583" s="6"/>
      <c r="H583" s="6"/>
      <c r="I583" s="6"/>
      <c r="J583" s="6"/>
      <c r="K583" s="51"/>
      <c r="L583" s="51"/>
      <c r="M583" s="51"/>
      <c r="N583" s="51"/>
      <c r="O583" s="51"/>
      <c r="P583" s="51"/>
      <c r="Q583" s="51"/>
      <c r="R583" s="51"/>
      <c r="S583" s="51"/>
      <c r="T583" s="51"/>
      <c r="U583" s="51"/>
      <c r="V583" s="51"/>
      <c r="W583" s="51"/>
      <c r="X583" s="51"/>
      <c r="Y583" s="51"/>
      <c r="Z583" s="51"/>
      <c r="AA583" s="51"/>
      <c r="AB583" s="51"/>
    </row>
    <row r="584" customFormat="false" ht="15.75" hidden="false" customHeight="false" outlineLevel="0" collapsed="false">
      <c r="A584" s="51"/>
      <c r="B584" s="51"/>
      <c r="C584" s="6"/>
      <c r="D584" s="49"/>
      <c r="E584" s="51"/>
      <c r="F584" s="6"/>
      <c r="G584" s="6"/>
      <c r="H584" s="6"/>
      <c r="I584" s="6"/>
      <c r="J584" s="6"/>
      <c r="K584" s="51"/>
      <c r="L584" s="51"/>
      <c r="M584" s="51"/>
      <c r="N584" s="51"/>
      <c r="O584" s="51"/>
      <c r="P584" s="51"/>
      <c r="Q584" s="51"/>
      <c r="R584" s="51"/>
      <c r="S584" s="51"/>
      <c r="T584" s="51"/>
      <c r="U584" s="51"/>
      <c r="V584" s="51"/>
      <c r="W584" s="51"/>
      <c r="X584" s="51"/>
      <c r="Y584" s="51"/>
      <c r="Z584" s="51"/>
      <c r="AA584" s="51"/>
      <c r="AB584" s="51"/>
    </row>
    <row r="585" customFormat="false" ht="15.75" hidden="false" customHeight="false" outlineLevel="0" collapsed="false">
      <c r="A585" s="51"/>
      <c r="B585" s="51"/>
      <c r="C585" s="6"/>
      <c r="D585" s="49"/>
      <c r="E585" s="51"/>
      <c r="F585" s="6"/>
      <c r="G585" s="6"/>
      <c r="H585" s="6"/>
      <c r="I585" s="6"/>
      <c r="J585" s="6"/>
      <c r="K585" s="51"/>
      <c r="L585" s="51"/>
      <c r="M585" s="51"/>
      <c r="N585" s="51"/>
      <c r="O585" s="51"/>
      <c r="P585" s="51"/>
      <c r="Q585" s="51"/>
      <c r="R585" s="51"/>
      <c r="S585" s="51"/>
      <c r="T585" s="51"/>
      <c r="U585" s="51"/>
      <c r="V585" s="51"/>
      <c r="W585" s="51"/>
      <c r="X585" s="51"/>
      <c r="Y585" s="51"/>
      <c r="Z585" s="51"/>
      <c r="AA585" s="51"/>
      <c r="AB585" s="51"/>
    </row>
    <row r="586" customFormat="false" ht="15.75" hidden="false" customHeight="false" outlineLevel="0" collapsed="false">
      <c r="A586" s="51"/>
      <c r="B586" s="51"/>
      <c r="C586" s="6"/>
      <c r="D586" s="49"/>
      <c r="E586" s="51"/>
      <c r="F586" s="6"/>
      <c r="G586" s="6"/>
      <c r="H586" s="6"/>
      <c r="I586" s="6"/>
      <c r="J586" s="6"/>
      <c r="K586" s="51"/>
      <c r="L586" s="51"/>
      <c r="M586" s="51"/>
      <c r="N586" s="51"/>
      <c r="O586" s="51"/>
      <c r="P586" s="51"/>
      <c r="Q586" s="51"/>
      <c r="R586" s="51"/>
      <c r="S586" s="51"/>
      <c r="T586" s="51"/>
      <c r="U586" s="51"/>
      <c r="V586" s="51"/>
      <c r="W586" s="51"/>
      <c r="X586" s="51"/>
      <c r="Y586" s="51"/>
      <c r="Z586" s="51"/>
      <c r="AA586" s="51"/>
      <c r="AB586" s="51"/>
    </row>
    <row r="587" customFormat="false" ht="15.75" hidden="false" customHeight="false" outlineLevel="0" collapsed="false">
      <c r="A587" s="51"/>
      <c r="B587" s="51"/>
      <c r="C587" s="6"/>
      <c r="D587" s="49"/>
      <c r="E587" s="51"/>
      <c r="F587" s="6"/>
      <c r="G587" s="6"/>
      <c r="H587" s="6"/>
      <c r="I587" s="6"/>
      <c r="J587" s="6"/>
      <c r="K587" s="51"/>
      <c r="L587" s="51"/>
      <c r="M587" s="51"/>
      <c r="N587" s="51"/>
      <c r="O587" s="51"/>
      <c r="P587" s="51"/>
      <c r="Q587" s="51"/>
      <c r="R587" s="51"/>
      <c r="S587" s="51"/>
      <c r="T587" s="51"/>
      <c r="U587" s="51"/>
      <c r="V587" s="51"/>
      <c r="W587" s="51"/>
      <c r="X587" s="51"/>
      <c r="Y587" s="51"/>
      <c r="Z587" s="51"/>
      <c r="AA587" s="51"/>
      <c r="AB587" s="51"/>
    </row>
    <row r="588" customFormat="false" ht="15.75" hidden="false" customHeight="false" outlineLevel="0" collapsed="false">
      <c r="A588" s="51"/>
      <c r="B588" s="51"/>
      <c r="C588" s="6"/>
      <c r="D588" s="49"/>
      <c r="E588" s="51"/>
      <c r="F588" s="6"/>
      <c r="G588" s="6"/>
      <c r="H588" s="6"/>
      <c r="I588" s="6"/>
      <c r="J588" s="6"/>
      <c r="K588" s="51"/>
      <c r="L588" s="51"/>
      <c r="M588" s="51"/>
      <c r="N588" s="51"/>
      <c r="O588" s="51"/>
      <c r="P588" s="51"/>
      <c r="Q588" s="51"/>
      <c r="R588" s="51"/>
      <c r="S588" s="51"/>
      <c r="T588" s="51"/>
      <c r="U588" s="51"/>
      <c r="V588" s="51"/>
      <c r="W588" s="51"/>
      <c r="X588" s="51"/>
      <c r="Y588" s="51"/>
      <c r="Z588" s="51"/>
      <c r="AA588" s="51"/>
      <c r="AB588" s="51"/>
    </row>
    <row r="589" customFormat="false" ht="15.75" hidden="false" customHeight="false" outlineLevel="0" collapsed="false">
      <c r="A589" s="51"/>
      <c r="B589" s="51"/>
      <c r="C589" s="6"/>
      <c r="D589" s="49"/>
      <c r="E589" s="51"/>
      <c r="F589" s="6"/>
      <c r="G589" s="6"/>
      <c r="H589" s="6"/>
      <c r="I589" s="6"/>
      <c r="J589" s="6"/>
      <c r="K589" s="51"/>
      <c r="L589" s="51"/>
      <c r="M589" s="51"/>
      <c r="N589" s="51"/>
      <c r="O589" s="51"/>
      <c r="P589" s="51"/>
      <c r="Q589" s="51"/>
      <c r="R589" s="51"/>
      <c r="S589" s="51"/>
      <c r="T589" s="51"/>
      <c r="U589" s="51"/>
      <c r="V589" s="51"/>
      <c r="W589" s="51"/>
      <c r="X589" s="51"/>
      <c r="Y589" s="51"/>
      <c r="Z589" s="51"/>
      <c r="AA589" s="51"/>
      <c r="AB589" s="51"/>
    </row>
    <row r="590" customFormat="false" ht="15.75" hidden="false" customHeight="false" outlineLevel="0" collapsed="false">
      <c r="A590" s="51"/>
      <c r="B590" s="51"/>
      <c r="C590" s="6"/>
      <c r="D590" s="49"/>
      <c r="E590" s="51"/>
      <c r="F590" s="6"/>
      <c r="G590" s="6"/>
      <c r="H590" s="6"/>
      <c r="I590" s="6"/>
      <c r="J590" s="6"/>
      <c r="K590" s="51"/>
      <c r="L590" s="51"/>
      <c r="M590" s="51"/>
      <c r="N590" s="51"/>
      <c r="O590" s="51"/>
      <c r="P590" s="51"/>
      <c r="Q590" s="51"/>
      <c r="R590" s="51"/>
      <c r="S590" s="51"/>
      <c r="T590" s="51"/>
      <c r="U590" s="51"/>
      <c r="V590" s="51"/>
      <c r="W590" s="51"/>
      <c r="X590" s="51"/>
      <c r="Y590" s="51"/>
      <c r="Z590" s="51"/>
      <c r="AA590" s="51"/>
      <c r="AB590" s="51"/>
    </row>
    <row r="591" customFormat="false" ht="15.75" hidden="false" customHeight="false" outlineLevel="0" collapsed="false">
      <c r="A591" s="51"/>
      <c r="B591" s="51"/>
      <c r="C591" s="6"/>
      <c r="D591" s="49"/>
      <c r="E591" s="51"/>
      <c r="F591" s="6"/>
      <c r="G591" s="6"/>
      <c r="H591" s="6"/>
      <c r="I591" s="6"/>
      <c r="J591" s="6"/>
      <c r="K591" s="51"/>
      <c r="L591" s="51"/>
      <c r="M591" s="51"/>
      <c r="N591" s="51"/>
      <c r="O591" s="51"/>
      <c r="P591" s="51"/>
      <c r="Q591" s="51"/>
      <c r="R591" s="51"/>
      <c r="S591" s="51"/>
      <c r="T591" s="51"/>
      <c r="U591" s="51"/>
      <c r="V591" s="51"/>
      <c r="W591" s="51"/>
      <c r="X591" s="51"/>
      <c r="Y591" s="51"/>
      <c r="Z591" s="51"/>
      <c r="AA591" s="51"/>
      <c r="AB591" s="51"/>
    </row>
    <row r="592" customFormat="false" ht="15.75" hidden="false" customHeight="false" outlineLevel="0" collapsed="false">
      <c r="A592" s="51"/>
      <c r="B592" s="51"/>
      <c r="C592" s="6"/>
      <c r="D592" s="49"/>
      <c r="E592" s="51"/>
      <c r="F592" s="6"/>
      <c r="G592" s="6"/>
      <c r="H592" s="6"/>
      <c r="I592" s="6"/>
      <c r="J592" s="6"/>
      <c r="K592" s="51"/>
      <c r="L592" s="51"/>
      <c r="M592" s="51"/>
      <c r="N592" s="51"/>
      <c r="O592" s="51"/>
      <c r="P592" s="51"/>
      <c r="Q592" s="51"/>
      <c r="R592" s="51"/>
      <c r="S592" s="51"/>
      <c r="T592" s="51"/>
      <c r="U592" s="51"/>
      <c r="V592" s="51"/>
      <c r="W592" s="51"/>
      <c r="X592" s="51"/>
      <c r="Y592" s="51"/>
      <c r="Z592" s="51"/>
      <c r="AA592" s="51"/>
      <c r="AB592" s="51"/>
    </row>
    <row r="593" customFormat="false" ht="15.75" hidden="false" customHeight="false" outlineLevel="0" collapsed="false">
      <c r="A593" s="51"/>
      <c r="B593" s="51"/>
      <c r="C593" s="6"/>
      <c r="D593" s="49"/>
      <c r="E593" s="51"/>
      <c r="F593" s="6"/>
      <c r="G593" s="6"/>
      <c r="H593" s="6"/>
      <c r="I593" s="6"/>
      <c r="J593" s="6"/>
      <c r="K593" s="51"/>
      <c r="L593" s="51"/>
      <c r="M593" s="51"/>
      <c r="N593" s="51"/>
      <c r="O593" s="51"/>
      <c r="P593" s="51"/>
      <c r="Q593" s="51"/>
      <c r="R593" s="51"/>
      <c r="S593" s="51"/>
      <c r="T593" s="51"/>
      <c r="U593" s="51"/>
      <c r="V593" s="51"/>
      <c r="W593" s="51"/>
      <c r="X593" s="51"/>
      <c r="Y593" s="51"/>
      <c r="Z593" s="51"/>
      <c r="AA593" s="51"/>
      <c r="AB593" s="51"/>
    </row>
    <row r="594" customFormat="false" ht="15.75" hidden="false" customHeight="false" outlineLevel="0" collapsed="false">
      <c r="A594" s="51"/>
      <c r="B594" s="51"/>
      <c r="C594" s="6"/>
      <c r="D594" s="49"/>
      <c r="E594" s="51"/>
      <c r="F594" s="6"/>
      <c r="G594" s="6"/>
      <c r="H594" s="6"/>
      <c r="I594" s="6"/>
      <c r="J594" s="6"/>
      <c r="K594" s="51"/>
      <c r="L594" s="51"/>
      <c r="M594" s="51"/>
      <c r="N594" s="51"/>
      <c r="O594" s="51"/>
      <c r="P594" s="51"/>
      <c r="Q594" s="51"/>
      <c r="R594" s="51"/>
      <c r="S594" s="51"/>
      <c r="T594" s="51"/>
      <c r="U594" s="51"/>
      <c r="V594" s="51"/>
      <c r="W594" s="51"/>
      <c r="X594" s="51"/>
      <c r="Y594" s="51"/>
      <c r="Z594" s="51"/>
      <c r="AA594" s="51"/>
      <c r="AB594" s="51"/>
    </row>
    <row r="595" customFormat="false" ht="15.75" hidden="false" customHeight="false" outlineLevel="0" collapsed="false">
      <c r="A595" s="51"/>
      <c r="B595" s="51"/>
      <c r="C595" s="6"/>
      <c r="D595" s="49"/>
      <c r="E595" s="51"/>
      <c r="F595" s="6"/>
      <c r="G595" s="6"/>
      <c r="H595" s="6"/>
      <c r="I595" s="6"/>
      <c r="J595" s="6"/>
      <c r="K595" s="51"/>
      <c r="L595" s="51"/>
      <c r="M595" s="51"/>
      <c r="N595" s="51"/>
      <c r="O595" s="51"/>
      <c r="P595" s="51"/>
      <c r="Q595" s="51"/>
      <c r="R595" s="51"/>
      <c r="S595" s="51"/>
      <c r="T595" s="51"/>
      <c r="U595" s="51"/>
      <c r="V595" s="51"/>
      <c r="W595" s="51"/>
      <c r="X595" s="51"/>
      <c r="Y595" s="51"/>
      <c r="Z595" s="51"/>
      <c r="AA595" s="51"/>
      <c r="AB595" s="51"/>
    </row>
    <row r="596" customFormat="false" ht="15.75" hidden="false" customHeight="false" outlineLevel="0" collapsed="false">
      <c r="A596" s="51"/>
      <c r="B596" s="51"/>
      <c r="C596" s="6"/>
      <c r="D596" s="49"/>
      <c r="E596" s="51"/>
      <c r="F596" s="6"/>
      <c r="G596" s="6"/>
      <c r="H596" s="6"/>
      <c r="I596" s="6"/>
      <c r="J596" s="6"/>
      <c r="K596" s="51"/>
      <c r="L596" s="51"/>
      <c r="M596" s="51"/>
      <c r="N596" s="51"/>
      <c r="O596" s="51"/>
      <c r="P596" s="51"/>
      <c r="Q596" s="51"/>
      <c r="R596" s="51"/>
      <c r="S596" s="51"/>
      <c r="T596" s="51"/>
      <c r="U596" s="51"/>
      <c r="V596" s="51"/>
      <c r="W596" s="51"/>
      <c r="X596" s="51"/>
      <c r="Y596" s="51"/>
      <c r="Z596" s="51"/>
      <c r="AA596" s="51"/>
      <c r="AB596" s="51"/>
    </row>
    <row r="597" customFormat="false" ht="15.75" hidden="false" customHeight="false" outlineLevel="0" collapsed="false">
      <c r="A597" s="51"/>
      <c r="B597" s="51"/>
      <c r="C597" s="6"/>
      <c r="D597" s="49"/>
      <c r="E597" s="51"/>
      <c r="F597" s="6"/>
      <c r="G597" s="6"/>
      <c r="H597" s="6"/>
      <c r="I597" s="6"/>
      <c r="J597" s="6"/>
      <c r="K597" s="51"/>
      <c r="L597" s="51"/>
      <c r="M597" s="51"/>
      <c r="N597" s="51"/>
      <c r="O597" s="51"/>
      <c r="P597" s="51"/>
      <c r="Q597" s="51"/>
      <c r="R597" s="51"/>
      <c r="S597" s="51"/>
      <c r="T597" s="51"/>
      <c r="U597" s="51"/>
      <c r="V597" s="51"/>
      <c r="W597" s="51"/>
      <c r="X597" s="51"/>
      <c r="Y597" s="51"/>
      <c r="Z597" s="51"/>
      <c r="AA597" s="51"/>
      <c r="AB597" s="51"/>
    </row>
    <row r="598" customFormat="false" ht="15.75" hidden="false" customHeight="false" outlineLevel="0" collapsed="false">
      <c r="A598" s="51"/>
      <c r="B598" s="51"/>
      <c r="C598" s="6"/>
      <c r="D598" s="49"/>
      <c r="E598" s="51"/>
      <c r="F598" s="6"/>
      <c r="G598" s="6"/>
      <c r="H598" s="6"/>
      <c r="I598" s="6"/>
      <c r="J598" s="6"/>
      <c r="K598" s="51"/>
      <c r="L598" s="51"/>
      <c r="M598" s="51"/>
      <c r="N598" s="51"/>
      <c r="O598" s="51"/>
      <c r="P598" s="51"/>
      <c r="Q598" s="51"/>
      <c r="R598" s="51"/>
      <c r="S598" s="51"/>
      <c r="T598" s="51"/>
      <c r="U598" s="51"/>
      <c r="V598" s="51"/>
      <c r="W598" s="51"/>
      <c r="X598" s="51"/>
      <c r="Y598" s="51"/>
      <c r="Z598" s="51"/>
      <c r="AA598" s="51"/>
      <c r="AB598" s="51"/>
    </row>
    <row r="599" customFormat="false" ht="15.75" hidden="false" customHeight="false" outlineLevel="0" collapsed="false">
      <c r="A599" s="51"/>
      <c r="B599" s="51"/>
      <c r="C599" s="6"/>
      <c r="D599" s="49"/>
      <c r="E599" s="51"/>
      <c r="F599" s="6"/>
      <c r="G599" s="6"/>
      <c r="H599" s="6"/>
      <c r="I599" s="6"/>
      <c r="J599" s="6"/>
      <c r="K599" s="51"/>
      <c r="L599" s="51"/>
      <c r="M599" s="51"/>
      <c r="N599" s="51"/>
      <c r="O599" s="51"/>
      <c r="P599" s="51"/>
      <c r="Q599" s="51"/>
      <c r="R599" s="51"/>
      <c r="S599" s="51"/>
      <c r="T599" s="51"/>
      <c r="U599" s="51"/>
      <c r="V599" s="51"/>
      <c r="W599" s="51"/>
      <c r="X599" s="51"/>
      <c r="Y599" s="51"/>
      <c r="Z599" s="51"/>
      <c r="AA599" s="51"/>
      <c r="AB599" s="51"/>
    </row>
    <row r="600" customFormat="false" ht="15.75" hidden="false" customHeight="false" outlineLevel="0" collapsed="false">
      <c r="A600" s="51"/>
      <c r="B600" s="51"/>
      <c r="C600" s="6"/>
      <c r="D600" s="49"/>
      <c r="E600" s="51"/>
      <c r="F600" s="6"/>
      <c r="G600" s="6"/>
      <c r="H600" s="6"/>
      <c r="I600" s="6"/>
      <c r="J600" s="6"/>
      <c r="K600" s="51"/>
      <c r="L600" s="51"/>
      <c r="M600" s="51"/>
      <c r="N600" s="51"/>
      <c r="O600" s="51"/>
      <c r="P600" s="51"/>
      <c r="Q600" s="51"/>
      <c r="R600" s="51"/>
      <c r="S600" s="51"/>
      <c r="T600" s="51"/>
      <c r="U600" s="51"/>
      <c r="V600" s="51"/>
      <c r="W600" s="51"/>
      <c r="X600" s="51"/>
      <c r="Y600" s="51"/>
      <c r="Z600" s="51"/>
      <c r="AA600" s="51"/>
      <c r="AB600" s="51"/>
    </row>
    <row r="601" customFormat="false" ht="15.75" hidden="false" customHeight="false" outlineLevel="0" collapsed="false">
      <c r="A601" s="51"/>
      <c r="B601" s="51"/>
      <c r="C601" s="6"/>
      <c r="D601" s="49"/>
      <c r="E601" s="51"/>
      <c r="F601" s="6"/>
      <c r="G601" s="6"/>
      <c r="H601" s="6"/>
      <c r="I601" s="6"/>
      <c r="J601" s="6"/>
      <c r="K601" s="51"/>
      <c r="L601" s="51"/>
      <c r="M601" s="51"/>
      <c r="N601" s="51"/>
      <c r="O601" s="51"/>
      <c r="P601" s="51"/>
      <c r="Q601" s="51"/>
      <c r="R601" s="51"/>
      <c r="S601" s="51"/>
      <c r="T601" s="51"/>
      <c r="U601" s="51"/>
      <c r="V601" s="51"/>
      <c r="W601" s="51"/>
      <c r="X601" s="51"/>
      <c r="Y601" s="51"/>
      <c r="Z601" s="51"/>
      <c r="AA601" s="51"/>
      <c r="AB601" s="51"/>
    </row>
    <row r="602" customFormat="false" ht="15.75" hidden="false" customHeight="false" outlineLevel="0" collapsed="false">
      <c r="A602" s="51"/>
      <c r="B602" s="51"/>
      <c r="C602" s="6"/>
      <c r="D602" s="49"/>
      <c r="E602" s="51"/>
      <c r="F602" s="6"/>
      <c r="G602" s="6"/>
      <c r="H602" s="6"/>
      <c r="I602" s="6"/>
      <c r="J602" s="6"/>
      <c r="K602" s="51"/>
      <c r="L602" s="51"/>
      <c r="M602" s="51"/>
      <c r="N602" s="51"/>
      <c r="O602" s="51"/>
      <c r="P602" s="51"/>
      <c r="Q602" s="51"/>
      <c r="R602" s="51"/>
      <c r="S602" s="51"/>
      <c r="T602" s="51"/>
      <c r="U602" s="51"/>
      <c r="V602" s="51"/>
      <c r="W602" s="51"/>
      <c r="X602" s="51"/>
      <c r="Y602" s="51"/>
      <c r="Z602" s="51"/>
      <c r="AA602" s="51"/>
      <c r="AB602" s="51"/>
    </row>
    <row r="603" customFormat="false" ht="15.75" hidden="false" customHeight="false" outlineLevel="0" collapsed="false">
      <c r="A603" s="51"/>
      <c r="B603" s="51"/>
      <c r="C603" s="6"/>
      <c r="D603" s="49"/>
      <c r="E603" s="51"/>
      <c r="F603" s="6"/>
      <c r="G603" s="6"/>
      <c r="H603" s="6"/>
      <c r="I603" s="6"/>
      <c r="J603" s="6"/>
      <c r="K603" s="51"/>
      <c r="L603" s="51"/>
      <c r="M603" s="51"/>
      <c r="N603" s="51"/>
      <c r="O603" s="51"/>
      <c r="P603" s="51"/>
      <c r="Q603" s="51"/>
      <c r="R603" s="51"/>
      <c r="S603" s="51"/>
      <c r="T603" s="51"/>
      <c r="U603" s="51"/>
      <c r="V603" s="51"/>
      <c r="W603" s="51"/>
      <c r="X603" s="51"/>
      <c r="Y603" s="51"/>
      <c r="Z603" s="51"/>
      <c r="AA603" s="51"/>
      <c r="AB603" s="51"/>
    </row>
    <row r="604" customFormat="false" ht="15.75" hidden="false" customHeight="false" outlineLevel="0" collapsed="false">
      <c r="A604" s="51"/>
      <c r="B604" s="51"/>
      <c r="C604" s="6"/>
      <c r="D604" s="49"/>
      <c r="E604" s="51"/>
      <c r="F604" s="6"/>
      <c r="G604" s="6"/>
      <c r="H604" s="6"/>
      <c r="I604" s="6"/>
      <c r="J604" s="6"/>
      <c r="K604" s="51"/>
      <c r="L604" s="51"/>
      <c r="M604" s="51"/>
      <c r="N604" s="51"/>
      <c r="O604" s="51"/>
      <c r="P604" s="51"/>
      <c r="Q604" s="51"/>
      <c r="R604" s="51"/>
      <c r="S604" s="51"/>
      <c r="T604" s="51"/>
      <c r="U604" s="51"/>
      <c r="V604" s="51"/>
      <c r="W604" s="51"/>
      <c r="X604" s="51"/>
      <c r="Y604" s="51"/>
      <c r="Z604" s="51"/>
      <c r="AA604" s="51"/>
      <c r="AB604" s="51"/>
    </row>
    <row r="605" customFormat="false" ht="15.75" hidden="false" customHeight="false" outlineLevel="0" collapsed="false">
      <c r="A605" s="51"/>
      <c r="B605" s="51"/>
      <c r="C605" s="6"/>
      <c r="D605" s="49"/>
      <c r="E605" s="51"/>
      <c r="F605" s="6"/>
      <c r="G605" s="6"/>
      <c r="H605" s="6"/>
      <c r="I605" s="6"/>
      <c r="J605" s="6"/>
      <c r="K605" s="51"/>
      <c r="L605" s="51"/>
      <c r="M605" s="51"/>
      <c r="N605" s="51"/>
      <c r="O605" s="51"/>
      <c r="P605" s="51"/>
      <c r="Q605" s="51"/>
      <c r="R605" s="51"/>
      <c r="S605" s="51"/>
      <c r="T605" s="51"/>
      <c r="U605" s="51"/>
      <c r="V605" s="51"/>
      <c r="W605" s="51"/>
      <c r="X605" s="51"/>
      <c r="Y605" s="51"/>
      <c r="Z605" s="51"/>
      <c r="AA605" s="51"/>
      <c r="AB605" s="51"/>
    </row>
    <row r="606" customFormat="false" ht="15.75" hidden="false" customHeight="false" outlineLevel="0" collapsed="false">
      <c r="A606" s="51"/>
      <c r="B606" s="51"/>
      <c r="C606" s="6"/>
      <c r="D606" s="49"/>
      <c r="E606" s="51"/>
      <c r="F606" s="6"/>
      <c r="G606" s="6"/>
      <c r="H606" s="6"/>
      <c r="I606" s="6"/>
      <c r="J606" s="6"/>
      <c r="K606" s="51"/>
      <c r="L606" s="51"/>
      <c r="M606" s="51"/>
      <c r="N606" s="51"/>
      <c r="O606" s="51"/>
      <c r="P606" s="51"/>
      <c r="Q606" s="51"/>
      <c r="R606" s="51"/>
      <c r="S606" s="51"/>
      <c r="T606" s="51"/>
      <c r="U606" s="51"/>
      <c r="V606" s="51"/>
      <c r="W606" s="51"/>
      <c r="X606" s="51"/>
      <c r="Y606" s="51"/>
      <c r="Z606" s="51"/>
      <c r="AA606" s="51"/>
      <c r="AB606" s="51"/>
    </row>
    <row r="607" customFormat="false" ht="15.75" hidden="false" customHeight="false" outlineLevel="0" collapsed="false">
      <c r="A607" s="51"/>
      <c r="B607" s="51"/>
      <c r="C607" s="6"/>
      <c r="D607" s="49"/>
      <c r="E607" s="51"/>
      <c r="F607" s="6"/>
      <c r="G607" s="6"/>
      <c r="H607" s="6"/>
      <c r="I607" s="6"/>
      <c r="J607" s="6"/>
      <c r="K607" s="51"/>
      <c r="L607" s="51"/>
      <c r="M607" s="51"/>
      <c r="N607" s="51"/>
      <c r="O607" s="51"/>
      <c r="P607" s="51"/>
      <c r="Q607" s="51"/>
      <c r="R607" s="51"/>
      <c r="S607" s="51"/>
      <c r="T607" s="51"/>
      <c r="U607" s="51"/>
      <c r="V607" s="51"/>
      <c r="W607" s="51"/>
      <c r="X607" s="51"/>
      <c r="Y607" s="51"/>
      <c r="Z607" s="51"/>
      <c r="AA607" s="51"/>
      <c r="AB607" s="51"/>
    </row>
    <row r="608" customFormat="false" ht="15.75" hidden="false" customHeight="false" outlineLevel="0" collapsed="false">
      <c r="A608" s="51"/>
      <c r="B608" s="51"/>
      <c r="C608" s="6"/>
      <c r="D608" s="49"/>
      <c r="E608" s="51"/>
      <c r="F608" s="6"/>
      <c r="G608" s="6"/>
      <c r="H608" s="6"/>
      <c r="I608" s="6"/>
      <c r="J608" s="6"/>
      <c r="K608" s="51"/>
      <c r="L608" s="51"/>
      <c r="M608" s="51"/>
      <c r="N608" s="51"/>
      <c r="O608" s="51"/>
      <c r="P608" s="51"/>
      <c r="Q608" s="51"/>
      <c r="R608" s="51"/>
      <c r="S608" s="51"/>
      <c r="T608" s="51"/>
      <c r="U608" s="51"/>
      <c r="V608" s="51"/>
      <c r="W608" s="51"/>
      <c r="X608" s="51"/>
      <c r="Y608" s="51"/>
      <c r="Z608" s="51"/>
      <c r="AA608" s="51"/>
      <c r="AB608" s="51"/>
    </row>
    <row r="609" customFormat="false" ht="15.75" hidden="false" customHeight="false" outlineLevel="0" collapsed="false">
      <c r="A609" s="51"/>
      <c r="B609" s="51"/>
      <c r="C609" s="6"/>
      <c r="D609" s="49"/>
      <c r="E609" s="51"/>
      <c r="F609" s="6"/>
      <c r="G609" s="6"/>
      <c r="H609" s="6"/>
      <c r="I609" s="6"/>
      <c r="J609" s="6"/>
      <c r="K609" s="51"/>
      <c r="L609" s="51"/>
      <c r="M609" s="51"/>
      <c r="N609" s="51"/>
      <c r="O609" s="51"/>
      <c r="P609" s="51"/>
      <c r="Q609" s="51"/>
      <c r="R609" s="51"/>
      <c r="S609" s="51"/>
      <c r="T609" s="51"/>
      <c r="U609" s="51"/>
      <c r="V609" s="51"/>
      <c r="W609" s="51"/>
      <c r="X609" s="51"/>
      <c r="Y609" s="51"/>
      <c r="Z609" s="51"/>
      <c r="AA609" s="51"/>
      <c r="AB609" s="51"/>
    </row>
    <row r="610" customFormat="false" ht="15.75" hidden="false" customHeight="false" outlineLevel="0" collapsed="false">
      <c r="A610" s="51"/>
      <c r="B610" s="51"/>
      <c r="C610" s="6"/>
      <c r="D610" s="49"/>
      <c r="E610" s="51"/>
      <c r="F610" s="6"/>
      <c r="G610" s="6"/>
      <c r="H610" s="6"/>
      <c r="I610" s="6"/>
      <c r="J610" s="6"/>
      <c r="K610" s="51"/>
      <c r="L610" s="51"/>
      <c r="M610" s="51"/>
      <c r="N610" s="51"/>
      <c r="O610" s="51"/>
      <c r="P610" s="51"/>
      <c r="Q610" s="51"/>
      <c r="R610" s="51"/>
      <c r="S610" s="51"/>
      <c r="T610" s="51"/>
      <c r="U610" s="51"/>
      <c r="V610" s="51"/>
      <c r="W610" s="51"/>
      <c r="X610" s="51"/>
      <c r="Y610" s="51"/>
      <c r="Z610" s="51"/>
      <c r="AA610" s="51"/>
      <c r="AB610" s="51"/>
    </row>
    <row r="611" customFormat="false" ht="15.75" hidden="false" customHeight="false" outlineLevel="0" collapsed="false">
      <c r="A611" s="51"/>
      <c r="B611" s="51"/>
      <c r="C611" s="6"/>
      <c r="D611" s="49"/>
      <c r="E611" s="51"/>
      <c r="F611" s="6"/>
      <c r="G611" s="6"/>
      <c r="H611" s="6"/>
      <c r="I611" s="6"/>
      <c r="J611" s="6"/>
      <c r="K611" s="51"/>
      <c r="L611" s="51"/>
      <c r="M611" s="51"/>
      <c r="N611" s="51"/>
      <c r="O611" s="51"/>
      <c r="P611" s="51"/>
      <c r="Q611" s="51"/>
      <c r="R611" s="51"/>
      <c r="S611" s="51"/>
      <c r="T611" s="51"/>
      <c r="U611" s="51"/>
      <c r="V611" s="51"/>
      <c r="W611" s="51"/>
      <c r="X611" s="51"/>
      <c r="Y611" s="51"/>
      <c r="Z611" s="51"/>
      <c r="AA611" s="51"/>
      <c r="AB611" s="51"/>
    </row>
    <row r="612" customFormat="false" ht="15.75" hidden="false" customHeight="false" outlineLevel="0" collapsed="false">
      <c r="A612" s="51"/>
      <c r="B612" s="51"/>
      <c r="C612" s="6"/>
      <c r="D612" s="49"/>
      <c r="E612" s="51"/>
      <c r="F612" s="6"/>
      <c r="G612" s="6"/>
      <c r="H612" s="6"/>
      <c r="I612" s="6"/>
      <c r="J612" s="6"/>
      <c r="K612" s="51"/>
      <c r="L612" s="51"/>
      <c r="M612" s="51"/>
      <c r="N612" s="51"/>
      <c r="O612" s="51"/>
      <c r="P612" s="51"/>
      <c r="Q612" s="51"/>
      <c r="R612" s="51"/>
      <c r="S612" s="51"/>
      <c r="T612" s="51"/>
      <c r="U612" s="51"/>
      <c r="V612" s="51"/>
      <c r="W612" s="51"/>
      <c r="X612" s="51"/>
      <c r="Y612" s="51"/>
      <c r="Z612" s="51"/>
      <c r="AA612" s="51"/>
      <c r="AB612" s="51"/>
    </row>
    <row r="613" customFormat="false" ht="15.75" hidden="false" customHeight="false" outlineLevel="0" collapsed="false">
      <c r="A613" s="51"/>
      <c r="B613" s="51"/>
      <c r="C613" s="6"/>
      <c r="D613" s="49"/>
      <c r="E613" s="51"/>
      <c r="F613" s="6"/>
      <c r="G613" s="6"/>
      <c r="H613" s="6"/>
      <c r="I613" s="6"/>
      <c r="J613" s="6"/>
      <c r="K613" s="51"/>
      <c r="L613" s="51"/>
      <c r="M613" s="51"/>
      <c r="N613" s="51"/>
      <c r="O613" s="51"/>
      <c r="P613" s="51"/>
      <c r="Q613" s="51"/>
      <c r="R613" s="51"/>
      <c r="S613" s="51"/>
      <c r="T613" s="51"/>
      <c r="U613" s="51"/>
      <c r="V613" s="51"/>
      <c r="W613" s="51"/>
      <c r="X613" s="51"/>
      <c r="Y613" s="51"/>
      <c r="Z613" s="51"/>
      <c r="AA613" s="51"/>
      <c r="AB613" s="51"/>
    </row>
    <row r="614" customFormat="false" ht="15.75" hidden="false" customHeight="false" outlineLevel="0" collapsed="false">
      <c r="A614" s="51"/>
      <c r="B614" s="51"/>
      <c r="C614" s="6"/>
      <c r="D614" s="49"/>
      <c r="E614" s="51"/>
      <c r="F614" s="6"/>
      <c r="G614" s="6"/>
      <c r="H614" s="6"/>
      <c r="I614" s="6"/>
      <c r="J614" s="6"/>
      <c r="K614" s="51"/>
      <c r="L614" s="51"/>
      <c r="M614" s="51"/>
      <c r="N614" s="51"/>
      <c r="O614" s="51"/>
      <c r="P614" s="51"/>
      <c r="Q614" s="51"/>
      <c r="R614" s="51"/>
      <c r="S614" s="51"/>
      <c r="T614" s="51"/>
      <c r="U614" s="51"/>
      <c r="V614" s="51"/>
      <c r="W614" s="51"/>
      <c r="X614" s="51"/>
      <c r="Y614" s="51"/>
      <c r="Z614" s="51"/>
      <c r="AA614" s="51"/>
      <c r="AB614" s="51"/>
    </row>
    <row r="615" customFormat="false" ht="15.75" hidden="false" customHeight="false" outlineLevel="0" collapsed="false">
      <c r="A615" s="51"/>
      <c r="B615" s="51"/>
      <c r="C615" s="6"/>
      <c r="D615" s="49"/>
      <c r="E615" s="51"/>
      <c r="F615" s="6"/>
      <c r="G615" s="6"/>
      <c r="H615" s="6"/>
      <c r="I615" s="6"/>
      <c r="J615" s="6"/>
      <c r="K615" s="51"/>
      <c r="L615" s="51"/>
      <c r="M615" s="51"/>
      <c r="N615" s="51"/>
      <c r="O615" s="51"/>
      <c r="P615" s="51"/>
      <c r="Q615" s="51"/>
      <c r="R615" s="51"/>
      <c r="S615" s="51"/>
      <c r="T615" s="51"/>
      <c r="U615" s="51"/>
      <c r="V615" s="51"/>
      <c r="W615" s="51"/>
      <c r="X615" s="51"/>
      <c r="Y615" s="51"/>
      <c r="Z615" s="51"/>
      <c r="AA615" s="51"/>
      <c r="AB615" s="51"/>
    </row>
    <row r="616" customFormat="false" ht="15.75" hidden="false" customHeight="false" outlineLevel="0" collapsed="false">
      <c r="A616" s="51"/>
      <c r="B616" s="51"/>
      <c r="C616" s="6"/>
      <c r="D616" s="49"/>
      <c r="E616" s="51"/>
      <c r="F616" s="6"/>
      <c r="G616" s="6"/>
      <c r="H616" s="6"/>
      <c r="I616" s="6"/>
      <c r="J616" s="6"/>
      <c r="K616" s="51"/>
      <c r="L616" s="51"/>
      <c r="M616" s="51"/>
      <c r="N616" s="51"/>
      <c r="O616" s="51"/>
      <c r="P616" s="51"/>
      <c r="Q616" s="51"/>
      <c r="R616" s="51"/>
      <c r="S616" s="51"/>
      <c r="T616" s="51"/>
      <c r="U616" s="51"/>
      <c r="V616" s="51"/>
      <c r="W616" s="51"/>
      <c r="X616" s="51"/>
      <c r="Y616" s="51"/>
      <c r="Z616" s="51"/>
      <c r="AA616" s="51"/>
      <c r="AB616" s="51"/>
    </row>
    <row r="617" customFormat="false" ht="15.75" hidden="false" customHeight="false" outlineLevel="0" collapsed="false">
      <c r="A617" s="51"/>
      <c r="B617" s="51"/>
      <c r="C617" s="6"/>
      <c r="D617" s="49"/>
      <c r="E617" s="51"/>
      <c r="F617" s="6"/>
      <c r="G617" s="6"/>
      <c r="H617" s="6"/>
      <c r="I617" s="6"/>
      <c r="J617" s="6"/>
      <c r="K617" s="51"/>
      <c r="L617" s="51"/>
      <c r="M617" s="51"/>
      <c r="N617" s="51"/>
      <c r="O617" s="51"/>
      <c r="P617" s="51"/>
      <c r="Q617" s="51"/>
      <c r="R617" s="51"/>
      <c r="S617" s="51"/>
      <c r="T617" s="51"/>
      <c r="U617" s="51"/>
      <c r="V617" s="51"/>
      <c r="W617" s="51"/>
      <c r="X617" s="51"/>
      <c r="Y617" s="51"/>
      <c r="Z617" s="51"/>
      <c r="AA617" s="51"/>
      <c r="AB617" s="51"/>
    </row>
    <row r="618" customFormat="false" ht="15.75" hidden="false" customHeight="false" outlineLevel="0" collapsed="false">
      <c r="A618" s="51"/>
      <c r="B618" s="51"/>
      <c r="C618" s="6"/>
      <c r="D618" s="49"/>
      <c r="E618" s="51"/>
      <c r="F618" s="6"/>
      <c r="G618" s="6"/>
      <c r="H618" s="6"/>
      <c r="I618" s="6"/>
      <c r="J618" s="6"/>
      <c r="K618" s="51"/>
      <c r="L618" s="51"/>
      <c r="M618" s="51"/>
      <c r="N618" s="51"/>
      <c r="O618" s="51"/>
      <c r="P618" s="51"/>
      <c r="Q618" s="51"/>
      <c r="R618" s="51"/>
      <c r="S618" s="51"/>
      <c r="T618" s="51"/>
      <c r="U618" s="51"/>
      <c r="V618" s="51"/>
      <c r="W618" s="51"/>
      <c r="X618" s="51"/>
      <c r="Y618" s="51"/>
      <c r="Z618" s="51"/>
      <c r="AA618" s="51"/>
      <c r="AB618" s="51"/>
    </row>
    <row r="619" customFormat="false" ht="15.75" hidden="false" customHeight="false" outlineLevel="0" collapsed="false">
      <c r="A619" s="51"/>
      <c r="B619" s="51"/>
      <c r="C619" s="6"/>
      <c r="D619" s="49"/>
      <c r="E619" s="51"/>
      <c r="F619" s="6"/>
      <c r="G619" s="6"/>
      <c r="H619" s="6"/>
      <c r="I619" s="6"/>
      <c r="J619" s="6"/>
      <c r="K619" s="51"/>
      <c r="L619" s="51"/>
      <c r="M619" s="51"/>
      <c r="N619" s="51"/>
      <c r="O619" s="51"/>
      <c r="P619" s="51"/>
      <c r="Q619" s="51"/>
      <c r="R619" s="51"/>
      <c r="S619" s="51"/>
      <c r="T619" s="51"/>
      <c r="U619" s="51"/>
      <c r="V619" s="51"/>
      <c r="W619" s="51"/>
      <c r="X619" s="51"/>
      <c r="Y619" s="51"/>
      <c r="Z619" s="51"/>
      <c r="AA619" s="51"/>
      <c r="AB619" s="51"/>
    </row>
    <row r="620" customFormat="false" ht="15.75" hidden="false" customHeight="false" outlineLevel="0" collapsed="false">
      <c r="A620" s="51"/>
      <c r="B620" s="51"/>
      <c r="C620" s="6"/>
      <c r="D620" s="49"/>
      <c r="E620" s="51"/>
      <c r="F620" s="6"/>
      <c r="G620" s="6"/>
      <c r="H620" s="6"/>
      <c r="I620" s="6"/>
      <c r="J620" s="6"/>
      <c r="K620" s="51"/>
      <c r="L620" s="51"/>
      <c r="M620" s="51"/>
      <c r="N620" s="51"/>
      <c r="O620" s="51"/>
      <c r="P620" s="51"/>
      <c r="Q620" s="51"/>
      <c r="R620" s="51"/>
      <c r="S620" s="51"/>
      <c r="T620" s="51"/>
      <c r="U620" s="51"/>
      <c r="V620" s="51"/>
      <c r="W620" s="51"/>
      <c r="X620" s="51"/>
      <c r="Y620" s="51"/>
      <c r="Z620" s="51"/>
      <c r="AA620" s="51"/>
      <c r="AB620" s="51"/>
    </row>
    <row r="621" customFormat="false" ht="15.75" hidden="false" customHeight="false" outlineLevel="0" collapsed="false">
      <c r="A621" s="51"/>
      <c r="B621" s="51"/>
      <c r="C621" s="6"/>
      <c r="D621" s="49"/>
      <c r="E621" s="51"/>
      <c r="F621" s="6"/>
      <c r="G621" s="6"/>
      <c r="H621" s="6"/>
      <c r="I621" s="6"/>
      <c r="J621" s="6"/>
      <c r="K621" s="51"/>
      <c r="L621" s="51"/>
      <c r="M621" s="51"/>
      <c r="N621" s="51"/>
      <c r="O621" s="51"/>
      <c r="P621" s="51"/>
      <c r="Q621" s="51"/>
      <c r="R621" s="51"/>
      <c r="S621" s="51"/>
      <c r="T621" s="51"/>
      <c r="U621" s="51"/>
      <c r="V621" s="51"/>
      <c r="W621" s="51"/>
      <c r="X621" s="51"/>
      <c r="Y621" s="51"/>
      <c r="Z621" s="51"/>
      <c r="AA621" s="51"/>
      <c r="AB621" s="51"/>
    </row>
    <row r="622" customFormat="false" ht="15.75" hidden="false" customHeight="false" outlineLevel="0" collapsed="false">
      <c r="A622" s="51"/>
      <c r="B622" s="51"/>
      <c r="C622" s="6"/>
      <c r="D622" s="49"/>
      <c r="E622" s="51"/>
      <c r="F622" s="6"/>
      <c r="G622" s="6"/>
      <c r="H622" s="6"/>
      <c r="I622" s="6"/>
      <c r="J622" s="6"/>
      <c r="K622" s="51"/>
      <c r="L622" s="51"/>
      <c r="M622" s="51"/>
      <c r="N622" s="51"/>
      <c r="O622" s="51"/>
      <c r="P622" s="51"/>
      <c r="Q622" s="51"/>
      <c r="R622" s="51"/>
      <c r="S622" s="51"/>
      <c r="T622" s="51"/>
      <c r="U622" s="51"/>
      <c r="V622" s="51"/>
      <c r="W622" s="51"/>
      <c r="X622" s="51"/>
      <c r="Y622" s="51"/>
      <c r="Z622" s="51"/>
      <c r="AA622" s="51"/>
      <c r="AB622" s="51"/>
    </row>
    <row r="623" customFormat="false" ht="15.75" hidden="false" customHeight="false" outlineLevel="0" collapsed="false">
      <c r="A623" s="51"/>
      <c r="B623" s="51"/>
      <c r="C623" s="6"/>
      <c r="D623" s="49"/>
      <c r="E623" s="51"/>
      <c r="F623" s="6"/>
      <c r="G623" s="6"/>
      <c r="H623" s="6"/>
      <c r="I623" s="6"/>
      <c r="J623" s="6"/>
      <c r="K623" s="51"/>
      <c r="L623" s="51"/>
      <c r="M623" s="51"/>
      <c r="N623" s="51"/>
      <c r="O623" s="51"/>
      <c r="P623" s="51"/>
      <c r="Q623" s="51"/>
      <c r="R623" s="51"/>
      <c r="S623" s="51"/>
      <c r="T623" s="51"/>
      <c r="U623" s="51"/>
      <c r="V623" s="51"/>
      <c r="W623" s="51"/>
      <c r="X623" s="51"/>
      <c r="Y623" s="51"/>
      <c r="Z623" s="51"/>
      <c r="AA623" s="51"/>
      <c r="AB623" s="51"/>
    </row>
    <row r="624" customFormat="false" ht="15.75" hidden="false" customHeight="false" outlineLevel="0" collapsed="false">
      <c r="A624" s="51"/>
      <c r="B624" s="51"/>
      <c r="C624" s="6"/>
      <c r="D624" s="49"/>
      <c r="E624" s="51"/>
      <c r="F624" s="6"/>
      <c r="G624" s="6"/>
      <c r="H624" s="6"/>
      <c r="I624" s="6"/>
      <c r="J624" s="6"/>
      <c r="K624" s="51"/>
      <c r="L624" s="51"/>
      <c r="M624" s="51"/>
      <c r="N624" s="51"/>
      <c r="O624" s="51"/>
      <c r="P624" s="51"/>
      <c r="Q624" s="51"/>
      <c r="R624" s="51"/>
      <c r="S624" s="51"/>
      <c r="T624" s="51"/>
      <c r="U624" s="51"/>
      <c r="V624" s="51"/>
      <c r="W624" s="51"/>
      <c r="X624" s="51"/>
      <c r="Y624" s="51"/>
      <c r="Z624" s="51"/>
      <c r="AA624" s="51"/>
      <c r="AB624" s="51"/>
    </row>
    <row r="625" customFormat="false" ht="15.75" hidden="false" customHeight="false" outlineLevel="0" collapsed="false">
      <c r="A625" s="51"/>
      <c r="B625" s="51"/>
      <c r="C625" s="6"/>
      <c r="D625" s="49"/>
      <c r="E625" s="51"/>
      <c r="F625" s="6"/>
      <c r="G625" s="6"/>
      <c r="H625" s="6"/>
      <c r="I625" s="6"/>
      <c r="J625" s="6"/>
      <c r="K625" s="51"/>
      <c r="L625" s="51"/>
      <c r="M625" s="51"/>
      <c r="N625" s="51"/>
      <c r="O625" s="51"/>
      <c r="P625" s="51"/>
      <c r="Q625" s="51"/>
      <c r="R625" s="51"/>
      <c r="S625" s="51"/>
      <c r="T625" s="51"/>
      <c r="U625" s="51"/>
      <c r="V625" s="51"/>
      <c r="W625" s="51"/>
      <c r="X625" s="51"/>
      <c r="Y625" s="51"/>
      <c r="Z625" s="51"/>
      <c r="AA625" s="51"/>
      <c r="AB625" s="51"/>
    </row>
    <row r="626" customFormat="false" ht="15.75" hidden="false" customHeight="false" outlineLevel="0" collapsed="false">
      <c r="A626" s="51"/>
      <c r="B626" s="51"/>
      <c r="C626" s="6"/>
      <c r="D626" s="49"/>
      <c r="E626" s="51"/>
      <c r="F626" s="6"/>
      <c r="G626" s="6"/>
      <c r="H626" s="6"/>
      <c r="I626" s="6"/>
      <c r="J626" s="6"/>
      <c r="K626" s="51"/>
      <c r="L626" s="51"/>
      <c r="M626" s="51"/>
      <c r="N626" s="51"/>
      <c r="O626" s="51"/>
      <c r="P626" s="51"/>
      <c r="Q626" s="51"/>
      <c r="R626" s="51"/>
      <c r="S626" s="51"/>
      <c r="T626" s="51"/>
      <c r="U626" s="51"/>
      <c r="V626" s="51"/>
      <c r="W626" s="51"/>
      <c r="X626" s="51"/>
      <c r="Y626" s="51"/>
      <c r="Z626" s="51"/>
      <c r="AA626" s="51"/>
      <c r="AB626" s="51"/>
    </row>
    <row r="627" customFormat="false" ht="15.75" hidden="false" customHeight="false" outlineLevel="0" collapsed="false">
      <c r="A627" s="51"/>
      <c r="B627" s="51"/>
      <c r="C627" s="6"/>
      <c r="D627" s="49"/>
      <c r="E627" s="51"/>
      <c r="F627" s="6"/>
      <c r="G627" s="6"/>
      <c r="H627" s="6"/>
      <c r="I627" s="6"/>
      <c r="J627" s="6"/>
      <c r="K627" s="51"/>
      <c r="L627" s="51"/>
      <c r="M627" s="51"/>
      <c r="N627" s="51"/>
      <c r="O627" s="51"/>
      <c r="P627" s="51"/>
      <c r="Q627" s="51"/>
      <c r="R627" s="51"/>
      <c r="S627" s="51"/>
      <c r="T627" s="51"/>
      <c r="U627" s="51"/>
      <c r="V627" s="51"/>
      <c r="W627" s="51"/>
      <c r="X627" s="51"/>
      <c r="Y627" s="51"/>
      <c r="Z627" s="51"/>
      <c r="AA627" s="51"/>
      <c r="AB627" s="51"/>
    </row>
    <row r="628" customFormat="false" ht="15.75" hidden="false" customHeight="false" outlineLevel="0" collapsed="false">
      <c r="A628" s="51"/>
      <c r="B628" s="51"/>
      <c r="C628" s="6"/>
      <c r="D628" s="49"/>
      <c r="E628" s="51"/>
      <c r="F628" s="6"/>
      <c r="G628" s="6"/>
      <c r="H628" s="6"/>
      <c r="I628" s="6"/>
      <c r="J628" s="6"/>
      <c r="K628" s="51"/>
      <c r="L628" s="51"/>
      <c r="M628" s="51"/>
      <c r="N628" s="51"/>
      <c r="O628" s="51"/>
      <c r="P628" s="51"/>
      <c r="Q628" s="51"/>
      <c r="R628" s="51"/>
      <c r="S628" s="51"/>
      <c r="T628" s="51"/>
      <c r="U628" s="51"/>
      <c r="V628" s="51"/>
      <c r="W628" s="51"/>
      <c r="X628" s="51"/>
      <c r="Y628" s="51"/>
      <c r="Z628" s="51"/>
      <c r="AA628" s="51"/>
      <c r="AB628" s="51"/>
    </row>
    <row r="629" customFormat="false" ht="15.75" hidden="false" customHeight="false" outlineLevel="0" collapsed="false">
      <c r="A629" s="51"/>
      <c r="B629" s="51"/>
      <c r="C629" s="6"/>
      <c r="D629" s="49"/>
      <c r="E629" s="51"/>
      <c r="F629" s="6"/>
      <c r="G629" s="6"/>
      <c r="H629" s="6"/>
      <c r="I629" s="6"/>
      <c r="J629" s="6"/>
      <c r="K629" s="51"/>
      <c r="L629" s="51"/>
      <c r="M629" s="51"/>
      <c r="N629" s="51"/>
      <c r="O629" s="51"/>
      <c r="P629" s="51"/>
      <c r="Q629" s="51"/>
      <c r="R629" s="51"/>
      <c r="S629" s="51"/>
      <c r="T629" s="51"/>
      <c r="U629" s="51"/>
      <c r="V629" s="51"/>
      <c r="W629" s="51"/>
      <c r="X629" s="51"/>
      <c r="Y629" s="51"/>
      <c r="Z629" s="51"/>
      <c r="AA629" s="51"/>
      <c r="AB629" s="51"/>
    </row>
    <row r="630" customFormat="false" ht="15.75" hidden="false" customHeight="false" outlineLevel="0" collapsed="false">
      <c r="A630" s="51"/>
      <c r="B630" s="51"/>
      <c r="C630" s="6"/>
      <c r="D630" s="49"/>
      <c r="E630" s="51"/>
      <c r="F630" s="6"/>
      <c r="G630" s="6"/>
      <c r="H630" s="6"/>
      <c r="I630" s="6"/>
      <c r="J630" s="6"/>
      <c r="K630" s="51"/>
      <c r="L630" s="51"/>
      <c r="M630" s="51"/>
      <c r="N630" s="51"/>
      <c r="O630" s="51"/>
      <c r="P630" s="51"/>
      <c r="Q630" s="51"/>
      <c r="R630" s="51"/>
      <c r="S630" s="51"/>
      <c r="T630" s="51"/>
      <c r="U630" s="51"/>
      <c r="V630" s="51"/>
      <c r="W630" s="51"/>
      <c r="X630" s="51"/>
      <c r="Y630" s="51"/>
      <c r="Z630" s="51"/>
      <c r="AA630" s="51"/>
      <c r="AB630" s="51"/>
    </row>
    <row r="631" customFormat="false" ht="15.75" hidden="false" customHeight="false" outlineLevel="0" collapsed="false">
      <c r="A631" s="51"/>
      <c r="B631" s="51"/>
      <c r="C631" s="6"/>
      <c r="D631" s="49"/>
      <c r="E631" s="51"/>
      <c r="F631" s="6"/>
      <c r="G631" s="6"/>
      <c r="H631" s="6"/>
      <c r="I631" s="6"/>
      <c r="J631" s="6"/>
      <c r="K631" s="51"/>
      <c r="L631" s="51"/>
      <c r="M631" s="51"/>
      <c r="N631" s="51"/>
      <c r="O631" s="51"/>
      <c r="P631" s="51"/>
      <c r="Q631" s="51"/>
      <c r="R631" s="51"/>
      <c r="S631" s="51"/>
      <c r="T631" s="51"/>
      <c r="U631" s="51"/>
      <c r="V631" s="51"/>
      <c r="W631" s="51"/>
      <c r="X631" s="51"/>
      <c r="Y631" s="51"/>
      <c r="Z631" s="51"/>
      <c r="AA631" s="51"/>
      <c r="AB631" s="51"/>
    </row>
    <row r="632" customFormat="false" ht="15.75" hidden="false" customHeight="false" outlineLevel="0" collapsed="false">
      <c r="A632" s="51"/>
      <c r="B632" s="51"/>
      <c r="C632" s="6"/>
      <c r="D632" s="49"/>
      <c r="E632" s="51"/>
      <c r="F632" s="6"/>
      <c r="G632" s="6"/>
      <c r="H632" s="6"/>
      <c r="I632" s="6"/>
      <c r="J632" s="6"/>
      <c r="K632" s="51"/>
      <c r="L632" s="51"/>
      <c r="M632" s="51"/>
      <c r="N632" s="51"/>
      <c r="O632" s="51"/>
      <c r="P632" s="51"/>
      <c r="Q632" s="51"/>
      <c r="R632" s="51"/>
      <c r="S632" s="51"/>
      <c r="T632" s="51"/>
      <c r="U632" s="51"/>
      <c r="V632" s="51"/>
      <c r="W632" s="51"/>
      <c r="X632" s="51"/>
      <c r="Y632" s="51"/>
      <c r="Z632" s="51"/>
      <c r="AA632" s="51"/>
      <c r="AB632" s="51"/>
    </row>
    <row r="633" customFormat="false" ht="15.75" hidden="false" customHeight="false" outlineLevel="0" collapsed="false">
      <c r="A633" s="51"/>
      <c r="B633" s="51"/>
      <c r="C633" s="6"/>
      <c r="D633" s="49"/>
      <c r="E633" s="51"/>
      <c r="F633" s="6"/>
      <c r="G633" s="6"/>
      <c r="H633" s="6"/>
      <c r="I633" s="6"/>
      <c r="J633" s="6"/>
      <c r="K633" s="51"/>
      <c r="L633" s="51"/>
      <c r="M633" s="51"/>
      <c r="N633" s="51"/>
      <c r="O633" s="51"/>
      <c r="P633" s="51"/>
      <c r="Q633" s="51"/>
      <c r="R633" s="51"/>
      <c r="S633" s="51"/>
      <c r="T633" s="51"/>
      <c r="U633" s="51"/>
      <c r="V633" s="51"/>
      <c r="W633" s="51"/>
      <c r="X633" s="51"/>
      <c r="Y633" s="51"/>
      <c r="Z633" s="51"/>
      <c r="AA633" s="51"/>
      <c r="AB633" s="51"/>
    </row>
    <row r="634" customFormat="false" ht="15.75" hidden="false" customHeight="false" outlineLevel="0" collapsed="false">
      <c r="A634" s="51"/>
      <c r="B634" s="51"/>
      <c r="C634" s="6"/>
      <c r="D634" s="49"/>
      <c r="E634" s="51"/>
      <c r="F634" s="6"/>
      <c r="G634" s="6"/>
      <c r="H634" s="6"/>
      <c r="I634" s="6"/>
      <c r="J634" s="6"/>
      <c r="K634" s="51"/>
      <c r="L634" s="51"/>
      <c r="M634" s="51"/>
      <c r="N634" s="51"/>
      <c r="O634" s="51"/>
      <c r="P634" s="51"/>
      <c r="Q634" s="51"/>
      <c r="R634" s="51"/>
      <c r="S634" s="51"/>
      <c r="T634" s="51"/>
      <c r="U634" s="51"/>
      <c r="V634" s="51"/>
      <c r="W634" s="51"/>
      <c r="X634" s="51"/>
      <c r="Y634" s="51"/>
      <c r="Z634" s="51"/>
      <c r="AA634" s="51"/>
      <c r="AB634" s="51"/>
    </row>
    <row r="635" customFormat="false" ht="15.75" hidden="false" customHeight="false" outlineLevel="0" collapsed="false">
      <c r="A635" s="51"/>
      <c r="B635" s="51"/>
      <c r="C635" s="6"/>
      <c r="D635" s="49"/>
      <c r="E635" s="51"/>
      <c r="F635" s="6"/>
      <c r="G635" s="6"/>
      <c r="H635" s="6"/>
      <c r="I635" s="6"/>
      <c r="J635" s="6"/>
      <c r="K635" s="51"/>
      <c r="L635" s="51"/>
      <c r="M635" s="51"/>
      <c r="N635" s="51"/>
      <c r="O635" s="51"/>
      <c r="P635" s="51"/>
      <c r="Q635" s="51"/>
      <c r="R635" s="51"/>
      <c r="S635" s="51"/>
      <c r="T635" s="51"/>
      <c r="U635" s="51"/>
      <c r="V635" s="51"/>
      <c r="W635" s="51"/>
      <c r="X635" s="51"/>
      <c r="Y635" s="51"/>
      <c r="Z635" s="51"/>
      <c r="AA635" s="51"/>
      <c r="AB635" s="51"/>
    </row>
    <row r="636" customFormat="false" ht="15.75" hidden="false" customHeight="false" outlineLevel="0" collapsed="false">
      <c r="A636" s="51"/>
      <c r="B636" s="51"/>
      <c r="C636" s="6"/>
      <c r="D636" s="49"/>
      <c r="E636" s="51"/>
      <c r="F636" s="6"/>
      <c r="G636" s="6"/>
      <c r="H636" s="6"/>
      <c r="I636" s="6"/>
      <c r="J636" s="6"/>
      <c r="K636" s="51"/>
      <c r="L636" s="51"/>
      <c r="M636" s="51"/>
      <c r="N636" s="51"/>
      <c r="O636" s="51"/>
      <c r="P636" s="51"/>
      <c r="Q636" s="51"/>
      <c r="R636" s="51"/>
      <c r="S636" s="51"/>
      <c r="T636" s="51"/>
      <c r="U636" s="51"/>
      <c r="V636" s="51"/>
      <c r="W636" s="51"/>
      <c r="X636" s="51"/>
      <c r="Y636" s="51"/>
      <c r="Z636" s="51"/>
      <c r="AA636" s="51"/>
      <c r="AB636" s="51"/>
    </row>
    <row r="637" customFormat="false" ht="15.75" hidden="false" customHeight="false" outlineLevel="0" collapsed="false">
      <c r="A637" s="51"/>
      <c r="B637" s="51"/>
      <c r="C637" s="6"/>
      <c r="D637" s="49"/>
      <c r="E637" s="51"/>
      <c r="F637" s="6"/>
      <c r="G637" s="6"/>
      <c r="H637" s="6"/>
      <c r="I637" s="6"/>
      <c r="J637" s="6"/>
      <c r="K637" s="51"/>
      <c r="L637" s="51"/>
      <c r="M637" s="51"/>
      <c r="N637" s="51"/>
      <c r="O637" s="51"/>
      <c r="P637" s="51"/>
      <c r="Q637" s="51"/>
      <c r="R637" s="51"/>
      <c r="S637" s="51"/>
      <c r="T637" s="51"/>
      <c r="U637" s="51"/>
      <c r="V637" s="51"/>
      <c r="W637" s="51"/>
      <c r="X637" s="51"/>
      <c r="Y637" s="51"/>
      <c r="Z637" s="51"/>
      <c r="AA637" s="51"/>
      <c r="AB637" s="51"/>
    </row>
    <row r="638" customFormat="false" ht="15.75" hidden="false" customHeight="false" outlineLevel="0" collapsed="false">
      <c r="A638" s="51"/>
      <c r="B638" s="51"/>
      <c r="C638" s="6"/>
      <c r="D638" s="49"/>
      <c r="E638" s="51"/>
      <c r="F638" s="6"/>
      <c r="G638" s="6"/>
      <c r="H638" s="6"/>
      <c r="I638" s="6"/>
      <c r="J638" s="6"/>
      <c r="K638" s="51"/>
      <c r="L638" s="51"/>
      <c r="M638" s="51"/>
      <c r="N638" s="51"/>
      <c r="O638" s="51"/>
      <c r="P638" s="51"/>
      <c r="Q638" s="51"/>
      <c r="R638" s="51"/>
      <c r="S638" s="51"/>
      <c r="T638" s="51"/>
      <c r="U638" s="51"/>
      <c r="V638" s="51"/>
      <c r="W638" s="51"/>
      <c r="X638" s="51"/>
      <c r="Y638" s="51"/>
      <c r="Z638" s="51"/>
      <c r="AA638" s="51"/>
      <c r="AB638" s="51"/>
    </row>
    <row r="639" customFormat="false" ht="15.75" hidden="false" customHeight="false" outlineLevel="0" collapsed="false">
      <c r="A639" s="51"/>
      <c r="B639" s="51"/>
      <c r="C639" s="6"/>
      <c r="D639" s="49"/>
      <c r="E639" s="51"/>
      <c r="F639" s="6"/>
      <c r="G639" s="6"/>
      <c r="H639" s="6"/>
      <c r="I639" s="6"/>
      <c r="J639" s="6"/>
      <c r="K639" s="51"/>
      <c r="L639" s="51"/>
      <c r="M639" s="51"/>
      <c r="N639" s="51"/>
      <c r="O639" s="51"/>
      <c r="P639" s="51"/>
      <c r="Q639" s="51"/>
      <c r="R639" s="51"/>
      <c r="S639" s="51"/>
      <c r="T639" s="51"/>
      <c r="U639" s="51"/>
      <c r="V639" s="51"/>
      <c r="W639" s="51"/>
      <c r="X639" s="51"/>
      <c r="Y639" s="51"/>
      <c r="Z639" s="51"/>
      <c r="AA639" s="51"/>
      <c r="AB639" s="51"/>
    </row>
    <row r="640" customFormat="false" ht="15.75" hidden="false" customHeight="false" outlineLevel="0" collapsed="false">
      <c r="A640" s="51"/>
      <c r="B640" s="51"/>
      <c r="C640" s="6"/>
      <c r="D640" s="49"/>
      <c r="E640" s="51"/>
      <c r="F640" s="6"/>
      <c r="G640" s="6"/>
      <c r="H640" s="6"/>
      <c r="I640" s="6"/>
      <c r="J640" s="6"/>
      <c r="K640" s="51"/>
      <c r="L640" s="51"/>
      <c r="M640" s="51"/>
      <c r="N640" s="51"/>
      <c r="O640" s="51"/>
      <c r="P640" s="51"/>
      <c r="Q640" s="51"/>
      <c r="R640" s="51"/>
      <c r="S640" s="51"/>
      <c r="T640" s="51"/>
      <c r="U640" s="51"/>
      <c r="V640" s="51"/>
      <c r="W640" s="51"/>
      <c r="X640" s="51"/>
      <c r="Y640" s="51"/>
      <c r="Z640" s="51"/>
      <c r="AA640" s="51"/>
      <c r="AB640" s="51"/>
    </row>
    <row r="641" customFormat="false" ht="15.75" hidden="false" customHeight="false" outlineLevel="0" collapsed="false">
      <c r="A641" s="51"/>
      <c r="B641" s="51"/>
      <c r="C641" s="6"/>
      <c r="D641" s="49"/>
      <c r="E641" s="51"/>
      <c r="F641" s="6"/>
      <c r="G641" s="6"/>
      <c r="H641" s="6"/>
      <c r="I641" s="6"/>
      <c r="J641" s="6"/>
      <c r="K641" s="51"/>
      <c r="L641" s="51"/>
      <c r="M641" s="51"/>
      <c r="N641" s="51"/>
      <c r="O641" s="51"/>
      <c r="P641" s="51"/>
      <c r="Q641" s="51"/>
      <c r="R641" s="51"/>
      <c r="S641" s="51"/>
      <c r="T641" s="51"/>
      <c r="U641" s="51"/>
      <c r="V641" s="51"/>
      <c r="W641" s="51"/>
      <c r="X641" s="51"/>
      <c r="Y641" s="51"/>
      <c r="Z641" s="51"/>
      <c r="AA641" s="51"/>
      <c r="AB641" s="51"/>
    </row>
    <row r="642" customFormat="false" ht="15.75" hidden="false" customHeight="false" outlineLevel="0" collapsed="false">
      <c r="A642" s="51"/>
      <c r="B642" s="51"/>
      <c r="C642" s="6"/>
      <c r="D642" s="49"/>
      <c r="E642" s="51"/>
      <c r="F642" s="6"/>
      <c r="G642" s="6"/>
      <c r="H642" s="6"/>
      <c r="I642" s="6"/>
      <c r="J642" s="6"/>
      <c r="K642" s="51"/>
      <c r="L642" s="51"/>
      <c r="M642" s="51"/>
      <c r="N642" s="51"/>
      <c r="O642" s="51"/>
      <c r="P642" s="51"/>
      <c r="Q642" s="51"/>
      <c r="R642" s="51"/>
      <c r="S642" s="51"/>
      <c r="T642" s="51"/>
      <c r="U642" s="51"/>
      <c r="V642" s="51"/>
      <c r="W642" s="51"/>
      <c r="X642" s="51"/>
      <c r="Y642" s="51"/>
      <c r="Z642" s="51"/>
      <c r="AA642" s="51"/>
      <c r="AB642" s="51"/>
    </row>
    <row r="643" customFormat="false" ht="15.75" hidden="false" customHeight="false" outlineLevel="0" collapsed="false">
      <c r="A643" s="51"/>
      <c r="B643" s="51"/>
      <c r="C643" s="6"/>
      <c r="D643" s="49"/>
      <c r="E643" s="51"/>
      <c r="F643" s="6"/>
      <c r="G643" s="6"/>
      <c r="H643" s="6"/>
      <c r="I643" s="6"/>
      <c r="J643" s="6"/>
      <c r="K643" s="51"/>
      <c r="L643" s="51"/>
      <c r="M643" s="51"/>
      <c r="N643" s="51"/>
      <c r="O643" s="51"/>
      <c r="P643" s="51"/>
      <c r="Q643" s="51"/>
      <c r="R643" s="51"/>
      <c r="S643" s="51"/>
      <c r="T643" s="51"/>
      <c r="U643" s="51"/>
      <c r="V643" s="51"/>
      <c r="W643" s="51"/>
      <c r="X643" s="51"/>
      <c r="Y643" s="51"/>
      <c r="Z643" s="51"/>
      <c r="AA643" s="51"/>
      <c r="AB643" s="51"/>
    </row>
    <row r="644" customFormat="false" ht="15.75" hidden="false" customHeight="false" outlineLevel="0" collapsed="false">
      <c r="A644" s="51"/>
      <c r="B644" s="51"/>
      <c r="C644" s="6"/>
      <c r="D644" s="49"/>
      <c r="E644" s="51"/>
      <c r="F644" s="6"/>
      <c r="G644" s="6"/>
      <c r="H644" s="6"/>
      <c r="I644" s="6"/>
      <c r="J644" s="6"/>
      <c r="K644" s="51"/>
      <c r="L644" s="51"/>
      <c r="M644" s="51"/>
      <c r="N644" s="51"/>
      <c r="O644" s="51"/>
      <c r="P644" s="51"/>
      <c r="Q644" s="51"/>
      <c r="R644" s="51"/>
      <c r="S644" s="51"/>
      <c r="T644" s="51"/>
      <c r="U644" s="51"/>
      <c r="V644" s="51"/>
      <c r="W644" s="51"/>
      <c r="X644" s="51"/>
      <c r="Y644" s="51"/>
      <c r="Z644" s="51"/>
      <c r="AA644" s="51"/>
      <c r="AB644" s="51"/>
    </row>
    <row r="645" customFormat="false" ht="15.75" hidden="false" customHeight="false" outlineLevel="0" collapsed="false">
      <c r="A645" s="51"/>
      <c r="B645" s="51"/>
      <c r="C645" s="6"/>
      <c r="D645" s="49"/>
      <c r="E645" s="51"/>
      <c r="F645" s="6"/>
      <c r="G645" s="6"/>
      <c r="H645" s="6"/>
      <c r="I645" s="6"/>
      <c r="J645" s="6"/>
      <c r="K645" s="51"/>
      <c r="L645" s="51"/>
      <c r="M645" s="51"/>
      <c r="N645" s="51"/>
      <c r="O645" s="51"/>
      <c r="P645" s="51"/>
      <c r="Q645" s="51"/>
      <c r="R645" s="51"/>
      <c r="S645" s="51"/>
      <c r="T645" s="51"/>
      <c r="U645" s="51"/>
      <c r="V645" s="51"/>
      <c r="W645" s="51"/>
      <c r="X645" s="51"/>
      <c r="Y645" s="51"/>
      <c r="Z645" s="51"/>
      <c r="AA645" s="51"/>
      <c r="AB645" s="51"/>
    </row>
    <row r="646" customFormat="false" ht="15.75" hidden="false" customHeight="false" outlineLevel="0" collapsed="false">
      <c r="A646" s="51"/>
      <c r="B646" s="51"/>
      <c r="C646" s="6"/>
      <c r="D646" s="49"/>
      <c r="E646" s="51"/>
      <c r="F646" s="6"/>
      <c r="G646" s="6"/>
      <c r="H646" s="6"/>
      <c r="I646" s="6"/>
      <c r="J646" s="6"/>
      <c r="K646" s="51"/>
      <c r="L646" s="51"/>
      <c r="M646" s="51"/>
      <c r="N646" s="51"/>
      <c r="O646" s="51"/>
      <c r="P646" s="51"/>
      <c r="Q646" s="51"/>
      <c r="R646" s="51"/>
      <c r="S646" s="51"/>
      <c r="T646" s="51"/>
      <c r="U646" s="51"/>
      <c r="V646" s="51"/>
      <c r="W646" s="51"/>
      <c r="X646" s="51"/>
      <c r="Y646" s="51"/>
      <c r="Z646" s="51"/>
      <c r="AA646" s="51"/>
      <c r="AB646" s="51"/>
    </row>
    <row r="647" customFormat="false" ht="15.75" hidden="false" customHeight="false" outlineLevel="0" collapsed="false">
      <c r="A647" s="51"/>
      <c r="B647" s="51"/>
      <c r="C647" s="6"/>
      <c r="D647" s="49"/>
      <c r="E647" s="51"/>
      <c r="F647" s="6"/>
      <c r="G647" s="6"/>
      <c r="H647" s="6"/>
      <c r="I647" s="6"/>
      <c r="J647" s="6"/>
      <c r="K647" s="51"/>
      <c r="L647" s="51"/>
      <c r="M647" s="51"/>
      <c r="N647" s="51"/>
      <c r="O647" s="51"/>
      <c r="P647" s="51"/>
      <c r="Q647" s="51"/>
      <c r="R647" s="51"/>
      <c r="S647" s="51"/>
      <c r="T647" s="51"/>
      <c r="U647" s="51"/>
      <c r="V647" s="51"/>
      <c r="W647" s="51"/>
      <c r="X647" s="51"/>
      <c r="Y647" s="51"/>
      <c r="Z647" s="51"/>
      <c r="AA647" s="51"/>
      <c r="AB647" s="51"/>
    </row>
    <row r="648" customFormat="false" ht="15.75" hidden="false" customHeight="false" outlineLevel="0" collapsed="false">
      <c r="A648" s="51"/>
      <c r="B648" s="51"/>
      <c r="C648" s="6"/>
      <c r="D648" s="49"/>
      <c r="E648" s="51"/>
      <c r="F648" s="6"/>
      <c r="G648" s="6"/>
      <c r="H648" s="6"/>
      <c r="I648" s="6"/>
      <c r="J648" s="6"/>
      <c r="K648" s="51"/>
      <c r="L648" s="51"/>
      <c r="M648" s="51"/>
      <c r="N648" s="51"/>
      <c r="O648" s="51"/>
      <c r="P648" s="51"/>
      <c r="Q648" s="51"/>
      <c r="R648" s="51"/>
      <c r="S648" s="51"/>
      <c r="T648" s="51"/>
      <c r="U648" s="51"/>
      <c r="V648" s="51"/>
      <c r="W648" s="51"/>
      <c r="X648" s="51"/>
      <c r="Y648" s="51"/>
      <c r="Z648" s="51"/>
      <c r="AA648" s="51"/>
      <c r="AB648" s="51"/>
    </row>
    <row r="649" customFormat="false" ht="15.75" hidden="false" customHeight="false" outlineLevel="0" collapsed="false">
      <c r="A649" s="51"/>
      <c r="B649" s="51"/>
      <c r="C649" s="6"/>
      <c r="D649" s="49"/>
      <c r="E649" s="51"/>
      <c r="F649" s="6"/>
      <c r="G649" s="6"/>
      <c r="H649" s="6"/>
      <c r="I649" s="6"/>
      <c r="J649" s="6"/>
      <c r="K649" s="51"/>
      <c r="L649" s="51"/>
      <c r="M649" s="51"/>
      <c r="N649" s="51"/>
      <c r="O649" s="51"/>
      <c r="P649" s="51"/>
      <c r="Q649" s="51"/>
      <c r="R649" s="51"/>
      <c r="S649" s="51"/>
      <c r="T649" s="51"/>
      <c r="U649" s="51"/>
      <c r="V649" s="51"/>
      <c r="W649" s="51"/>
      <c r="X649" s="51"/>
      <c r="Y649" s="51"/>
      <c r="Z649" s="51"/>
      <c r="AA649" s="51"/>
      <c r="AB649" s="51"/>
    </row>
    <row r="650" customFormat="false" ht="15.75" hidden="false" customHeight="false" outlineLevel="0" collapsed="false">
      <c r="A650" s="51"/>
      <c r="B650" s="51"/>
      <c r="C650" s="6"/>
      <c r="D650" s="49"/>
      <c r="E650" s="51"/>
      <c r="F650" s="6"/>
      <c r="G650" s="6"/>
      <c r="H650" s="6"/>
      <c r="I650" s="6"/>
      <c r="J650" s="6"/>
      <c r="K650" s="51"/>
      <c r="L650" s="51"/>
      <c r="M650" s="51"/>
      <c r="N650" s="51"/>
      <c r="O650" s="51"/>
      <c r="P650" s="51"/>
      <c r="Q650" s="51"/>
      <c r="R650" s="51"/>
      <c r="S650" s="51"/>
      <c r="T650" s="51"/>
      <c r="U650" s="51"/>
      <c r="V650" s="51"/>
      <c r="W650" s="51"/>
      <c r="X650" s="51"/>
      <c r="Y650" s="51"/>
      <c r="Z650" s="51"/>
      <c r="AA650" s="51"/>
      <c r="AB650" s="51"/>
    </row>
    <row r="651" customFormat="false" ht="15.75" hidden="false" customHeight="false" outlineLevel="0" collapsed="false">
      <c r="A651" s="51"/>
      <c r="B651" s="51"/>
      <c r="C651" s="6"/>
      <c r="D651" s="49"/>
      <c r="E651" s="51"/>
      <c r="F651" s="6"/>
      <c r="G651" s="6"/>
      <c r="H651" s="6"/>
      <c r="I651" s="6"/>
      <c r="J651" s="6"/>
      <c r="K651" s="51"/>
      <c r="L651" s="51"/>
      <c r="M651" s="51"/>
      <c r="N651" s="51"/>
      <c r="O651" s="51"/>
      <c r="P651" s="51"/>
      <c r="Q651" s="51"/>
      <c r="R651" s="51"/>
      <c r="S651" s="51"/>
      <c r="T651" s="51"/>
      <c r="U651" s="51"/>
      <c r="V651" s="51"/>
      <c r="W651" s="51"/>
      <c r="X651" s="51"/>
      <c r="Y651" s="51"/>
      <c r="Z651" s="51"/>
      <c r="AA651" s="51"/>
      <c r="AB651" s="51"/>
    </row>
    <row r="652" customFormat="false" ht="15.75" hidden="false" customHeight="false" outlineLevel="0" collapsed="false">
      <c r="A652" s="51"/>
      <c r="B652" s="51"/>
      <c r="C652" s="6"/>
      <c r="D652" s="49"/>
      <c r="E652" s="51"/>
      <c r="F652" s="6"/>
      <c r="G652" s="6"/>
      <c r="H652" s="6"/>
      <c r="I652" s="6"/>
      <c r="J652" s="6"/>
      <c r="K652" s="51"/>
      <c r="L652" s="51"/>
      <c r="M652" s="51"/>
      <c r="N652" s="51"/>
      <c r="O652" s="51"/>
      <c r="P652" s="51"/>
      <c r="Q652" s="51"/>
      <c r="R652" s="51"/>
      <c r="S652" s="51"/>
      <c r="T652" s="51"/>
      <c r="U652" s="51"/>
      <c r="V652" s="51"/>
      <c r="W652" s="51"/>
      <c r="X652" s="51"/>
      <c r="Y652" s="51"/>
      <c r="Z652" s="51"/>
      <c r="AA652" s="51"/>
      <c r="AB652" s="51"/>
    </row>
    <row r="653" customFormat="false" ht="15.75" hidden="false" customHeight="false" outlineLevel="0" collapsed="false">
      <c r="A653" s="51"/>
      <c r="B653" s="51"/>
      <c r="C653" s="6"/>
      <c r="D653" s="49"/>
      <c r="E653" s="51"/>
      <c r="F653" s="6"/>
      <c r="G653" s="6"/>
      <c r="H653" s="6"/>
      <c r="I653" s="6"/>
      <c r="J653" s="6"/>
      <c r="K653" s="51"/>
      <c r="L653" s="51"/>
      <c r="M653" s="51"/>
      <c r="N653" s="51"/>
      <c r="O653" s="51"/>
      <c r="P653" s="51"/>
      <c r="Q653" s="51"/>
      <c r="R653" s="51"/>
      <c r="S653" s="51"/>
      <c r="T653" s="51"/>
      <c r="U653" s="51"/>
      <c r="V653" s="51"/>
      <c r="W653" s="51"/>
      <c r="X653" s="51"/>
      <c r="Y653" s="51"/>
      <c r="Z653" s="51"/>
      <c r="AA653" s="51"/>
      <c r="AB653" s="51"/>
    </row>
    <row r="654" customFormat="false" ht="15.75" hidden="false" customHeight="false" outlineLevel="0" collapsed="false">
      <c r="A654" s="51"/>
      <c r="B654" s="51"/>
      <c r="C654" s="6"/>
      <c r="D654" s="49"/>
      <c r="E654" s="51"/>
      <c r="F654" s="6"/>
      <c r="G654" s="6"/>
      <c r="H654" s="6"/>
      <c r="I654" s="6"/>
      <c r="J654" s="6"/>
      <c r="K654" s="51"/>
      <c r="L654" s="51"/>
      <c r="M654" s="51"/>
      <c r="N654" s="51"/>
      <c r="O654" s="51"/>
      <c r="P654" s="51"/>
      <c r="Q654" s="51"/>
      <c r="R654" s="51"/>
      <c r="S654" s="51"/>
      <c r="T654" s="51"/>
      <c r="U654" s="51"/>
      <c r="V654" s="51"/>
      <c r="W654" s="51"/>
      <c r="X654" s="51"/>
      <c r="Y654" s="51"/>
      <c r="Z654" s="51"/>
      <c r="AA654" s="51"/>
      <c r="AB654" s="51"/>
    </row>
    <row r="655" customFormat="false" ht="15.75" hidden="false" customHeight="false" outlineLevel="0" collapsed="false">
      <c r="A655" s="51"/>
      <c r="B655" s="51"/>
      <c r="C655" s="6"/>
      <c r="D655" s="49"/>
      <c r="E655" s="51"/>
      <c r="F655" s="6"/>
      <c r="G655" s="6"/>
      <c r="H655" s="6"/>
      <c r="I655" s="6"/>
      <c r="J655" s="6"/>
      <c r="K655" s="51"/>
      <c r="L655" s="51"/>
      <c r="M655" s="51"/>
      <c r="N655" s="51"/>
      <c r="O655" s="51"/>
      <c r="P655" s="51"/>
      <c r="Q655" s="51"/>
      <c r="R655" s="51"/>
      <c r="S655" s="51"/>
      <c r="T655" s="51"/>
      <c r="U655" s="51"/>
      <c r="V655" s="51"/>
      <c r="W655" s="51"/>
      <c r="X655" s="51"/>
      <c r="Y655" s="51"/>
      <c r="Z655" s="51"/>
      <c r="AA655" s="51"/>
      <c r="AB655" s="51"/>
    </row>
    <row r="656" customFormat="false" ht="15.75" hidden="false" customHeight="false" outlineLevel="0" collapsed="false">
      <c r="A656" s="51"/>
      <c r="B656" s="51"/>
      <c r="C656" s="6"/>
      <c r="D656" s="49"/>
      <c r="E656" s="51"/>
      <c r="F656" s="6"/>
      <c r="G656" s="6"/>
      <c r="H656" s="6"/>
      <c r="I656" s="6"/>
      <c r="J656" s="6"/>
      <c r="K656" s="51"/>
      <c r="L656" s="51"/>
      <c r="M656" s="51"/>
      <c r="N656" s="51"/>
      <c r="O656" s="51"/>
      <c r="P656" s="51"/>
      <c r="Q656" s="51"/>
      <c r="R656" s="51"/>
      <c r="S656" s="51"/>
      <c r="T656" s="51"/>
      <c r="U656" s="51"/>
      <c r="V656" s="51"/>
      <c r="W656" s="51"/>
      <c r="X656" s="51"/>
      <c r="Y656" s="51"/>
      <c r="Z656" s="51"/>
      <c r="AA656" s="51"/>
      <c r="AB656" s="51"/>
    </row>
    <row r="657" customFormat="false" ht="15.75" hidden="false" customHeight="false" outlineLevel="0" collapsed="false">
      <c r="A657" s="51"/>
      <c r="B657" s="51"/>
      <c r="C657" s="6"/>
      <c r="D657" s="49"/>
      <c r="E657" s="51"/>
      <c r="F657" s="6"/>
      <c r="G657" s="6"/>
      <c r="H657" s="6"/>
      <c r="I657" s="6"/>
      <c r="J657" s="6"/>
      <c r="K657" s="51"/>
      <c r="L657" s="51"/>
      <c r="M657" s="51"/>
      <c r="N657" s="51"/>
      <c r="O657" s="51"/>
      <c r="P657" s="51"/>
      <c r="Q657" s="51"/>
      <c r="R657" s="51"/>
      <c r="S657" s="51"/>
      <c r="T657" s="51"/>
      <c r="U657" s="51"/>
      <c r="V657" s="51"/>
      <c r="W657" s="51"/>
      <c r="X657" s="51"/>
      <c r="Y657" s="51"/>
      <c r="Z657" s="51"/>
      <c r="AA657" s="51"/>
      <c r="AB657" s="51"/>
    </row>
    <row r="658" customFormat="false" ht="15.75" hidden="false" customHeight="false" outlineLevel="0" collapsed="false">
      <c r="A658" s="51"/>
      <c r="B658" s="51"/>
      <c r="C658" s="6"/>
      <c r="D658" s="49"/>
      <c r="E658" s="51"/>
      <c r="F658" s="6"/>
      <c r="G658" s="6"/>
      <c r="H658" s="6"/>
      <c r="I658" s="6"/>
      <c r="J658" s="6"/>
      <c r="K658" s="51"/>
      <c r="L658" s="51"/>
      <c r="M658" s="51"/>
      <c r="N658" s="51"/>
      <c r="O658" s="51"/>
      <c r="P658" s="51"/>
      <c r="Q658" s="51"/>
      <c r="R658" s="51"/>
      <c r="S658" s="51"/>
      <c r="T658" s="51"/>
      <c r="U658" s="51"/>
      <c r="V658" s="51"/>
      <c r="W658" s="51"/>
      <c r="X658" s="51"/>
      <c r="Y658" s="51"/>
      <c r="Z658" s="51"/>
      <c r="AA658" s="51"/>
      <c r="AB658" s="51"/>
    </row>
    <row r="659" customFormat="false" ht="15.75" hidden="false" customHeight="false" outlineLevel="0" collapsed="false">
      <c r="A659" s="51"/>
      <c r="B659" s="51"/>
      <c r="C659" s="6"/>
      <c r="D659" s="49"/>
      <c r="E659" s="51"/>
      <c r="F659" s="6"/>
      <c r="G659" s="6"/>
      <c r="H659" s="6"/>
      <c r="I659" s="6"/>
      <c r="J659" s="6"/>
      <c r="K659" s="51"/>
      <c r="L659" s="51"/>
      <c r="M659" s="51"/>
      <c r="N659" s="51"/>
      <c r="O659" s="51"/>
      <c r="P659" s="51"/>
      <c r="Q659" s="51"/>
      <c r="R659" s="51"/>
      <c r="S659" s="51"/>
      <c r="T659" s="51"/>
      <c r="U659" s="51"/>
      <c r="V659" s="51"/>
      <c r="W659" s="51"/>
      <c r="X659" s="51"/>
      <c r="Y659" s="51"/>
      <c r="Z659" s="51"/>
      <c r="AA659" s="51"/>
      <c r="AB659" s="51"/>
    </row>
    <row r="660" customFormat="false" ht="15.75" hidden="false" customHeight="false" outlineLevel="0" collapsed="false">
      <c r="A660" s="51"/>
      <c r="B660" s="51"/>
      <c r="C660" s="6"/>
      <c r="D660" s="49"/>
      <c r="E660" s="51"/>
      <c r="F660" s="6"/>
      <c r="G660" s="6"/>
      <c r="H660" s="6"/>
      <c r="I660" s="6"/>
      <c r="J660" s="6"/>
      <c r="K660" s="51"/>
      <c r="L660" s="51"/>
      <c r="M660" s="51"/>
      <c r="N660" s="51"/>
      <c r="O660" s="51"/>
      <c r="P660" s="51"/>
      <c r="Q660" s="51"/>
      <c r="R660" s="51"/>
      <c r="S660" s="51"/>
      <c r="T660" s="51"/>
      <c r="U660" s="51"/>
      <c r="V660" s="51"/>
      <c r="W660" s="51"/>
      <c r="X660" s="51"/>
      <c r="Y660" s="51"/>
      <c r="Z660" s="51"/>
      <c r="AA660" s="51"/>
      <c r="AB660" s="51"/>
    </row>
    <row r="661" customFormat="false" ht="15.75" hidden="false" customHeight="false" outlineLevel="0" collapsed="false">
      <c r="A661" s="51"/>
      <c r="B661" s="51"/>
      <c r="C661" s="6"/>
      <c r="D661" s="49"/>
      <c r="E661" s="51"/>
      <c r="F661" s="6"/>
      <c r="G661" s="6"/>
      <c r="H661" s="6"/>
      <c r="I661" s="6"/>
      <c r="J661" s="6"/>
      <c r="K661" s="51"/>
      <c r="L661" s="51"/>
      <c r="M661" s="51"/>
      <c r="N661" s="51"/>
      <c r="O661" s="51"/>
      <c r="P661" s="51"/>
      <c r="Q661" s="51"/>
      <c r="R661" s="51"/>
      <c r="S661" s="51"/>
      <c r="T661" s="51"/>
      <c r="U661" s="51"/>
      <c r="V661" s="51"/>
      <c r="W661" s="51"/>
      <c r="X661" s="51"/>
      <c r="Y661" s="51"/>
      <c r="Z661" s="51"/>
      <c r="AA661" s="51"/>
      <c r="AB661" s="51"/>
    </row>
    <row r="662" customFormat="false" ht="15.75" hidden="false" customHeight="false" outlineLevel="0" collapsed="false">
      <c r="A662" s="51"/>
      <c r="B662" s="51"/>
      <c r="C662" s="6"/>
      <c r="D662" s="49"/>
      <c r="E662" s="51"/>
      <c r="F662" s="6"/>
      <c r="G662" s="6"/>
      <c r="H662" s="6"/>
      <c r="I662" s="6"/>
      <c r="J662" s="6"/>
      <c r="K662" s="51"/>
      <c r="L662" s="51"/>
      <c r="M662" s="51"/>
      <c r="N662" s="51"/>
      <c r="O662" s="51"/>
      <c r="P662" s="51"/>
      <c r="Q662" s="51"/>
      <c r="R662" s="51"/>
      <c r="S662" s="51"/>
      <c r="T662" s="51"/>
      <c r="U662" s="51"/>
      <c r="V662" s="51"/>
      <c r="W662" s="51"/>
      <c r="X662" s="51"/>
      <c r="Y662" s="51"/>
      <c r="Z662" s="51"/>
      <c r="AA662" s="51"/>
      <c r="AB662" s="51"/>
    </row>
    <row r="663" customFormat="false" ht="15.75" hidden="false" customHeight="false" outlineLevel="0" collapsed="false">
      <c r="A663" s="51"/>
      <c r="B663" s="51"/>
      <c r="C663" s="6"/>
      <c r="D663" s="49"/>
      <c r="E663" s="51"/>
      <c r="F663" s="6"/>
      <c r="G663" s="6"/>
      <c r="H663" s="6"/>
      <c r="I663" s="6"/>
      <c r="J663" s="6"/>
      <c r="K663" s="51"/>
      <c r="L663" s="51"/>
      <c r="M663" s="51"/>
      <c r="N663" s="51"/>
      <c r="O663" s="51"/>
      <c r="P663" s="51"/>
      <c r="Q663" s="51"/>
      <c r="R663" s="51"/>
      <c r="S663" s="51"/>
      <c r="T663" s="51"/>
      <c r="U663" s="51"/>
      <c r="V663" s="51"/>
      <c r="W663" s="51"/>
      <c r="X663" s="51"/>
      <c r="Y663" s="51"/>
      <c r="Z663" s="51"/>
      <c r="AA663" s="51"/>
      <c r="AB663" s="51"/>
    </row>
    <row r="664" customFormat="false" ht="15.75" hidden="false" customHeight="false" outlineLevel="0" collapsed="false">
      <c r="A664" s="51"/>
      <c r="B664" s="51"/>
      <c r="C664" s="6"/>
      <c r="D664" s="49"/>
      <c r="E664" s="51"/>
      <c r="F664" s="6"/>
      <c r="G664" s="6"/>
      <c r="H664" s="6"/>
      <c r="I664" s="6"/>
      <c r="J664" s="6"/>
      <c r="K664" s="51"/>
      <c r="L664" s="51"/>
      <c r="M664" s="51"/>
      <c r="N664" s="51"/>
      <c r="O664" s="51"/>
      <c r="P664" s="51"/>
      <c r="Q664" s="51"/>
      <c r="R664" s="51"/>
      <c r="S664" s="51"/>
      <c r="T664" s="51"/>
      <c r="U664" s="51"/>
      <c r="V664" s="51"/>
      <c r="W664" s="51"/>
      <c r="X664" s="51"/>
      <c r="Y664" s="51"/>
      <c r="Z664" s="51"/>
      <c r="AA664" s="51"/>
      <c r="AB664" s="51"/>
    </row>
    <row r="665" customFormat="false" ht="15.75" hidden="false" customHeight="false" outlineLevel="0" collapsed="false">
      <c r="A665" s="51"/>
      <c r="B665" s="51"/>
      <c r="C665" s="6"/>
      <c r="D665" s="49"/>
      <c r="E665" s="51"/>
      <c r="F665" s="6"/>
      <c r="G665" s="6"/>
      <c r="H665" s="6"/>
      <c r="I665" s="6"/>
      <c r="J665" s="6"/>
      <c r="K665" s="51"/>
      <c r="L665" s="51"/>
      <c r="M665" s="51"/>
      <c r="N665" s="51"/>
      <c r="O665" s="51"/>
      <c r="P665" s="51"/>
      <c r="Q665" s="51"/>
      <c r="R665" s="51"/>
      <c r="S665" s="51"/>
      <c r="T665" s="51"/>
      <c r="U665" s="51"/>
      <c r="V665" s="51"/>
      <c r="W665" s="51"/>
      <c r="X665" s="51"/>
      <c r="Y665" s="51"/>
      <c r="Z665" s="51"/>
      <c r="AA665" s="51"/>
      <c r="AB665" s="51"/>
    </row>
    <row r="666" customFormat="false" ht="15.75" hidden="false" customHeight="false" outlineLevel="0" collapsed="false">
      <c r="A666" s="51"/>
      <c r="B666" s="51"/>
      <c r="C666" s="6"/>
      <c r="D666" s="49"/>
      <c r="E666" s="51"/>
      <c r="F666" s="6"/>
      <c r="G666" s="6"/>
      <c r="H666" s="6"/>
      <c r="I666" s="6"/>
      <c r="J666" s="6"/>
      <c r="K666" s="51"/>
      <c r="L666" s="51"/>
      <c r="M666" s="51"/>
      <c r="N666" s="51"/>
      <c r="O666" s="51"/>
      <c r="P666" s="51"/>
      <c r="Q666" s="51"/>
      <c r="R666" s="51"/>
      <c r="S666" s="51"/>
      <c r="T666" s="51"/>
      <c r="U666" s="51"/>
      <c r="V666" s="51"/>
      <c r="W666" s="51"/>
      <c r="X666" s="51"/>
      <c r="Y666" s="51"/>
      <c r="Z666" s="51"/>
      <c r="AA666" s="51"/>
      <c r="AB666" s="51"/>
    </row>
    <row r="667" customFormat="false" ht="15.75" hidden="false" customHeight="false" outlineLevel="0" collapsed="false">
      <c r="A667" s="51"/>
      <c r="B667" s="51"/>
      <c r="C667" s="6"/>
      <c r="D667" s="49"/>
      <c r="E667" s="51"/>
      <c r="F667" s="6"/>
      <c r="G667" s="6"/>
      <c r="H667" s="6"/>
      <c r="I667" s="6"/>
      <c r="J667" s="6"/>
      <c r="K667" s="51"/>
      <c r="L667" s="51"/>
      <c r="M667" s="51"/>
      <c r="N667" s="51"/>
      <c r="O667" s="51"/>
      <c r="P667" s="51"/>
      <c r="Q667" s="51"/>
      <c r="R667" s="51"/>
      <c r="S667" s="51"/>
      <c r="T667" s="51"/>
      <c r="U667" s="51"/>
      <c r="V667" s="51"/>
      <c r="W667" s="51"/>
      <c r="X667" s="51"/>
      <c r="Y667" s="51"/>
      <c r="Z667" s="51"/>
      <c r="AA667" s="51"/>
      <c r="AB667" s="51"/>
    </row>
    <row r="668" customFormat="false" ht="15.75" hidden="false" customHeight="false" outlineLevel="0" collapsed="false">
      <c r="A668" s="51"/>
      <c r="B668" s="51"/>
      <c r="C668" s="6"/>
      <c r="D668" s="49"/>
      <c r="E668" s="51"/>
      <c r="F668" s="6"/>
      <c r="G668" s="6"/>
      <c r="H668" s="6"/>
      <c r="I668" s="6"/>
      <c r="J668" s="6"/>
      <c r="K668" s="51"/>
      <c r="L668" s="51"/>
      <c r="M668" s="51"/>
      <c r="N668" s="51"/>
      <c r="O668" s="51"/>
      <c r="P668" s="51"/>
      <c r="Q668" s="51"/>
      <c r="R668" s="51"/>
      <c r="S668" s="51"/>
      <c r="T668" s="51"/>
      <c r="U668" s="51"/>
      <c r="V668" s="51"/>
      <c r="W668" s="51"/>
      <c r="X668" s="51"/>
      <c r="Y668" s="51"/>
      <c r="Z668" s="51"/>
      <c r="AA668" s="51"/>
      <c r="AB668" s="51"/>
    </row>
    <row r="669" customFormat="false" ht="15.75" hidden="false" customHeight="false" outlineLevel="0" collapsed="false">
      <c r="A669" s="51"/>
      <c r="B669" s="51"/>
      <c r="C669" s="6"/>
      <c r="D669" s="49"/>
      <c r="E669" s="51"/>
      <c r="F669" s="6"/>
      <c r="G669" s="6"/>
      <c r="H669" s="6"/>
      <c r="I669" s="6"/>
      <c r="J669" s="6"/>
      <c r="K669" s="51"/>
      <c r="L669" s="51"/>
      <c r="M669" s="51"/>
      <c r="N669" s="51"/>
      <c r="O669" s="51"/>
      <c r="P669" s="51"/>
      <c r="Q669" s="51"/>
      <c r="R669" s="51"/>
      <c r="S669" s="51"/>
      <c r="T669" s="51"/>
      <c r="U669" s="51"/>
      <c r="V669" s="51"/>
      <c r="W669" s="51"/>
      <c r="X669" s="51"/>
      <c r="Y669" s="51"/>
      <c r="Z669" s="51"/>
      <c r="AA669" s="51"/>
      <c r="AB669" s="51"/>
    </row>
    <row r="670" customFormat="false" ht="15.75" hidden="false" customHeight="false" outlineLevel="0" collapsed="false">
      <c r="A670" s="51"/>
      <c r="B670" s="51"/>
      <c r="C670" s="6"/>
      <c r="D670" s="49"/>
      <c r="E670" s="51"/>
      <c r="F670" s="6"/>
      <c r="G670" s="6"/>
      <c r="H670" s="6"/>
      <c r="I670" s="6"/>
      <c r="J670" s="6"/>
      <c r="K670" s="51"/>
      <c r="L670" s="51"/>
      <c r="M670" s="51"/>
      <c r="N670" s="51"/>
      <c r="O670" s="51"/>
      <c r="P670" s="51"/>
      <c r="Q670" s="51"/>
      <c r="R670" s="51"/>
      <c r="S670" s="51"/>
      <c r="T670" s="51"/>
      <c r="U670" s="51"/>
      <c r="V670" s="51"/>
      <c r="W670" s="51"/>
      <c r="X670" s="51"/>
      <c r="Y670" s="51"/>
      <c r="Z670" s="51"/>
      <c r="AA670" s="51"/>
      <c r="AB670" s="51"/>
    </row>
    <row r="671" customFormat="false" ht="15.75" hidden="false" customHeight="false" outlineLevel="0" collapsed="false">
      <c r="A671" s="51"/>
      <c r="B671" s="51"/>
      <c r="C671" s="6"/>
      <c r="D671" s="49"/>
      <c r="E671" s="51"/>
      <c r="F671" s="6"/>
      <c r="G671" s="6"/>
      <c r="H671" s="6"/>
      <c r="I671" s="6"/>
      <c r="J671" s="6"/>
      <c r="K671" s="51"/>
      <c r="L671" s="51"/>
      <c r="M671" s="51"/>
      <c r="N671" s="51"/>
      <c r="O671" s="51"/>
      <c r="P671" s="51"/>
      <c r="Q671" s="51"/>
      <c r="R671" s="51"/>
      <c r="S671" s="51"/>
      <c r="T671" s="51"/>
      <c r="U671" s="51"/>
      <c r="V671" s="51"/>
      <c r="W671" s="51"/>
      <c r="X671" s="51"/>
      <c r="Y671" s="51"/>
      <c r="Z671" s="51"/>
      <c r="AA671" s="51"/>
      <c r="AB671" s="51"/>
    </row>
    <row r="672" customFormat="false" ht="15.75" hidden="false" customHeight="false" outlineLevel="0" collapsed="false">
      <c r="A672" s="51"/>
      <c r="B672" s="51"/>
      <c r="C672" s="6"/>
      <c r="D672" s="49"/>
      <c r="E672" s="51"/>
      <c r="F672" s="6"/>
      <c r="G672" s="6"/>
      <c r="H672" s="6"/>
      <c r="I672" s="6"/>
      <c r="J672" s="6"/>
      <c r="K672" s="51"/>
      <c r="L672" s="51"/>
      <c r="M672" s="51"/>
      <c r="N672" s="51"/>
      <c r="O672" s="51"/>
      <c r="P672" s="51"/>
      <c r="Q672" s="51"/>
      <c r="R672" s="51"/>
      <c r="S672" s="51"/>
      <c r="T672" s="51"/>
      <c r="U672" s="51"/>
      <c r="V672" s="51"/>
      <c r="W672" s="51"/>
      <c r="X672" s="51"/>
      <c r="Y672" s="51"/>
      <c r="Z672" s="51"/>
      <c r="AA672" s="51"/>
      <c r="AB672" s="51"/>
    </row>
    <row r="673" customFormat="false" ht="15.75" hidden="false" customHeight="false" outlineLevel="0" collapsed="false">
      <c r="A673" s="51"/>
      <c r="B673" s="51"/>
      <c r="C673" s="6"/>
      <c r="D673" s="49"/>
      <c r="E673" s="51"/>
      <c r="F673" s="6"/>
      <c r="G673" s="6"/>
      <c r="H673" s="6"/>
      <c r="I673" s="6"/>
      <c r="J673" s="6"/>
      <c r="K673" s="51"/>
      <c r="L673" s="51"/>
      <c r="M673" s="51"/>
      <c r="N673" s="51"/>
      <c r="O673" s="51"/>
      <c r="P673" s="51"/>
      <c r="Q673" s="51"/>
      <c r="R673" s="51"/>
      <c r="S673" s="51"/>
      <c r="T673" s="51"/>
      <c r="U673" s="51"/>
      <c r="V673" s="51"/>
      <c r="W673" s="51"/>
      <c r="X673" s="51"/>
      <c r="Y673" s="51"/>
      <c r="Z673" s="51"/>
      <c r="AA673" s="51"/>
      <c r="AB673" s="51"/>
    </row>
    <row r="674" customFormat="false" ht="15.75" hidden="false" customHeight="false" outlineLevel="0" collapsed="false">
      <c r="A674" s="51"/>
      <c r="B674" s="51"/>
      <c r="C674" s="6"/>
      <c r="D674" s="49"/>
      <c r="E674" s="51"/>
      <c r="F674" s="6"/>
      <c r="G674" s="6"/>
      <c r="H674" s="6"/>
      <c r="I674" s="6"/>
      <c r="J674" s="6"/>
      <c r="K674" s="51"/>
      <c r="L674" s="51"/>
      <c r="M674" s="51"/>
      <c r="N674" s="51"/>
      <c r="O674" s="51"/>
      <c r="P674" s="51"/>
      <c r="Q674" s="51"/>
      <c r="R674" s="51"/>
      <c r="S674" s="51"/>
      <c r="T674" s="51"/>
      <c r="U674" s="51"/>
      <c r="V674" s="51"/>
      <c r="W674" s="51"/>
      <c r="X674" s="51"/>
      <c r="Y674" s="51"/>
      <c r="Z674" s="51"/>
      <c r="AA674" s="51"/>
      <c r="AB674" s="51"/>
    </row>
    <row r="675" customFormat="false" ht="15.75" hidden="false" customHeight="false" outlineLevel="0" collapsed="false">
      <c r="A675" s="51"/>
      <c r="B675" s="51"/>
      <c r="C675" s="6"/>
      <c r="D675" s="49"/>
      <c r="E675" s="51"/>
      <c r="F675" s="6"/>
      <c r="G675" s="6"/>
      <c r="H675" s="6"/>
      <c r="I675" s="6"/>
      <c r="J675" s="6"/>
      <c r="K675" s="51"/>
      <c r="L675" s="51"/>
      <c r="M675" s="51"/>
      <c r="N675" s="51"/>
      <c r="O675" s="51"/>
      <c r="P675" s="51"/>
      <c r="Q675" s="51"/>
      <c r="R675" s="51"/>
      <c r="S675" s="51"/>
      <c r="T675" s="51"/>
      <c r="U675" s="51"/>
      <c r="V675" s="51"/>
      <c r="W675" s="51"/>
      <c r="X675" s="51"/>
      <c r="Y675" s="51"/>
      <c r="Z675" s="51"/>
      <c r="AA675" s="51"/>
      <c r="AB675" s="51"/>
    </row>
    <row r="676" customFormat="false" ht="15.75" hidden="false" customHeight="false" outlineLevel="0" collapsed="false">
      <c r="A676" s="51"/>
      <c r="B676" s="51"/>
      <c r="C676" s="6"/>
      <c r="D676" s="49"/>
      <c r="E676" s="51"/>
      <c r="F676" s="6"/>
      <c r="G676" s="6"/>
      <c r="H676" s="6"/>
      <c r="I676" s="6"/>
      <c r="J676" s="6"/>
      <c r="K676" s="51"/>
      <c r="L676" s="51"/>
      <c r="M676" s="51"/>
      <c r="N676" s="51"/>
      <c r="O676" s="51"/>
      <c r="P676" s="51"/>
      <c r="Q676" s="51"/>
      <c r="R676" s="51"/>
      <c r="S676" s="51"/>
      <c r="T676" s="51"/>
      <c r="U676" s="51"/>
      <c r="V676" s="51"/>
      <c r="W676" s="51"/>
      <c r="X676" s="51"/>
      <c r="Y676" s="51"/>
      <c r="Z676" s="51"/>
      <c r="AA676" s="51"/>
      <c r="AB676" s="51"/>
    </row>
    <row r="677" customFormat="false" ht="15.75" hidden="false" customHeight="false" outlineLevel="0" collapsed="false">
      <c r="A677" s="51"/>
      <c r="B677" s="51"/>
      <c r="C677" s="6"/>
      <c r="D677" s="49"/>
      <c r="E677" s="51"/>
      <c r="F677" s="6"/>
      <c r="G677" s="6"/>
      <c r="H677" s="6"/>
      <c r="I677" s="6"/>
      <c r="J677" s="6"/>
      <c r="K677" s="51"/>
      <c r="L677" s="51"/>
      <c r="M677" s="51"/>
      <c r="N677" s="51"/>
      <c r="O677" s="51"/>
      <c r="P677" s="51"/>
      <c r="Q677" s="51"/>
      <c r="R677" s="51"/>
      <c r="S677" s="51"/>
      <c r="T677" s="51"/>
      <c r="U677" s="51"/>
      <c r="V677" s="51"/>
      <c r="W677" s="51"/>
      <c r="X677" s="51"/>
      <c r="Y677" s="51"/>
      <c r="Z677" s="51"/>
      <c r="AA677" s="51"/>
      <c r="AB677" s="51"/>
    </row>
    <row r="678" customFormat="false" ht="15.75" hidden="false" customHeight="false" outlineLevel="0" collapsed="false">
      <c r="A678" s="51"/>
      <c r="B678" s="51"/>
      <c r="C678" s="6"/>
      <c r="D678" s="49"/>
      <c r="E678" s="51"/>
      <c r="F678" s="6"/>
      <c r="G678" s="6"/>
      <c r="H678" s="6"/>
      <c r="I678" s="6"/>
      <c r="J678" s="6"/>
      <c r="K678" s="51"/>
      <c r="L678" s="51"/>
      <c r="M678" s="51"/>
      <c r="N678" s="51"/>
      <c r="O678" s="51"/>
      <c r="P678" s="51"/>
      <c r="Q678" s="51"/>
      <c r="R678" s="51"/>
      <c r="S678" s="51"/>
      <c r="T678" s="51"/>
      <c r="U678" s="51"/>
      <c r="V678" s="51"/>
      <c r="W678" s="51"/>
      <c r="X678" s="51"/>
      <c r="Y678" s="51"/>
      <c r="Z678" s="51"/>
      <c r="AA678" s="51"/>
      <c r="AB678" s="51"/>
    </row>
    <row r="679" customFormat="false" ht="15.75" hidden="false" customHeight="false" outlineLevel="0" collapsed="false">
      <c r="A679" s="51"/>
      <c r="B679" s="51"/>
      <c r="C679" s="6"/>
      <c r="D679" s="49"/>
      <c r="E679" s="51"/>
      <c r="F679" s="6"/>
      <c r="G679" s="6"/>
      <c r="H679" s="6"/>
      <c r="I679" s="6"/>
      <c r="J679" s="6"/>
      <c r="K679" s="51"/>
      <c r="L679" s="51"/>
      <c r="M679" s="51"/>
      <c r="N679" s="51"/>
      <c r="O679" s="51"/>
      <c r="P679" s="51"/>
      <c r="Q679" s="51"/>
      <c r="R679" s="51"/>
      <c r="S679" s="51"/>
      <c r="T679" s="51"/>
      <c r="U679" s="51"/>
      <c r="V679" s="51"/>
      <c r="W679" s="51"/>
      <c r="X679" s="51"/>
      <c r="Y679" s="51"/>
      <c r="Z679" s="51"/>
      <c r="AA679" s="51"/>
      <c r="AB679" s="51"/>
    </row>
    <row r="680" customFormat="false" ht="15.75" hidden="false" customHeight="false" outlineLevel="0" collapsed="false">
      <c r="A680" s="51"/>
      <c r="B680" s="51"/>
      <c r="C680" s="6"/>
      <c r="D680" s="49"/>
      <c r="E680" s="51"/>
      <c r="F680" s="6"/>
      <c r="G680" s="6"/>
      <c r="H680" s="6"/>
      <c r="I680" s="6"/>
      <c r="J680" s="6"/>
      <c r="K680" s="51"/>
      <c r="L680" s="51"/>
      <c r="M680" s="51"/>
      <c r="N680" s="51"/>
      <c r="O680" s="51"/>
      <c r="P680" s="51"/>
      <c r="Q680" s="51"/>
      <c r="R680" s="51"/>
      <c r="S680" s="51"/>
      <c r="T680" s="51"/>
      <c r="U680" s="51"/>
      <c r="V680" s="51"/>
      <c r="W680" s="51"/>
      <c r="X680" s="51"/>
      <c r="Y680" s="51"/>
      <c r="Z680" s="51"/>
      <c r="AA680" s="51"/>
      <c r="AB680" s="51"/>
    </row>
    <row r="681" customFormat="false" ht="15.75" hidden="false" customHeight="false" outlineLevel="0" collapsed="false">
      <c r="A681" s="51"/>
      <c r="B681" s="51"/>
      <c r="C681" s="6"/>
      <c r="D681" s="49"/>
      <c r="E681" s="51"/>
      <c r="F681" s="6"/>
      <c r="G681" s="6"/>
      <c r="H681" s="6"/>
      <c r="I681" s="6"/>
      <c r="J681" s="6"/>
      <c r="K681" s="51"/>
      <c r="L681" s="51"/>
      <c r="M681" s="51"/>
      <c r="N681" s="51"/>
      <c r="O681" s="51"/>
      <c r="P681" s="51"/>
      <c r="Q681" s="51"/>
      <c r="R681" s="51"/>
      <c r="S681" s="51"/>
      <c r="T681" s="51"/>
      <c r="U681" s="51"/>
      <c r="V681" s="51"/>
      <c r="W681" s="51"/>
      <c r="X681" s="51"/>
      <c r="Y681" s="51"/>
      <c r="Z681" s="51"/>
      <c r="AA681" s="51"/>
      <c r="AB681" s="51"/>
    </row>
    <row r="682" customFormat="false" ht="15.75" hidden="false" customHeight="false" outlineLevel="0" collapsed="false">
      <c r="A682" s="51"/>
      <c r="B682" s="51"/>
      <c r="C682" s="6"/>
      <c r="D682" s="49"/>
      <c r="E682" s="51"/>
      <c r="F682" s="6"/>
      <c r="G682" s="6"/>
      <c r="H682" s="6"/>
      <c r="I682" s="6"/>
      <c r="J682" s="6"/>
      <c r="K682" s="51"/>
      <c r="L682" s="51"/>
      <c r="M682" s="51"/>
      <c r="N682" s="51"/>
      <c r="O682" s="51"/>
      <c r="P682" s="51"/>
      <c r="Q682" s="51"/>
      <c r="R682" s="51"/>
      <c r="S682" s="51"/>
      <c r="T682" s="51"/>
      <c r="U682" s="51"/>
      <c r="V682" s="51"/>
      <c r="W682" s="51"/>
      <c r="X682" s="51"/>
      <c r="Y682" s="51"/>
      <c r="Z682" s="51"/>
      <c r="AA682" s="51"/>
      <c r="AB682" s="51"/>
    </row>
    <row r="683" customFormat="false" ht="15.75" hidden="false" customHeight="false" outlineLevel="0" collapsed="false">
      <c r="A683" s="51"/>
      <c r="B683" s="51"/>
      <c r="C683" s="6"/>
      <c r="D683" s="49"/>
      <c r="E683" s="51"/>
      <c r="F683" s="6"/>
      <c r="G683" s="6"/>
      <c r="H683" s="6"/>
      <c r="I683" s="6"/>
      <c r="J683" s="6"/>
      <c r="K683" s="51"/>
      <c r="L683" s="51"/>
      <c r="M683" s="51"/>
      <c r="N683" s="51"/>
      <c r="O683" s="51"/>
      <c r="P683" s="51"/>
      <c r="Q683" s="51"/>
      <c r="R683" s="51"/>
      <c r="S683" s="51"/>
      <c r="T683" s="51"/>
      <c r="U683" s="51"/>
      <c r="V683" s="51"/>
      <c r="W683" s="51"/>
      <c r="X683" s="51"/>
      <c r="Y683" s="51"/>
      <c r="Z683" s="51"/>
      <c r="AA683" s="51"/>
      <c r="AB683" s="51"/>
    </row>
    <row r="684" customFormat="false" ht="15.75" hidden="false" customHeight="false" outlineLevel="0" collapsed="false">
      <c r="A684" s="51"/>
      <c r="B684" s="51"/>
      <c r="C684" s="6"/>
      <c r="D684" s="49"/>
      <c r="E684" s="51"/>
      <c r="F684" s="6"/>
      <c r="G684" s="6"/>
      <c r="H684" s="6"/>
      <c r="I684" s="6"/>
      <c r="J684" s="6"/>
      <c r="K684" s="51"/>
      <c r="L684" s="51"/>
      <c r="M684" s="51"/>
      <c r="N684" s="51"/>
      <c r="O684" s="51"/>
      <c r="P684" s="51"/>
      <c r="Q684" s="51"/>
      <c r="R684" s="51"/>
      <c r="S684" s="51"/>
      <c r="T684" s="51"/>
      <c r="U684" s="51"/>
      <c r="V684" s="51"/>
      <c r="W684" s="51"/>
      <c r="X684" s="51"/>
      <c r="Y684" s="51"/>
      <c r="Z684" s="51"/>
      <c r="AA684" s="51"/>
      <c r="AB684" s="51"/>
    </row>
    <row r="685" customFormat="false" ht="15.75" hidden="false" customHeight="false" outlineLevel="0" collapsed="false">
      <c r="A685" s="51"/>
      <c r="B685" s="51"/>
      <c r="C685" s="6"/>
      <c r="D685" s="49"/>
      <c r="E685" s="51"/>
      <c r="F685" s="6"/>
      <c r="G685" s="6"/>
      <c r="H685" s="6"/>
      <c r="I685" s="6"/>
      <c r="J685" s="6"/>
      <c r="K685" s="51"/>
      <c r="L685" s="51"/>
      <c r="M685" s="51"/>
      <c r="N685" s="51"/>
      <c r="O685" s="51"/>
      <c r="P685" s="51"/>
      <c r="Q685" s="51"/>
      <c r="R685" s="51"/>
      <c r="S685" s="51"/>
      <c r="T685" s="51"/>
      <c r="U685" s="51"/>
      <c r="V685" s="51"/>
      <c r="W685" s="51"/>
      <c r="X685" s="51"/>
      <c r="Y685" s="51"/>
      <c r="Z685" s="51"/>
      <c r="AA685" s="51"/>
      <c r="AB685" s="51"/>
    </row>
    <row r="686" customFormat="false" ht="15.75" hidden="false" customHeight="false" outlineLevel="0" collapsed="false">
      <c r="A686" s="51"/>
      <c r="B686" s="51"/>
      <c r="C686" s="6"/>
      <c r="D686" s="49"/>
      <c r="E686" s="51"/>
      <c r="F686" s="6"/>
      <c r="G686" s="6"/>
      <c r="H686" s="6"/>
      <c r="I686" s="6"/>
      <c r="J686" s="6"/>
      <c r="K686" s="51"/>
      <c r="L686" s="51"/>
      <c r="M686" s="51"/>
      <c r="N686" s="51"/>
      <c r="O686" s="51"/>
      <c r="P686" s="51"/>
      <c r="Q686" s="51"/>
      <c r="R686" s="51"/>
      <c r="S686" s="51"/>
      <c r="T686" s="51"/>
      <c r="U686" s="51"/>
      <c r="V686" s="51"/>
      <c r="W686" s="51"/>
      <c r="X686" s="51"/>
      <c r="Y686" s="51"/>
      <c r="Z686" s="51"/>
      <c r="AA686" s="51"/>
      <c r="AB686" s="51"/>
    </row>
    <row r="687" customFormat="false" ht="15.75" hidden="false" customHeight="false" outlineLevel="0" collapsed="false">
      <c r="A687" s="51"/>
      <c r="B687" s="51"/>
      <c r="C687" s="6"/>
      <c r="D687" s="49"/>
      <c r="E687" s="51"/>
      <c r="F687" s="6"/>
      <c r="G687" s="6"/>
      <c r="H687" s="6"/>
      <c r="I687" s="6"/>
      <c r="J687" s="6"/>
      <c r="K687" s="51"/>
      <c r="L687" s="51"/>
      <c r="M687" s="51"/>
      <c r="N687" s="51"/>
      <c r="O687" s="51"/>
      <c r="P687" s="51"/>
      <c r="Q687" s="51"/>
      <c r="R687" s="51"/>
      <c r="S687" s="51"/>
      <c r="T687" s="51"/>
      <c r="U687" s="51"/>
      <c r="V687" s="51"/>
      <c r="W687" s="51"/>
      <c r="X687" s="51"/>
      <c r="Y687" s="51"/>
      <c r="Z687" s="51"/>
      <c r="AA687" s="51"/>
      <c r="AB687" s="51"/>
    </row>
    <row r="688" customFormat="false" ht="15.75" hidden="false" customHeight="false" outlineLevel="0" collapsed="false">
      <c r="A688" s="51"/>
      <c r="B688" s="51"/>
      <c r="C688" s="6"/>
      <c r="D688" s="49"/>
      <c r="E688" s="51"/>
      <c r="F688" s="6"/>
      <c r="G688" s="6"/>
      <c r="H688" s="6"/>
      <c r="I688" s="6"/>
      <c r="J688" s="6"/>
      <c r="K688" s="51"/>
      <c r="L688" s="51"/>
      <c r="M688" s="51"/>
      <c r="N688" s="51"/>
      <c r="O688" s="51"/>
      <c r="P688" s="51"/>
      <c r="Q688" s="51"/>
      <c r="R688" s="51"/>
      <c r="S688" s="51"/>
      <c r="T688" s="51"/>
      <c r="U688" s="51"/>
      <c r="V688" s="51"/>
      <c r="W688" s="51"/>
      <c r="X688" s="51"/>
      <c r="Y688" s="51"/>
      <c r="Z688" s="51"/>
      <c r="AA688" s="51"/>
      <c r="AB688" s="51"/>
    </row>
    <row r="689" customFormat="false" ht="15.75" hidden="false" customHeight="false" outlineLevel="0" collapsed="false">
      <c r="A689" s="51"/>
      <c r="B689" s="51"/>
      <c r="C689" s="6"/>
      <c r="D689" s="49"/>
      <c r="E689" s="51"/>
      <c r="F689" s="6"/>
      <c r="G689" s="6"/>
      <c r="H689" s="6"/>
      <c r="I689" s="6"/>
      <c r="J689" s="6"/>
      <c r="K689" s="51"/>
      <c r="L689" s="51"/>
      <c r="M689" s="51"/>
      <c r="N689" s="51"/>
      <c r="O689" s="51"/>
      <c r="P689" s="51"/>
      <c r="Q689" s="51"/>
      <c r="R689" s="51"/>
      <c r="S689" s="51"/>
      <c r="T689" s="51"/>
      <c r="U689" s="51"/>
      <c r="V689" s="51"/>
      <c r="W689" s="51"/>
      <c r="X689" s="51"/>
      <c r="Y689" s="51"/>
      <c r="Z689" s="51"/>
      <c r="AA689" s="51"/>
      <c r="AB689" s="51"/>
    </row>
    <row r="690" customFormat="false" ht="15.75" hidden="false" customHeight="false" outlineLevel="0" collapsed="false">
      <c r="A690" s="51"/>
      <c r="B690" s="51"/>
      <c r="C690" s="6"/>
      <c r="D690" s="49"/>
      <c r="E690" s="51"/>
      <c r="F690" s="6"/>
      <c r="G690" s="6"/>
      <c r="H690" s="6"/>
      <c r="I690" s="6"/>
      <c r="J690" s="6"/>
      <c r="K690" s="51"/>
      <c r="L690" s="51"/>
      <c r="M690" s="51"/>
      <c r="N690" s="51"/>
      <c r="O690" s="51"/>
      <c r="P690" s="51"/>
      <c r="Q690" s="51"/>
      <c r="R690" s="51"/>
      <c r="S690" s="51"/>
      <c r="T690" s="51"/>
      <c r="U690" s="51"/>
      <c r="V690" s="51"/>
      <c r="W690" s="51"/>
      <c r="X690" s="51"/>
      <c r="Y690" s="51"/>
      <c r="Z690" s="51"/>
      <c r="AA690" s="51"/>
      <c r="AB690" s="51"/>
    </row>
    <row r="691" customFormat="false" ht="15.75" hidden="false" customHeight="false" outlineLevel="0" collapsed="false">
      <c r="A691" s="51"/>
      <c r="B691" s="51"/>
      <c r="C691" s="6"/>
      <c r="D691" s="49"/>
      <c r="E691" s="51"/>
      <c r="F691" s="6"/>
      <c r="G691" s="6"/>
      <c r="H691" s="6"/>
      <c r="I691" s="6"/>
      <c r="J691" s="6"/>
      <c r="K691" s="51"/>
      <c r="L691" s="51"/>
      <c r="M691" s="51"/>
      <c r="N691" s="51"/>
      <c r="O691" s="51"/>
      <c r="P691" s="51"/>
      <c r="Q691" s="51"/>
      <c r="R691" s="51"/>
      <c r="S691" s="51"/>
      <c r="T691" s="51"/>
      <c r="U691" s="51"/>
      <c r="V691" s="51"/>
      <c r="W691" s="51"/>
      <c r="X691" s="51"/>
      <c r="Y691" s="51"/>
      <c r="Z691" s="51"/>
      <c r="AA691" s="51"/>
      <c r="AB691" s="51"/>
    </row>
    <row r="692" customFormat="false" ht="15.75" hidden="false" customHeight="false" outlineLevel="0" collapsed="false">
      <c r="A692" s="51"/>
      <c r="B692" s="51"/>
      <c r="C692" s="6"/>
      <c r="D692" s="49"/>
      <c r="E692" s="51"/>
      <c r="F692" s="6"/>
      <c r="G692" s="6"/>
      <c r="H692" s="6"/>
      <c r="I692" s="6"/>
      <c r="J692" s="6"/>
      <c r="K692" s="51"/>
      <c r="L692" s="51"/>
      <c r="M692" s="51"/>
      <c r="N692" s="51"/>
      <c r="O692" s="51"/>
      <c r="P692" s="51"/>
      <c r="Q692" s="51"/>
      <c r="R692" s="51"/>
      <c r="S692" s="51"/>
      <c r="T692" s="51"/>
      <c r="U692" s="51"/>
      <c r="V692" s="51"/>
      <c r="W692" s="51"/>
      <c r="X692" s="51"/>
      <c r="Y692" s="51"/>
      <c r="Z692" s="51"/>
      <c r="AA692" s="51"/>
      <c r="AB692" s="51"/>
    </row>
    <row r="693" customFormat="false" ht="15.75" hidden="false" customHeight="false" outlineLevel="0" collapsed="false">
      <c r="A693" s="51"/>
      <c r="B693" s="51"/>
      <c r="C693" s="6"/>
      <c r="D693" s="49"/>
      <c r="E693" s="51"/>
      <c r="F693" s="6"/>
      <c r="G693" s="6"/>
      <c r="H693" s="6"/>
      <c r="I693" s="6"/>
      <c r="J693" s="6"/>
      <c r="K693" s="51"/>
      <c r="L693" s="51"/>
      <c r="M693" s="51"/>
      <c r="N693" s="51"/>
      <c r="O693" s="51"/>
      <c r="P693" s="51"/>
      <c r="Q693" s="51"/>
      <c r="R693" s="51"/>
      <c r="S693" s="51"/>
      <c r="T693" s="51"/>
      <c r="U693" s="51"/>
      <c r="V693" s="51"/>
      <c r="W693" s="51"/>
      <c r="X693" s="51"/>
      <c r="Y693" s="51"/>
      <c r="Z693" s="51"/>
      <c r="AA693" s="51"/>
      <c r="AB693" s="51"/>
    </row>
    <row r="694" customFormat="false" ht="15.75" hidden="false" customHeight="false" outlineLevel="0" collapsed="false">
      <c r="A694" s="51"/>
      <c r="B694" s="51"/>
      <c r="C694" s="6"/>
      <c r="D694" s="49"/>
      <c r="E694" s="51"/>
      <c r="F694" s="6"/>
      <c r="G694" s="6"/>
      <c r="H694" s="6"/>
      <c r="I694" s="6"/>
      <c r="J694" s="6"/>
      <c r="K694" s="51"/>
      <c r="L694" s="51"/>
      <c r="M694" s="51"/>
      <c r="N694" s="51"/>
      <c r="O694" s="51"/>
      <c r="P694" s="51"/>
      <c r="Q694" s="51"/>
      <c r="R694" s="51"/>
      <c r="S694" s="51"/>
      <c r="T694" s="51"/>
      <c r="U694" s="51"/>
      <c r="V694" s="51"/>
      <c r="W694" s="51"/>
      <c r="X694" s="51"/>
      <c r="Y694" s="51"/>
      <c r="Z694" s="51"/>
      <c r="AA694" s="51"/>
      <c r="AB694" s="51"/>
    </row>
    <row r="695" customFormat="false" ht="15.75" hidden="false" customHeight="false" outlineLevel="0" collapsed="false">
      <c r="A695" s="51"/>
      <c r="B695" s="51"/>
      <c r="C695" s="6"/>
      <c r="D695" s="49"/>
      <c r="E695" s="51"/>
      <c r="F695" s="6"/>
      <c r="G695" s="6"/>
      <c r="H695" s="6"/>
      <c r="I695" s="6"/>
      <c r="J695" s="6"/>
      <c r="K695" s="51"/>
      <c r="L695" s="51"/>
      <c r="M695" s="51"/>
      <c r="N695" s="51"/>
      <c r="O695" s="51"/>
      <c r="P695" s="51"/>
      <c r="Q695" s="51"/>
      <c r="R695" s="51"/>
      <c r="S695" s="51"/>
      <c r="T695" s="51"/>
      <c r="U695" s="51"/>
      <c r="V695" s="51"/>
      <c r="W695" s="51"/>
      <c r="X695" s="51"/>
      <c r="Y695" s="51"/>
      <c r="Z695" s="51"/>
      <c r="AA695" s="51"/>
      <c r="AB695" s="51"/>
    </row>
    <row r="696" customFormat="false" ht="15.75" hidden="false" customHeight="false" outlineLevel="0" collapsed="false">
      <c r="A696" s="51"/>
      <c r="B696" s="51"/>
      <c r="C696" s="6"/>
      <c r="D696" s="49"/>
      <c r="E696" s="51"/>
      <c r="F696" s="6"/>
      <c r="G696" s="6"/>
      <c r="H696" s="6"/>
      <c r="I696" s="6"/>
      <c r="J696" s="6"/>
      <c r="K696" s="51"/>
      <c r="L696" s="51"/>
      <c r="M696" s="51"/>
      <c r="N696" s="51"/>
      <c r="O696" s="51"/>
      <c r="P696" s="51"/>
      <c r="Q696" s="51"/>
      <c r="R696" s="51"/>
      <c r="S696" s="51"/>
      <c r="T696" s="51"/>
      <c r="U696" s="51"/>
      <c r="V696" s="51"/>
      <c r="W696" s="51"/>
      <c r="X696" s="51"/>
      <c r="Y696" s="51"/>
      <c r="Z696" s="51"/>
      <c r="AA696" s="51"/>
      <c r="AB696" s="51"/>
    </row>
    <row r="697" customFormat="false" ht="15.75" hidden="false" customHeight="false" outlineLevel="0" collapsed="false">
      <c r="A697" s="51"/>
      <c r="B697" s="51"/>
      <c r="C697" s="6"/>
      <c r="D697" s="49"/>
      <c r="E697" s="51"/>
      <c r="F697" s="6"/>
      <c r="G697" s="6"/>
      <c r="H697" s="6"/>
      <c r="I697" s="6"/>
      <c r="J697" s="6"/>
      <c r="K697" s="51"/>
      <c r="L697" s="51"/>
      <c r="M697" s="51"/>
      <c r="N697" s="51"/>
      <c r="O697" s="51"/>
      <c r="P697" s="51"/>
      <c r="Q697" s="51"/>
      <c r="R697" s="51"/>
      <c r="S697" s="51"/>
      <c r="T697" s="51"/>
      <c r="U697" s="51"/>
      <c r="V697" s="51"/>
      <c r="W697" s="51"/>
      <c r="X697" s="51"/>
      <c r="Y697" s="51"/>
      <c r="Z697" s="51"/>
      <c r="AA697" s="51"/>
      <c r="AB697" s="51"/>
    </row>
    <row r="698" customFormat="false" ht="15.75" hidden="false" customHeight="false" outlineLevel="0" collapsed="false">
      <c r="A698" s="51"/>
      <c r="B698" s="51"/>
      <c r="C698" s="6"/>
      <c r="D698" s="49"/>
      <c r="E698" s="51"/>
      <c r="F698" s="6"/>
      <c r="G698" s="6"/>
      <c r="H698" s="6"/>
      <c r="I698" s="6"/>
      <c r="J698" s="6"/>
      <c r="K698" s="51"/>
      <c r="L698" s="51"/>
      <c r="M698" s="51"/>
      <c r="N698" s="51"/>
      <c r="O698" s="51"/>
      <c r="P698" s="51"/>
      <c r="Q698" s="51"/>
      <c r="R698" s="51"/>
      <c r="S698" s="51"/>
      <c r="T698" s="51"/>
      <c r="U698" s="51"/>
      <c r="V698" s="51"/>
      <c r="W698" s="51"/>
      <c r="X698" s="51"/>
      <c r="Y698" s="51"/>
      <c r="Z698" s="51"/>
      <c r="AA698" s="51"/>
      <c r="AB698" s="51"/>
    </row>
    <row r="699" customFormat="false" ht="15.75" hidden="false" customHeight="false" outlineLevel="0" collapsed="false">
      <c r="A699" s="51"/>
      <c r="B699" s="51"/>
      <c r="C699" s="6"/>
      <c r="D699" s="49"/>
      <c r="E699" s="51"/>
      <c r="F699" s="6"/>
      <c r="G699" s="6"/>
      <c r="H699" s="6"/>
      <c r="I699" s="6"/>
      <c r="J699" s="6"/>
      <c r="K699" s="51"/>
      <c r="L699" s="51"/>
      <c r="M699" s="51"/>
      <c r="N699" s="51"/>
      <c r="O699" s="51"/>
      <c r="P699" s="51"/>
      <c r="Q699" s="51"/>
      <c r="R699" s="51"/>
      <c r="S699" s="51"/>
      <c r="T699" s="51"/>
      <c r="U699" s="51"/>
      <c r="V699" s="51"/>
      <c r="W699" s="51"/>
      <c r="X699" s="51"/>
      <c r="Y699" s="51"/>
      <c r="Z699" s="51"/>
      <c r="AA699" s="51"/>
      <c r="AB699" s="51"/>
    </row>
    <row r="700" customFormat="false" ht="15.75" hidden="false" customHeight="false" outlineLevel="0" collapsed="false">
      <c r="A700" s="51"/>
      <c r="B700" s="51"/>
      <c r="C700" s="6"/>
      <c r="D700" s="49"/>
      <c r="E700" s="51"/>
      <c r="F700" s="6"/>
      <c r="G700" s="6"/>
      <c r="H700" s="6"/>
      <c r="I700" s="6"/>
      <c r="J700" s="6"/>
      <c r="K700" s="51"/>
      <c r="L700" s="51"/>
      <c r="M700" s="51"/>
      <c r="N700" s="51"/>
      <c r="O700" s="51"/>
      <c r="P700" s="51"/>
      <c r="Q700" s="51"/>
      <c r="R700" s="51"/>
      <c r="S700" s="51"/>
      <c r="T700" s="51"/>
      <c r="U700" s="51"/>
      <c r="V700" s="51"/>
      <c r="W700" s="51"/>
      <c r="X700" s="51"/>
      <c r="Y700" s="51"/>
      <c r="Z700" s="51"/>
      <c r="AA700" s="51"/>
      <c r="AB700" s="51"/>
    </row>
    <row r="701" customFormat="false" ht="15.75" hidden="false" customHeight="false" outlineLevel="0" collapsed="false">
      <c r="A701" s="51"/>
      <c r="B701" s="51"/>
      <c r="C701" s="6"/>
      <c r="D701" s="49"/>
      <c r="E701" s="51"/>
      <c r="F701" s="6"/>
      <c r="G701" s="6"/>
      <c r="H701" s="6"/>
      <c r="I701" s="6"/>
      <c r="J701" s="6"/>
      <c r="K701" s="51"/>
      <c r="L701" s="51"/>
      <c r="M701" s="51"/>
      <c r="N701" s="51"/>
      <c r="O701" s="51"/>
      <c r="P701" s="51"/>
      <c r="Q701" s="51"/>
      <c r="R701" s="51"/>
      <c r="S701" s="51"/>
      <c r="T701" s="51"/>
      <c r="U701" s="51"/>
      <c r="V701" s="51"/>
      <c r="W701" s="51"/>
      <c r="X701" s="51"/>
      <c r="Y701" s="51"/>
      <c r="Z701" s="51"/>
      <c r="AA701" s="51"/>
      <c r="AB701" s="51"/>
    </row>
    <row r="702" customFormat="false" ht="15.75" hidden="false" customHeight="false" outlineLevel="0" collapsed="false">
      <c r="A702" s="51"/>
      <c r="B702" s="51"/>
      <c r="C702" s="6"/>
      <c r="D702" s="49"/>
      <c r="E702" s="51"/>
      <c r="F702" s="6"/>
      <c r="G702" s="6"/>
      <c r="H702" s="6"/>
      <c r="I702" s="6"/>
      <c r="J702" s="6"/>
      <c r="K702" s="51"/>
      <c r="L702" s="51"/>
      <c r="M702" s="51"/>
      <c r="N702" s="51"/>
      <c r="O702" s="51"/>
      <c r="P702" s="51"/>
      <c r="Q702" s="51"/>
      <c r="R702" s="51"/>
      <c r="S702" s="51"/>
      <c r="T702" s="51"/>
      <c r="U702" s="51"/>
      <c r="V702" s="51"/>
      <c r="W702" s="51"/>
      <c r="X702" s="51"/>
      <c r="Y702" s="51"/>
      <c r="Z702" s="51"/>
      <c r="AA702" s="51"/>
      <c r="AB702" s="51"/>
    </row>
    <row r="703" customFormat="false" ht="15.75" hidden="false" customHeight="false" outlineLevel="0" collapsed="false">
      <c r="A703" s="51"/>
      <c r="B703" s="51"/>
      <c r="C703" s="6"/>
      <c r="D703" s="49"/>
      <c r="E703" s="51"/>
      <c r="F703" s="6"/>
      <c r="G703" s="6"/>
      <c r="H703" s="6"/>
      <c r="I703" s="6"/>
      <c r="J703" s="6"/>
      <c r="K703" s="51"/>
      <c r="L703" s="51"/>
      <c r="M703" s="51"/>
      <c r="N703" s="51"/>
      <c r="O703" s="51"/>
      <c r="P703" s="51"/>
      <c r="Q703" s="51"/>
      <c r="R703" s="51"/>
      <c r="S703" s="51"/>
      <c r="T703" s="51"/>
      <c r="U703" s="51"/>
      <c r="V703" s="51"/>
      <c r="W703" s="51"/>
      <c r="X703" s="51"/>
      <c r="Y703" s="51"/>
      <c r="Z703" s="51"/>
      <c r="AA703" s="51"/>
      <c r="AB703" s="51"/>
    </row>
    <row r="704" customFormat="false" ht="15.75" hidden="false" customHeight="false" outlineLevel="0" collapsed="false">
      <c r="A704" s="51"/>
      <c r="B704" s="51"/>
      <c r="C704" s="6"/>
      <c r="D704" s="49"/>
      <c r="E704" s="51"/>
      <c r="F704" s="6"/>
      <c r="G704" s="6"/>
      <c r="H704" s="6"/>
      <c r="I704" s="6"/>
      <c r="J704" s="6"/>
      <c r="K704" s="51"/>
      <c r="L704" s="51"/>
      <c r="M704" s="51"/>
      <c r="N704" s="51"/>
      <c r="O704" s="51"/>
      <c r="P704" s="51"/>
      <c r="Q704" s="51"/>
      <c r="R704" s="51"/>
      <c r="S704" s="51"/>
      <c r="T704" s="51"/>
      <c r="U704" s="51"/>
      <c r="V704" s="51"/>
      <c r="W704" s="51"/>
      <c r="X704" s="51"/>
      <c r="Y704" s="51"/>
      <c r="Z704" s="51"/>
      <c r="AA704" s="51"/>
      <c r="AB704" s="51"/>
    </row>
    <row r="705" customFormat="false" ht="15.75" hidden="false" customHeight="false" outlineLevel="0" collapsed="false">
      <c r="A705" s="51"/>
      <c r="B705" s="51"/>
      <c r="C705" s="6"/>
      <c r="D705" s="49"/>
      <c r="E705" s="51"/>
      <c r="F705" s="6"/>
      <c r="G705" s="6"/>
      <c r="H705" s="6"/>
      <c r="I705" s="6"/>
      <c r="J705" s="6"/>
      <c r="K705" s="51"/>
      <c r="L705" s="51"/>
      <c r="M705" s="51"/>
      <c r="N705" s="51"/>
      <c r="O705" s="51"/>
      <c r="P705" s="51"/>
      <c r="Q705" s="51"/>
      <c r="R705" s="51"/>
      <c r="S705" s="51"/>
      <c r="T705" s="51"/>
      <c r="U705" s="51"/>
      <c r="V705" s="51"/>
      <c r="W705" s="51"/>
      <c r="X705" s="51"/>
      <c r="Y705" s="51"/>
      <c r="Z705" s="51"/>
      <c r="AA705" s="51"/>
      <c r="AB705" s="51"/>
    </row>
    <row r="706" customFormat="false" ht="15.75" hidden="false" customHeight="false" outlineLevel="0" collapsed="false">
      <c r="A706" s="51"/>
      <c r="B706" s="51"/>
      <c r="C706" s="6"/>
      <c r="D706" s="49"/>
      <c r="E706" s="51"/>
      <c r="F706" s="6"/>
      <c r="G706" s="6"/>
      <c r="H706" s="6"/>
      <c r="I706" s="6"/>
      <c r="J706" s="6"/>
      <c r="K706" s="51"/>
      <c r="L706" s="51"/>
      <c r="M706" s="51"/>
      <c r="N706" s="51"/>
      <c r="O706" s="51"/>
      <c r="P706" s="51"/>
      <c r="Q706" s="51"/>
      <c r="R706" s="51"/>
      <c r="S706" s="51"/>
      <c r="T706" s="51"/>
      <c r="U706" s="51"/>
      <c r="V706" s="51"/>
      <c r="W706" s="51"/>
      <c r="X706" s="51"/>
      <c r="Y706" s="51"/>
      <c r="Z706" s="51"/>
      <c r="AA706" s="51"/>
      <c r="AB706" s="51"/>
    </row>
    <row r="707" customFormat="false" ht="15.75" hidden="false" customHeight="false" outlineLevel="0" collapsed="false">
      <c r="A707" s="51"/>
      <c r="B707" s="51"/>
      <c r="C707" s="6"/>
      <c r="D707" s="49"/>
      <c r="E707" s="51"/>
      <c r="F707" s="6"/>
      <c r="G707" s="6"/>
      <c r="H707" s="6"/>
      <c r="I707" s="6"/>
      <c r="J707" s="6"/>
      <c r="K707" s="51"/>
      <c r="L707" s="51"/>
      <c r="M707" s="51"/>
      <c r="N707" s="51"/>
      <c r="O707" s="51"/>
      <c r="P707" s="51"/>
      <c r="Q707" s="51"/>
      <c r="R707" s="51"/>
      <c r="S707" s="51"/>
      <c r="T707" s="51"/>
      <c r="U707" s="51"/>
      <c r="V707" s="51"/>
      <c r="W707" s="51"/>
      <c r="X707" s="51"/>
      <c r="Y707" s="51"/>
      <c r="Z707" s="51"/>
      <c r="AA707" s="51"/>
      <c r="AB707" s="51"/>
    </row>
    <row r="708" customFormat="false" ht="15.75" hidden="false" customHeight="false" outlineLevel="0" collapsed="false">
      <c r="A708" s="51"/>
      <c r="B708" s="51"/>
      <c r="C708" s="6"/>
      <c r="D708" s="49"/>
      <c r="E708" s="51"/>
      <c r="F708" s="6"/>
      <c r="G708" s="6"/>
      <c r="H708" s="6"/>
      <c r="I708" s="6"/>
      <c r="J708" s="6"/>
      <c r="K708" s="51"/>
      <c r="L708" s="51"/>
      <c r="M708" s="51"/>
      <c r="N708" s="51"/>
      <c r="O708" s="51"/>
      <c r="P708" s="51"/>
      <c r="Q708" s="51"/>
      <c r="R708" s="51"/>
      <c r="S708" s="51"/>
      <c r="T708" s="51"/>
      <c r="U708" s="51"/>
      <c r="V708" s="51"/>
      <c r="W708" s="51"/>
      <c r="X708" s="51"/>
      <c r="Y708" s="51"/>
      <c r="Z708" s="51"/>
      <c r="AA708" s="51"/>
      <c r="AB708" s="51"/>
    </row>
    <row r="709" customFormat="false" ht="15.75" hidden="false" customHeight="false" outlineLevel="0" collapsed="false">
      <c r="A709" s="51"/>
      <c r="B709" s="51"/>
      <c r="C709" s="6"/>
      <c r="D709" s="49"/>
      <c r="E709" s="51"/>
      <c r="F709" s="6"/>
      <c r="G709" s="6"/>
      <c r="H709" s="6"/>
      <c r="I709" s="6"/>
      <c r="J709" s="6"/>
      <c r="K709" s="51"/>
      <c r="L709" s="51"/>
      <c r="M709" s="51"/>
      <c r="N709" s="51"/>
      <c r="O709" s="51"/>
      <c r="P709" s="51"/>
      <c r="Q709" s="51"/>
      <c r="R709" s="51"/>
      <c r="S709" s="51"/>
      <c r="T709" s="51"/>
      <c r="U709" s="51"/>
      <c r="V709" s="51"/>
      <c r="W709" s="51"/>
      <c r="X709" s="51"/>
      <c r="Y709" s="51"/>
      <c r="Z709" s="51"/>
      <c r="AA709" s="51"/>
      <c r="AB709" s="51"/>
    </row>
    <row r="710" customFormat="false" ht="15.75" hidden="false" customHeight="false" outlineLevel="0" collapsed="false">
      <c r="A710" s="51"/>
      <c r="B710" s="51"/>
      <c r="C710" s="6"/>
      <c r="D710" s="49"/>
      <c r="E710" s="51"/>
      <c r="F710" s="6"/>
      <c r="G710" s="6"/>
      <c r="H710" s="6"/>
      <c r="I710" s="6"/>
      <c r="J710" s="6"/>
      <c r="K710" s="51"/>
      <c r="L710" s="51"/>
      <c r="M710" s="51"/>
      <c r="N710" s="51"/>
      <c r="O710" s="51"/>
      <c r="P710" s="51"/>
      <c r="Q710" s="51"/>
      <c r="R710" s="51"/>
      <c r="S710" s="51"/>
      <c r="T710" s="51"/>
      <c r="U710" s="51"/>
      <c r="V710" s="51"/>
      <c r="W710" s="51"/>
      <c r="X710" s="51"/>
      <c r="Y710" s="51"/>
      <c r="Z710" s="51"/>
      <c r="AA710" s="51"/>
      <c r="AB710" s="51"/>
    </row>
    <row r="711" customFormat="false" ht="15.75" hidden="false" customHeight="false" outlineLevel="0" collapsed="false">
      <c r="A711" s="51"/>
      <c r="B711" s="51"/>
      <c r="C711" s="6"/>
      <c r="D711" s="49"/>
      <c r="E711" s="51"/>
      <c r="F711" s="6"/>
      <c r="G711" s="6"/>
      <c r="H711" s="6"/>
      <c r="I711" s="6"/>
      <c r="J711" s="6"/>
      <c r="K711" s="51"/>
      <c r="L711" s="51"/>
      <c r="M711" s="51"/>
      <c r="N711" s="51"/>
      <c r="O711" s="51"/>
      <c r="P711" s="51"/>
      <c r="Q711" s="51"/>
      <c r="R711" s="51"/>
      <c r="S711" s="51"/>
      <c r="T711" s="51"/>
      <c r="U711" s="51"/>
      <c r="V711" s="51"/>
      <c r="W711" s="51"/>
      <c r="X711" s="51"/>
      <c r="Y711" s="51"/>
      <c r="Z711" s="51"/>
      <c r="AA711" s="51"/>
      <c r="AB711" s="51"/>
    </row>
    <row r="712" customFormat="false" ht="15.75" hidden="false" customHeight="false" outlineLevel="0" collapsed="false">
      <c r="A712" s="51"/>
      <c r="B712" s="51"/>
      <c r="C712" s="6"/>
      <c r="D712" s="49"/>
      <c r="E712" s="51"/>
      <c r="F712" s="6"/>
      <c r="G712" s="6"/>
      <c r="H712" s="6"/>
      <c r="I712" s="6"/>
      <c r="J712" s="6"/>
      <c r="K712" s="51"/>
      <c r="L712" s="51"/>
      <c r="M712" s="51"/>
      <c r="N712" s="51"/>
      <c r="O712" s="51"/>
      <c r="P712" s="51"/>
      <c r="Q712" s="51"/>
      <c r="R712" s="51"/>
      <c r="S712" s="51"/>
      <c r="T712" s="51"/>
      <c r="U712" s="51"/>
      <c r="V712" s="51"/>
      <c r="W712" s="51"/>
      <c r="X712" s="51"/>
      <c r="Y712" s="51"/>
      <c r="Z712" s="51"/>
      <c r="AA712" s="51"/>
      <c r="AB712" s="51"/>
    </row>
    <row r="713" customFormat="false" ht="15.75" hidden="false" customHeight="false" outlineLevel="0" collapsed="false">
      <c r="A713" s="51"/>
      <c r="B713" s="51"/>
      <c r="C713" s="6"/>
      <c r="D713" s="49"/>
      <c r="E713" s="51"/>
      <c r="F713" s="6"/>
      <c r="G713" s="6"/>
      <c r="H713" s="6"/>
      <c r="I713" s="6"/>
      <c r="J713" s="6"/>
      <c r="K713" s="51"/>
      <c r="L713" s="51"/>
      <c r="M713" s="51"/>
      <c r="N713" s="51"/>
      <c r="O713" s="51"/>
      <c r="P713" s="51"/>
      <c r="Q713" s="51"/>
      <c r="R713" s="51"/>
      <c r="S713" s="51"/>
      <c r="T713" s="51"/>
      <c r="U713" s="51"/>
      <c r="V713" s="51"/>
      <c r="W713" s="51"/>
      <c r="X713" s="51"/>
      <c r="Y713" s="51"/>
      <c r="Z713" s="51"/>
      <c r="AA713" s="51"/>
      <c r="AB713" s="51"/>
    </row>
    <row r="714" customFormat="false" ht="15.75" hidden="false" customHeight="false" outlineLevel="0" collapsed="false">
      <c r="A714" s="51"/>
      <c r="B714" s="51"/>
      <c r="C714" s="6"/>
      <c r="D714" s="49"/>
      <c r="E714" s="51"/>
      <c r="F714" s="6"/>
      <c r="G714" s="6"/>
      <c r="H714" s="6"/>
      <c r="I714" s="6"/>
      <c r="J714" s="6"/>
      <c r="K714" s="51"/>
      <c r="L714" s="51"/>
      <c r="M714" s="51"/>
      <c r="N714" s="51"/>
      <c r="O714" s="51"/>
      <c r="P714" s="51"/>
      <c r="Q714" s="51"/>
      <c r="R714" s="51"/>
      <c r="S714" s="51"/>
      <c r="T714" s="51"/>
      <c r="U714" s="51"/>
      <c r="V714" s="51"/>
      <c r="W714" s="51"/>
      <c r="X714" s="51"/>
      <c r="Y714" s="51"/>
      <c r="Z714" s="51"/>
      <c r="AA714" s="51"/>
      <c r="AB714" s="51"/>
    </row>
    <row r="715" customFormat="false" ht="15.75" hidden="false" customHeight="false" outlineLevel="0" collapsed="false">
      <c r="A715" s="51"/>
      <c r="B715" s="51"/>
      <c r="C715" s="6"/>
      <c r="D715" s="49"/>
      <c r="E715" s="51"/>
      <c r="F715" s="6"/>
      <c r="G715" s="6"/>
      <c r="H715" s="6"/>
      <c r="I715" s="6"/>
      <c r="J715" s="6"/>
      <c r="K715" s="51"/>
      <c r="L715" s="51"/>
      <c r="M715" s="51"/>
      <c r="N715" s="51"/>
      <c r="O715" s="51"/>
      <c r="P715" s="51"/>
      <c r="Q715" s="51"/>
      <c r="R715" s="51"/>
      <c r="S715" s="51"/>
      <c r="T715" s="51"/>
      <c r="U715" s="51"/>
      <c r="V715" s="51"/>
      <c r="W715" s="51"/>
      <c r="X715" s="51"/>
      <c r="Y715" s="51"/>
      <c r="Z715" s="51"/>
      <c r="AA715" s="51"/>
      <c r="AB715" s="51"/>
    </row>
    <row r="716" customFormat="false" ht="15.75" hidden="false" customHeight="false" outlineLevel="0" collapsed="false">
      <c r="A716" s="51"/>
      <c r="B716" s="51"/>
      <c r="C716" s="6"/>
      <c r="D716" s="49"/>
      <c r="E716" s="51"/>
      <c r="F716" s="6"/>
      <c r="G716" s="6"/>
      <c r="H716" s="6"/>
      <c r="I716" s="6"/>
      <c r="J716" s="6"/>
      <c r="K716" s="51"/>
      <c r="L716" s="51"/>
      <c r="M716" s="51"/>
      <c r="N716" s="51"/>
      <c r="O716" s="51"/>
      <c r="P716" s="51"/>
      <c r="Q716" s="51"/>
      <c r="R716" s="51"/>
      <c r="S716" s="51"/>
      <c r="T716" s="51"/>
      <c r="U716" s="51"/>
      <c r="V716" s="51"/>
      <c r="W716" s="51"/>
      <c r="X716" s="51"/>
      <c r="Y716" s="51"/>
      <c r="Z716" s="51"/>
      <c r="AA716" s="51"/>
      <c r="AB716" s="51"/>
    </row>
    <row r="717" customFormat="false" ht="15.75" hidden="false" customHeight="false" outlineLevel="0" collapsed="false">
      <c r="A717" s="51"/>
      <c r="B717" s="51"/>
      <c r="C717" s="6"/>
      <c r="D717" s="49"/>
      <c r="E717" s="51"/>
      <c r="F717" s="6"/>
      <c r="G717" s="6"/>
      <c r="H717" s="6"/>
      <c r="I717" s="6"/>
      <c r="J717" s="6"/>
      <c r="K717" s="51"/>
      <c r="L717" s="51"/>
      <c r="M717" s="51"/>
      <c r="N717" s="51"/>
      <c r="O717" s="51"/>
      <c r="P717" s="51"/>
      <c r="Q717" s="51"/>
      <c r="R717" s="51"/>
      <c r="S717" s="51"/>
      <c r="T717" s="51"/>
      <c r="U717" s="51"/>
      <c r="V717" s="51"/>
      <c r="W717" s="51"/>
      <c r="X717" s="51"/>
      <c r="Y717" s="51"/>
      <c r="Z717" s="51"/>
      <c r="AA717" s="51"/>
      <c r="AB717" s="51"/>
    </row>
    <row r="718" customFormat="false" ht="15.75" hidden="false" customHeight="false" outlineLevel="0" collapsed="false">
      <c r="A718" s="51"/>
      <c r="B718" s="51"/>
      <c r="C718" s="6"/>
      <c r="D718" s="49"/>
      <c r="E718" s="51"/>
      <c r="F718" s="6"/>
      <c r="G718" s="6"/>
      <c r="H718" s="6"/>
      <c r="I718" s="6"/>
      <c r="J718" s="6"/>
      <c r="K718" s="51"/>
      <c r="L718" s="51"/>
      <c r="M718" s="51"/>
      <c r="N718" s="51"/>
      <c r="O718" s="51"/>
      <c r="P718" s="51"/>
      <c r="Q718" s="51"/>
      <c r="R718" s="51"/>
      <c r="S718" s="51"/>
      <c r="T718" s="51"/>
      <c r="U718" s="51"/>
      <c r="V718" s="51"/>
      <c r="W718" s="51"/>
      <c r="X718" s="51"/>
      <c r="Y718" s="51"/>
      <c r="Z718" s="51"/>
      <c r="AA718" s="51"/>
      <c r="AB718" s="51"/>
    </row>
    <row r="719" customFormat="false" ht="15.75" hidden="false" customHeight="false" outlineLevel="0" collapsed="false">
      <c r="A719" s="51"/>
      <c r="B719" s="51"/>
      <c r="C719" s="6"/>
      <c r="D719" s="49"/>
      <c r="E719" s="51"/>
      <c r="F719" s="6"/>
      <c r="G719" s="6"/>
      <c r="H719" s="6"/>
      <c r="I719" s="6"/>
      <c r="J719" s="6"/>
      <c r="K719" s="51"/>
      <c r="L719" s="51"/>
      <c r="M719" s="51"/>
      <c r="N719" s="51"/>
      <c r="O719" s="51"/>
      <c r="P719" s="51"/>
      <c r="Q719" s="51"/>
      <c r="R719" s="51"/>
      <c r="S719" s="51"/>
      <c r="T719" s="51"/>
      <c r="U719" s="51"/>
      <c r="V719" s="51"/>
      <c r="W719" s="51"/>
      <c r="X719" s="51"/>
      <c r="Y719" s="51"/>
      <c r="Z719" s="51"/>
      <c r="AA719" s="51"/>
      <c r="AB719" s="51"/>
    </row>
    <row r="720" customFormat="false" ht="15.75" hidden="false" customHeight="false" outlineLevel="0" collapsed="false">
      <c r="A720" s="51"/>
      <c r="B720" s="51"/>
      <c r="C720" s="6"/>
      <c r="D720" s="49"/>
      <c r="E720" s="51"/>
      <c r="F720" s="6"/>
      <c r="G720" s="6"/>
      <c r="H720" s="6"/>
      <c r="I720" s="6"/>
      <c r="J720" s="6"/>
      <c r="K720" s="51"/>
      <c r="L720" s="51"/>
      <c r="M720" s="51"/>
      <c r="N720" s="51"/>
      <c r="O720" s="51"/>
      <c r="P720" s="51"/>
      <c r="Q720" s="51"/>
      <c r="R720" s="51"/>
      <c r="S720" s="51"/>
      <c r="T720" s="51"/>
      <c r="U720" s="51"/>
      <c r="V720" s="51"/>
      <c r="W720" s="51"/>
      <c r="X720" s="51"/>
      <c r="Y720" s="51"/>
      <c r="Z720" s="51"/>
      <c r="AA720" s="51"/>
      <c r="AB720" s="51"/>
    </row>
    <row r="721" customFormat="false" ht="15.75" hidden="false" customHeight="false" outlineLevel="0" collapsed="false">
      <c r="A721" s="51"/>
      <c r="B721" s="51"/>
      <c r="C721" s="6"/>
      <c r="D721" s="49"/>
      <c r="E721" s="51"/>
      <c r="F721" s="6"/>
      <c r="G721" s="6"/>
      <c r="H721" s="6"/>
      <c r="I721" s="6"/>
      <c r="J721" s="6"/>
      <c r="K721" s="51"/>
      <c r="L721" s="51"/>
      <c r="M721" s="51"/>
      <c r="N721" s="51"/>
      <c r="O721" s="51"/>
      <c r="P721" s="51"/>
      <c r="Q721" s="51"/>
      <c r="R721" s="51"/>
      <c r="S721" s="51"/>
      <c r="T721" s="51"/>
      <c r="U721" s="51"/>
      <c r="V721" s="51"/>
      <c r="W721" s="51"/>
      <c r="X721" s="51"/>
      <c r="Y721" s="51"/>
      <c r="Z721" s="51"/>
      <c r="AA721" s="51"/>
      <c r="AB721" s="51"/>
    </row>
    <row r="722" customFormat="false" ht="15.75" hidden="false" customHeight="false" outlineLevel="0" collapsed="false">
      <c r="A722" s="51"/>
      <c r="B722" s="51"/>
      <c r="C722" s="6"/>
      <c r="D722" s="49"/>
      <c r="E722" s="51"/>
      <c r="F722" s="6"/>
      <c r="G722" s="6"/>
      <c r="H722" s="6"/>
      <c r="I722" s="6"/>
      <c r="J722" s="6"/>
      <c r="K722" s="51"/>
      <c r="L722" s="51"/>
      <c r="M722" s="51"/>
      <c r="N722" s="51"/>
      <c r="O722" s="51"/>
      <c r="P722" s="51"/>
      <c r="Q722" s="51"/>
      <c r="R722" s="51"/>
      <c r="S722" s="51"/>
      <c r="T722" s="51"/>
      <c r="U722" s="51"/>
      <c r="V722" s="51"/>
      <c r="W722" s="51"/>
      <c r="X722" s="51"/>
      <c r="Y722" s="51"/>
      <c r="Z722" s="51"/>
      <c r="AA722" s="51"/>
      <c r="AB722" s="51"/>
    </row>
    <row r="723" customFormat="false" ht="15.75" hidden="false" customHeight="false" outlineLevel="0" collapsed="false">
      <c r="A723" s="51"/>
      <c r="B723" s="51"/>
      <c r="C723" s="6"/>
      <c r="D723" s="49"/>
      <c r="E723" s="51"/>
      <c r="F723" s="6"/>
      <c r="G723" s="6"/>
      <c r="H723" s="6"/>
      <c r="I723" s="6"/>
      <c r="J723" s="6"/>
      <c r="K723" s="51"/>
      <c r="L723" s="51"/>
      <c r="M723" s="51"/>
      <c r="N723" s="51"/>
      <c r="O723" s="51"/>
      <c r="P723" s="51"/>
      <c r="Q723" s="51"/>
      <c r="R723" s="51"/>
      <c r="S723" s="51"/>
      <c r="T723" s="51"/>
      <c r="U723" s="51"/>
      <c r="V723" s="51"/>
      <c r="W723" s="51"/>
      <c r="X723" s="51"/>
      <c r="Y723" s="51"/>
      <c r="Z723" s="51"/>
      <c r="AA723" s="51"/>
      <c r="AB723" s="51"/>
    </row>
    <row r="724" customFormat="false" ht="15.75" hidden="false" customHeight="false" outlineLevel="0" collapsed="false">
      <c r="A724" s="51"/>
      <c r="B724" s="51"/>
      <c r="C724" s="6"/>
      <c r="D724" s="49"/>
      <c r="E724" s="51"/>
      <c r="F724" s="6"/>
      <c r="G724" s="6"/>
      <c r="H724" s="6"/>
      <c r="I724" s="6"/>
      <c r="J724" s="6"/>
      <c r="K724" s="51"/>
      <c r="L724" s="51"/>
      <c r="M724" s="51"/>
      <c r="N724" s="51"/>
      <c r="O724" s="51"/>
      <c r="P724" s="51"/>
      <c r="Q724" s="51"/>
      <c r="R724" s="51"/>
      <c r="S724" s="51"/>
      <c r="T724" s="51"/>
      <c r="U724" s="51"/>
      <c r="V724" s="51"/>
      <c r="W724" s="51"/>
      <c r="X724" s="51"/>
      <c r="Y724" s="51"/>
      <c r="Z724" s="51"/>
      <c r="AA724" s="51"/>
      <c r="AB724" s="51"/>
    </row>
    <row r="725" customFormat="false" ht="15.75" hidden="false" customHeight="false" outlineLevel="0" collapsed="false">
      <c r="A725" s="51"/>
      <c r="B725" s="51"/>
      <c r="C725" s="6"/>
      <c r="D725" s="49"/>
      <c r="E725" s="51"/>
      <c r="F725" s="6"/>
      <c r="G725" s="6"/>
      <c r="H725" s="6"/>
      <c r="I725" s="6"/>
      <c r="J725" s="6"/>
      <c r="K725" s="51"/>
      <c r="L725" s="51"/>
      <c r="M725" s="51"/>
      <c r="N725" s="51"/>
      <c r="O725" s="51"/>
      <c r="P725" s="51"/>
      <c r="Q725" s="51"/>
      <c r="R725" s="51"/>
      <c r="S725" s="51"/>
      <c r="T725" s="51"/>
      <c r="U725" s="51"/>
      <c r="V725" s="51"/>
      <c r="W725" s="51"/>
      <c r="X725" s="51"/>
      <c r="Y725" s="51"/>
      <c r="Z725" s="51"/>
      <c r="AA725" s="51"/>
      <c r="AB725" s="51"/>
    </row>
    <row r="726" customFormat="false" ht="15.75" hidden="false" customHeight="false" outlineLevel="0" collapsed="false">
      <c r="A726" s="51"/>
      <c r="B726" s="51"/>
      <c r="C726" s="6"/>
      <c r="D726" s="49"/>
      <c r="E726" s="51"/>
      <c r="F726" s="6"/>
      <c r="G726" s="6"/>
      <c r="H726" s="6"/>
      <c r="I726" s="6"/>
      <c r="J726" s="6"/>
      <c r="K726" s="51"/>
      <c r="L726" s="51"/>
      <c r="M726" s="51"/>
      <c r="N726" s="51"/>
      <c r="O726" s="51"/>
      <c r="P726" s="51"/>
      <c r="Q726" s="51"/>
      <c r="R726" s="51"/>
      <c r="S726" s="51"/>
      <c r="T726" s="51"/>
      <c r="U726" s="51"/>
      <c r="V726" s="51"/>
      <c r="W726" s="51"/>
      <c r="X726" s="51"/>
      <c r="Y726" s="51"/>
      <c r="Z726" s="51"/>
      <c r="AA726" s="51"/>
      <c r="AB726" s="51"/>
    </row>
    <row r="727" customFormat="false" ht="15.75" hidden="false" customHeight="false" outlineLevel="0" collapsed="false">
      <c r="A727" s="51"/>
      <c r="B727" s="51"/>
      <c r="C727" s="6"/>
      <c r="D727" s="49"/>
      <c r="E727" s="51"/>
      <c r="F727" s="6"/>
      <c r="G727" s="6"/>
      <c r="H727" s="6"/>
      <c r="I727" s="6"/>
      <c r="J727" s="6"/>
      <c r="K727" s="51"/>
      <c r="L727" s="51"/>
      <c r="M727" s="51"/>
      <c r="N727" s="51"/>
      <c r="O727" s="51"/>
      <c r="P727" s="51"/>
      <c r="Q727" s="51"/>
      <c r="R727" s="51"/>
      <c r="S727" s="51"/>
      <c r="T727" s="51"/>
      <c r="U727" s="51"/>
      <c r="V727" s="51"/>
      <c r="W727" s="51"/>
      <c r="X727" s="51"/>
      <c r="Y727" s="51"/>
      <c r="Z727" s="51"/>
      <c r="AA727" s="51"/>
      <c r="AB727" s="51"/>
    </row>
    <row r="728" customFormat="false" ht="15.75" hidden="false" customHeight="false" outlineLevel="0" collapsed="false">
      <c r="A728" s="51"/>
      <c r="B728" s="51"/>
      <c r="C728" s="6"/>
      <c r="D728" s="49"/>
      <c r="E728" s="51"/>
      <c r="F728" s="6"/>
      <c r="G728" s="6"/>
      <c r="H728" s="6"/>
      <c r="I728" s="6"/>
      <c r="J728" s="6"/>
      <c r="K728" s="51"/>
      <c r="L728" s="51"/>
      <c r="M728" s="51"/>
      <c r="N728" s="51"/>
      <c r="O728" s="51"/>
      <c r="P728" s="51"/>
      <c r="Q728" s="51"/>
      <c r="R728" s="51"/>
      <c r="S728" s="51"/>
      <c r="T728" s="51"/>
      <c r="U728" s="51"/>
      <c r="V728" s="51"/>
      <c r="W728" s="51"/>
      <c r="X728" s="51"/>
      <c r="Y728" s="51"/>
      <c r="Z728" s="51"/>
      <c r="AA728" s="51"/>
      <c r="AB728" s="51"/>
    </row>
    <row r="729" customFormat="false" ht="15.75" hidden="false" customHeight="false" outlineLevel="0" collapsed="false">
      <c r="A729" s="51"/>
      <c r="B729" s="51"/>
      <c r="C729" s="6"/>
      <c r="D729" s="49"/>
      <c r="E729" s="51"/>
      <c r="F729" s="6"/>
      <c r="G729" s="6"/>
      <c r="H729" s="6"/>
      <c r="I729" s="6"/>
      <c r="J729" s="6"/>
      <c r="K729" s="51"/>
      <c r="L729" s="51"/>
      <c r="M729" s="51"/>
      <c r="N729" s="51"/>
      <c r="O729" s="51"/>
      <c r="P729" s="51"/>
      <c r="Q729" s="51"/>
      <c r="R729" s="51"/>
      <c r="S729" s="51"/>
      <c r="T729" s="51"/>
      <c r="U729" s="51"/>
      <c r="V729" s="51"/>
      <c r="W729" s="51"/>
      <c r="X729" s="51"/>
      <c r="Y729" s="51"/>
      <c r="Z729" s="51"/>
      <c r="AA729" s="51"/>
      <c r="AB729" s="51"/>
    </row>
    <row r="730" customFormat="false" ht="15.75" hidden="false" customHeight="false" outlineLevel="0" collapsed="false">
      <c r="A730" s="51"/>
      <c r="B730" s="51"/>
      <c r="C730" s="6"/>
      <c r="D730" s="49"/>
      <c r="E730" s="51"/>
      <c r="F730" s="6"/>
      <c r="G730" s="6"/>
      <c r="H730" s="6"/>
      <c r="I730" s="6"/>
      <c r="J730" s="6"/>
      <c r="K730" s="51"/>
      <c r="L730" s="51"/>
      <c r="M730" s="51"/>
      <c r="N730" s="51"/>
      <c r="O730" s="51"/>
      <c r="P730" s="51"/>
      <c r="Q730" s="51"/>
      <c r="R730" s="51"/>
      <c r="S730" s="51"/>
      <c r="T730" s="51"/>
      <c r="U730" s="51"/>
      <c r="V730" s="51"/>
      <c r="W730" s="51"/>
      <c r="X730" s="51"/>
      <c r="Y730" s="51"/>
      <c r="Z730" s="51"/>
      <c r="AA730" s="51"/>
      <c r="AB730" s="51"/>
    </row>
    <row r="731" customFormat="false" ht="15.75" hidden="false" customHeight="false" outlineLevel="0" collapsed="false">
      <c r="A731" s="51"/>
      <c r="B731" s="51"/>
      <c r="C731" s="6"/>
      <c r="D731" s="49"/>
      <c r="E731" s="51"/>
      <c r="F731" s="6"/>
      <c r="G731" s="6"/>
      <c r="H731" s="6"/>
      <c r="I731" s="6"/>
      <c r="J731" s="6"/>
      <c r="K731" s="51"/>
      <c r="L731" s="51"/>
      <c r="M731" s="51"/>
      <c r="N731" s="51"/>
      <c r="O731" s="51"/>
      <c r="P731" s="51"/>
      <c r="Q731" s="51"/>
      <c r="R731" s="51"/>
      <c r="S731" s="51"/>
      <c r="T731" s="51"/>
      <c r="U731" s="51"/>
      <c r="V731" s="51"/>
      <c r="W731" s="51"/>
      <c r="X731" s="51"/>
      <c r="Y731" s="51"/>
      <c r="Z731" s="51"/>
      <c r="AA731" s="51"/>
      <c r="AB731" s="51"/>
    </row>
    <row r="732" customFormat="false" ht="15.75" hidden="false" customHeight="false" outlineLevel="0" collapsed="false">
      <c r="A732" s="51"/>
      <c r="B732" s="51"/>
      <c r="C732" s="6"/>
      <c r="D732" s="49"/>
      <c r="E732" s="51"/>
      <c r="F732" s="6"/>
      <c r="G732" s="6"/>
      <c r="H732" s="6"/>
      <c r="I732" s="6"/>
      <c r="J732" s="6"/>
      <c r="K732" s="51"/>
      <c r="L732" s="51"/>
      <c r="M732" s="51"/>
      <c r="N732" s="51"/>
      <c r="O732" s="51"/>
      <c r="P732" s="51"/>
      <c r="Q732" s="51"/>
      <c r="R732" s="51"/>
      <c r="S732" s="51"/>
      <c r="T732" s="51"/>
      <c r="U732" s="51"/>
      <c r="V732" s="51"/>
      <c r="W732" s="51"/>
      <c r="X732" s="51"/>
      <c r="Y732" s="51"/>
      <c r="Z732" s="51"/>
      <c r="AA732" s="51"/>
      <c r="AB732" s="51"/>
    </row>
    <row r="733" customFormat="false" ht="15.75" hidden="false" customHeight="false" outlineLevel="0" collapsed="false">
      <c r="A733" s="51"/>
      <c r="B733" s="51"/>
      <c r="C733" s="6"/>
      <c r="D733" s="49"/>
      <c r="E733" s="51"/>
      <c r="F733" s="6"/>
      <c r="G733" s="6"/>
      <c r="H733" s="6"/>
      <c r="I733" s="6"/>
      <c r="J733" s="6"/>
      <c r="K733" s="51"/>
      <c r="L733" s="51"/>
      <c r="M733" s="51"/>
      <c r="N733" s="51"/>
      <c r="O733" s="51"/>
      <c r="P733" s="51"/>
      <c r="Q733" s="51"/>
      <c r="R733" s="51"/>
      <c r="S733" s="51"/>
      <c r="T733" s="51"/>
      <c r="U733" s="51"/>
      <c r="V733" s="51"/>
      <c r="W733" s="51"/>
      <c r="X733" s="51"/>
      <c r="Y733" s="51"/>
      <c r="Z733" s="51"/>
      <c r="AA733" s="51"/>
      <c r="AB733" s="51"/>
    </row>
    <row r="734" customFormat="false" ht="15.75" hidden="false" customHeight="false" outlineLevel="0" collapsed="false">
      <c r="A734" s="51"/>
      <c r="B734" s="51"/>
      <c r="C734" s="6"/>
      <c r="D734" s="49"/>
      <c r="E734" s="51"/>
      <c r="F734" s="6"/>
      <c r="G734" s="6"/>
      <c r="H734" s="6"/>
      <c r="I734" s="6"/>
      <c r="J734" s="6"/>
      <c r="K734" s="51"/>
      <c r="L734" s="51"/>
      <c r="M734" s="51"/>
      <c r="N734" s="51"/>
      <c r="O734" s="51"/>
      <c r="P734" s="51"/>
      <c r="Q734" s="51"/>
      <c r="R734" s="51"/>
      <c r="S734" s="51"/>
      <c r="T734" s="51"/>
      <c r="U734" s="51"/>
      <c r="V734" s="51"/>
      <c r="W734" s="51"/>
      <c r="X734" s="51"/>
      <c r="Y734" s="51"/>
      <c r="Z734" s="51"/>
      <c r="AA734" s="51"/>
      <c r="AB734" s="51"/>
    </row>
    <row r="735" customFormat="false" ht="15.75" hidden="false" customHeight="false" outlineLevel="0" collapsed="false">
      <c r="A735" s="51"/>
      <c r="B735" s="51"/>
      <c r="C735" s="6"/>
      <c r="D735" s="49"/>
      <c r="E735" s="51"/>
      <c r="F735" s="6"/>
      <c r="G735" s="6"/>
      <c r="H735" s="6"/>
      <c r="I735" s="6"/>
      <c r="J735" s="6"/>
      <c r="K735" s="51"/>
      <c r="L735" s="51"/>
      <c r="M735" s="51"/>
      <c r="N735" s="51"/>
      <c r="O735" s="51"/>
      <c r="P735" s="51"/>
      <c r="Q735" s="51"/>
      <c r="R735" s="51"/>
      <c r="S735" s="51"/>
      <c r="T735" s="51"/>
      <c r="U735" s="51"/>
      <c r="V735" s="51"/>
      <c r="W735" s="51"/>
      <c r="X735" s="51"/>
      <c r="Y735" s="51"/>
      <c r="Z735" s="51"/>
      <c r="AA735" s="51"/>
      <c r="AB735" s="51"/>
    </row>
    <row r="736" customFormat="false" ht="15.75" hidden="false" customHeight="false" outlineLevel="0" collapsed="false">
      <c r="A736" s="51"/>
      <c r="B736" s="51"/>
      <c r="C736" s="6"/>
      <c r="D736" s="49"/>
      <c r="E736" s="51"/>
      <c r="F736" s="6"/>
      <c r="G736" s="6"/>
      <c r="H736" s="6"/>
      <c r="I736" s="6"/>
      <c r="J736" s="6"/>
      <c r="K736" s="51"/>
      <c r="L736" s="51"/>
      <c r="M736" s="51"/>
      <c r="N736" s="51"/>
      <c r="O736" s="51"/>
      <c r="P736" s="51"/>
      <c r="Q736" s="51"/>
      <c r="R736" s="51"/>
      <c r="S736" s="51"/>
      <c r="T736" s="51"/>
      <c r="U736" s="51"/>
      <c r="V736" s="51"/>
      <c r="W736" s="51"/>
      <c r="X736" s="51"/>
      <c r="Y736" s="51"/>
      <c r="Z736" s="51"/>
      <c r="AA736" s="51"/>
      <c r="AB736" s="51"/>
    </row>
    <row r="737" customFormat="false" ht="15.75" hidden="false" customHeight="false" outlineLevel="0" collapsed="false">
      <c r="A737" s="51"/>
      <c r="B737" s="51"/>
      <c r="C737" s="6"/>
      <c r="D737" s="49"/>
      <c r="E737" s="51"/>
      <c r="F737" s="6"/>
      <c r="G737" s="6"/>
      <c r="H737" s="6"/>
      <c r="I737" s="6"/>
      <c r="J737" s="6"/>
      <c r="K737" s="51"/>
      <c r="L737" s="51"/>
      <c r="M737" s="51"/>
      <c r="N737" s="51"/>
      <c r="O737" s="51"/>
      <c r="P737" s="51"/>
      <c r="Q737" s="51"/>
      <c r="R737" s="51"/>
      <c r="S737" s="51"/>
      <c r="T737" s="51"/>
      <c r="U737" s="51"/>
      <c r="V737" s="51"/>
      <c r="W737" s="51"/>
      <c r="X737" s="51"/>
      <c r="Y737" s="51"/>
      <c r="Z737" s="51"/>
      <c r="AA737" s="51"/>
      <c r="AB737" s="51"/>
    </row>
    <row r="738" customFormat="false" ht="15.75" hidden="false" customHeight="false" outlineLevel="0" collapsed="false">
      <c r="A738" s="51"/>
      <c r="B738" s="51"/>
      <c r="C738" s="6"/>
      <c r="D738" s="49"/>
      <c r="E738" s="51"/>
      <c r="F738" s="6"/>
      <c r="G738" s="6"/>
      <c r="H738" s="6"/>
      <c r="I738" s="6"/>
      <c r="J738" s="6"/>
      <c r="K738" s="51"/>
      <c r="L738" s="51"/>
      <c r="M738" s="51"/>
      <c r="N738" s="51"/>
      <c r="O738" s="51"/>
      <c r="P738" s="51"/>
      <c r="Q738" s="51"/>
      <c r="R738" s="51"/>
      <c r="S738" s="51"/>
      <c r="T738" s="51"/>
      <c r="U738" s="51"/>
      <c r="V738" s="51"/>
      <c r="W738" s="51"/>
      <c r="X738" s="51"/>
      <c r="Y738" s="51"/>
      <c r="Z738" s="51"/>
      <c r="AA738" s="51"/>
      <c r="AB738" s="51"/>
    </row>
    <row r="739" customFormat="false" ht="15.75" hidden="false" customHeight="false" outlineLevel="0" collapsed="false">
      <c r="A739" s="51"/>
      <c r="B739" s="51"/>
      <c r="C739" s="6"/>
      <c r="D739" s="49"/>
      <c r="E739" s="51"/>
      <c r="F739" s="6"/>
      <c r="G739" s="6"/>
      <c r="H739" s="6"/>
      <c r="I739" s="6"/>
      <c r="J739" s="6"/>
      <c r="K739" s="51"/>
      <c r="L739" s="51"/>
      <c r="M739" s="51"/>
      <c r="N739" s="51"/>
      <c r="O739" s="51"/>
      <c r="P739" s="51"/>
      <c r="Q739" s="51"/>
      <c r="R739" s="51"/>
      <c r="S739" s="51"/>
      <c r="T739" s="51"/>
      <c r="U739" s="51"/>
      <c r="V739" s="51"/>
      <c r="W739" s="51"/>
      <c r="X739" s="51"/>
      <c r="Y739" s="51"/>
      <c r="Z739" s="51"/>
      <c r="AA739" s="51"/>
      <c r="AB739" s="51"/>
    </row>
    <row r="740" customFormat="false" ht="15.75" hidden="false" customHeight="false" outlineLevel="0" collapsed="false">
      <c r="A740" s="51"/>
      <c r="B740" s="51"/>
      <c r="C740" s="6"/>
      <c r="D740" s="49"/>
      <c r="E740" s="51"/>
      <c r="F740" s="6"/>
      <c r="G740" s="6"/>
      <c r="H740" s="6"/>
      <c r="I740" s="6"/>
      <c r="J740" s="6"/>
      <c r="K740" s="51"/>
      <c r="L740" s="51"/>
      <c r="M740" s="51"/>
      <c r="N740" s="51"/>
      <c r="O740" s="51"/>
      <c r="P740" s="51"/>
      <c r="Q740" s="51"/>
      <c r="R740" s="51"/>
      <c r="S740" s="51"/>
      <c r="T740" s="51"/>
      <c r="U740" s="51"/>
      <c r="V740" s="51"/>
      <c r="W740" s="51"/>
      <c r="X740" s="51"/>
      <c r="Y740" s="51"/>
      <c r="Z740" s="51"/>
      <c r="AA740" s="51"/>
      <c r="AB740" s="51"/>
    </row>
    <row r="741" customFormat="false" ht="15.75" hidden="false" customHeight="false" outlineLevel="0" collapsed="false">
      <c r="A741" s="51"/>
      <c r="B741" s="51"/>
      <c r="C741" s="6"/>
      <c r="D741" s="49"/>
      <c r="E741" s="51"/>
      <c r="F741" s="6"/>
      <c r="G741" s="6"/>
      <c r="H741" s="6"/>
      <c r="I741" s="6"/>
      <c r="J741" s="6"/>
      <c r="K741" s="51"/>
      <c r="L741" s="51"/>
      <c r="M741" s="51"/>
      <c r="N741" s="51"/>
      <c r="O741" s="51"/>
      <c r="P741" s="51"/>
      <c r="Q741" s="51"/>
      <c r="R741" s="51"/>
      <c r="S741" s="51"/>
      <c r="T741" s="51"/>
      <c r="U741" s="51"/>
      <c r="V741" s="51"/>
      <c r="W741" s="51"/>
      <c r="X741" s="51"/>
      <c r="Y741" s="51"/>
      <c r="Z741" s="51"/>
      <c r="AA741" s="51"/>
      <c r="AB741" s="51"/>
    </row>
    <row r="742" customFormat="false" ht="15.75" hidden="false" customHeight="false" outlineLevel="0" collapsed="false">
      <c r="A742" s="51"/>
      <c r="B742" s="51"/>
      <c r="C742" s="6"/>
      <c r="D742" s="49"/>
      <c r="E742" s="51"/>
      <c r="F742" s="6"/>
      <c r="G742" s="6"/>
      <c r="H742" s="6"/>
      <c r="I742" s="6"/>
      <c r="J742" s="6"/>
      <c r="K742" s="51"/>
      <c r="L742" s="51"/>
      <c r="M742" s="51"/>
      <c r="N742" s="51"/>
      <c r="O742" s="51"/>
      <c r="P742" s="51"/>
      <c r="Q742" s="51"/>
      <c r="R742" s="51"/>
      <c r="S742" s="51"/>
      <c r="T742" s="51"/>
      <c r="U742" s="51"/>
      <c r="V742" s="51"/>
      <c r="W742" s="51"/>
      <c r="X742" s="51"/>
      <c r="Y742" s="51"/>
      <c r="Z742" s="51"/>
      <c r="AA742" s="51"/>
      <c r="AB742" s="51"/>
    </row>
    <row r="743" customFormat="false" ht="15.75" hidden="false" customHeight="false" outlineLevel="0" collapsed="false">
      <c r="A743" s="51"/>
      <c r="B743" s="51"/>
      <c r="C743" s="6"/>
      <c r="D743" s="49"/>
      <c r="E743" s="51"/>
      <c r="F743" s="6"/>
      <c r="G743" s="6"/>
      <c r="H743" s="6"/>
      <c r="I743" s="6"/>
      <c r="J743" s="6"/>
      <c r="K743" s="51"/>
      <c r="L743" s="51"/>
      <c r="M743" s="51"/>
      <c r="N743" s="51"/>
      <c r="O743" s="51"/>
      <c r="P743" s="51"/>
      <c r="Q743" s="51"/>
      <c r="R743" s="51"/>
      <c r="S743" s="51"/>
      <c r="T743" s="51"/>
      <c r="U743" s="51"/>
      <c r="V743" s="51"/>
      <c r="W743" s="51"/>
      <c r="X743" s="51"/>
      <c r="Y743" s="51"/>
      <c r="Z743" s="51"/>
      <c r="AA743" s="51"/>
      <c r="AB743" s="51"/>
    </row>
    <row r="744" customFormat="false" ht="15.75" hidden="false" customHeight="false" outlineLevel="0" collapsed="false">
      <c r="A744" s="51"/>
      <c r="B744" s="51"/>
      <c r="C744" s="6"/>
      <c r="D744" s="49"/>
      <c r="E744" s="51"/>
      <c r="F744" s="6"/>
      <c r="G744" s="6"/>
      <c r="H744" s="6"/>
      <c r="I744" s="6"/>
      <c r="J744" s="6"/>
      <c r="K744" s="51"/>
      <c r="L744" s="51"/>
      <c r="M744" s="51"/>
      <c r="N744" s="51"/>
      <c r="O744" s="51"/>
      <c r="P744" s="51"/>
      <c r="Q744" s="51"/>
      <c r="R744" s="51"/>
      <c r="S744" s="51"/>
      <c r="T744" s="51"/>
      <c r="U744" s="51"/>
      <c r="V744" s="51"/>
      <c r="W744" s="51"/>
      <c r="X744" s="51"/>
      <c r="Y744" s="51"/>
      <c r="Z744" s="51"/>
      <c r="AA744" s="51"/>
      <c r="AB744" s="51"/>
    </row>
    <row r="745" customFormat="false" ht="15.75" hidden="false" customHeight="false" outlineLevel="0" collapsed="false">
      <c r="A745" s="51"/>
      <c r="B745" s="51"/>
      <c r="C745" s="6"/>
      <c r="D745" s="49"/>
      <c r="E745" s="51"/>
      <c r="F745" s="6"/>
      <c r="G745" s="6"/>
      <c r="H745" s="6"/>
      <c r="I745" s="6"/>
      <c r="J745" s="6"/>
      <c r="K745" s="51"/>
      <c r="L745" s="51"/>
      <c r="M745" s="51"/>
      <c r="N745" s="51"/>
      <c r="O745" s="51"/>
      <c r="P745" s="51"/>
      <c r="Q745" s="51"/>
      <c r="R745" s="51"/>
      <c r="S745" s="51"/>
      <c r="T745" s="51"/>
      <c r="U745" s="51"/>
      <c r="V745" s="51"/>
      <c r="W745" s="51"/>
      <c r="X745" s="51"/>
      <c r="Y745" s="51"/>
      <c r="Z745" s="51"/>
      <c r="AA745" s="51"/>
      <c r="AB745" s="51"/>
    </row>
    <row r="746" customFormat="false" ht="15.75" hidden="false" customHeight="false" outlineLevel="0" collapsed="false">
      <c r="A746" s="51"/>
      <c r="B746" s="51"/>
      <c r="C746" s="6"/>
      <c r="D746" s="49"/>
      <c r="E746" s="51"/>
      <c r="F746" s="6"/>
      <c r="G746" s="6"/>
      <c r="H746" s="6"/>
      <c r="I746" s="6"/>
      <c r="J746" s="6"/>
      <c r="K746" s="51"/>
      <c r="L746" s="51"/>
      <c r="M746" s="51"/>
      <c r="N746" s="51"/>
      <c r="O746" s="51"/>
      <c r="P746" s="51"/>
      <c r="Q746" s="51"/>
      <c r="R746" s="51"/>
      <c r="S746" s="51"/>
      <c r="T746" s="51"/>
      <c r="U746" s="51"/>
      <c r="V746" s="51"/>
      <c r="W746" s="51"/>
      <c r="X746" s="51"/>
      <c r="Y746" s="51"/>
      <c r="Z746" s="51"/>
      <c r="AA746" s="51"/>
      <c r="AB746" s="51"/>
    </row>
    <row r="747" customFormat="false" ht="15.75" hidden="false" customHeight="false" outlineLevel="0" collapsed="false">
      <c r="A747" s="51"/>
      <c r="B747" s="51"/>
      <c r="C747" s="6"/>
      <c r="D747" s="49"/>
      <c r="E747" s="51"/>
      <c r="F747" s="6"/>
      <c r="G747" s="6"/>
      <c r="H747" s="6"/>
      <c r="I747" s="6"/>
      <c r="J747" s="6"/>
      <c r="K747" s="51"/>
      <c r="L747" s="51"/>
      <c r="M747" s="51"/>
      <c r="N747" s="51"/>
      <c r="O747" s="51"/>
      <c r="P747" s="51"/>
      <c r="Q747" s="51"/>
      <c r="R747" s="51"/>
      <c r="S747" s="51"/>
      <c r="T747" s="51"/>
      <c r="U747" s="51"/>
      <c r="V747" s="51"/>
      <c r="W747" s="51"/>
      <c r="X747" s="51"/>
      <c r="Y747" s="51"/>
      <c r="Z747" s="51"/>
      <c r="AA747" s="51"/>
      <c r="AB747" s="51"/>
    </row>
    <row r="748" customFormat="false" ht="15.75" hidden="false" customHeight="false" outlineLevel="0" collapsed="false">
      <c r="A748" s="51"/>
      <c r="B748" s="51"/>
      <c r="C748" s="6"/>
      <c r="D748" s="49"/>
      <c r="E748" s="51"/>
      <c r="F748" s="6"/>
      <c r="G748" s="6"/>
      <c r="H748" s="6"/>
      <c r="I748" s="6"/>
      <c r="J748" s="6"/>
      <c r="K748" s="51"/>
      <c r="L748" s="51"/>
      <c r="M748" s="51"/>
      <c r="N748" s="51"/>
      <c r="O748" s="51"/>
      <c r="P748" s="51"/>
      <c r="Q748" s="51"/>
      <c r="R748" s="51"/>
      <c r="S748" s="51"/>
      <c r="T748" s="51"/>
      <c r="U748" s="51"/>
      <c r="V748" s="51"/>
      <c r="W748" s="51"/>
      <c r="X748" s="51"/>
      <c r="Y748" s="51"/>
      <c r="Z748" s="51"/>
      <c r="AA748" s="51"/>
      <c r="AB748" s="51"/>
    </row>
    <row r="749" customFormat="false" ht="15.75" hidden="false" customHeight="false" outlineLevel="0" collapsed="false">
      <c r="A749" s="51"/>
      <c r="B749" s="51"/>
      <c r="C749" s="6"/>
      <c r="D749" s="49"/>
      <c r="E749" s="51"/>
      <c r="F749" s="6"/>
      <c r="G749" s="6"/>
      <c r="H749" s="6"/>
      <c r="I749" s="6"/>
      <c r="J749" s="6"/>
      <c r="K749" s="51"/>
      <c r="L749" s="51"/>
      <c r="M749" s="51"/>
      <c r="N749" s="51"/>
      <c r="O749" s="51"/>
      <c r="P749" s="51"/>
      <c r="Q749" s="51"/>
      <c r="R749" s="51"/>
      <c r="S749" s="51"/>
      <c r="T749" s="51"/>
      <c r="U749" s="51"/>
      <c r="V749" s="51"/>
      <c r="W749" s="51"/>
      <c r="X749" s="51"/>
      <c r="Y749" s="51"/>
      <c r="Z749" s="51"/>
      <c r="AA749" s="51"/>
      <c r="AB749" s="51"/>
    </row>
    <row r="750" customFormat="false" ht="15.75" hidden="false" customHeight="false" outlineLevel="0" collapsed="false">
      <c r="A750" s="51"/>
      <c r="B750" s="51"/>
      <c r="C750" s="6"/>
      <c r="D750" s="49"/>
      <c r="E750" s="51"/>
      <c r="F750" s="6"/>
      <c r="G750" s="6"/>
      <c r="H750" s="6"/>
      <c r="I750" s="6"/>
      <c r="J750" s="6"/>
      <c r="K750" s="51"/>
      <c r="L750" s="51"/>
      <c r="M750" s="51"/>
      <c r="N750" s="51"/>
      <c r="O750" s="51"/>
      <c r="P750" s="51"/>
      <c r="Q750" s="51"/>
      <c r="R750" s="51"/>
      <c r="S750" s="51"/>
      <c r="T750" s="51"/>
      <c r="U750" s="51"/>
      <c r="V750" s="51"/>
      <c r="W750" s="51"/>
      <c r="X750" s="51"/>
      <c r="Y750" s="51"/>
      <c r="Z750" s="51"/>
      <c r="AA750" s="51"/>
      <c r="AB750" s="51"/>
    </row>
    <row r="751" customFormat="false" ht="15.75" hidden="false" customHeight="false" outlineLevel="0" collapsed="false">
      <c r="A751" s="51"/>
      <c r="B751" s="51"/>
      <c r="C751" s="6"/>
      <c r="D751" s="49"/>
      <c r="E751" s="51"/>
      <c r="F751" s="6"/>
      <c r="G751" s="6"/>
      <c r="H751" s="6"/>
      <c r="I751" s="6"/>
      <c r="J751" s="6"/>
      <c r="K751" s="51"/>
      <c r="L751" s="51"/>
      <c r="M751" s="51"/>
      <c r="N751" s="51"/>
      <c r="O751" s="51"/>
      <c r="P751" s="51"/>
      <c r="Q751" s="51"/>
      <c r="R751" s="51"/>
      <c r="S751" s="51"/>
      <c r="T751" s="51"/>
      <c r="U751" s="51"/>
      <c r="V751" s="51"/>
      <c r="W751" s="51"/>
      <c r="X751" s="51"/>
      <c r="Y751" s="51"/>
      <c r="Z751" s="51"/>
      <c r="AA751" s="51"/>
      <c r="AB751" s="51"/>
    </row>
    <row r="752" customFormat="false" ht="15.75" hidden="false" customHeight="false" outlineLevel="0" collapsed="false">
      <c r="A752" s="51"/>
      <c r="B752" s="51"/>
      <c r="C752" s="6"/>
      <c r="D752" s="49"/>
      <c r="E752" s="51"/>
      <c r="F752" s="6"/>
      <c r="G752" s="6"/>
      <c r="H752" s="6"/>
      <c r="I752" s="6"/>
      <c r="J752" s="6"/>
      <c r="K752" s="51"/>
      <c r="L752" s="51"/>
      <c r="M752" s="51"/>
      <c r="N752" s="51"/>
      <c r="O752" s="51"/>
      <c r="P752" s="51"/>
      <c r="Q752" s="51"/>
      <c r="R752" s="51"/>
      <c r="S752" s="51"/>
      <c r="T752" s="51"/>
      <c r="U752" s="51"/>
      <c r="V752" s="51"/>
      <c r="W752" s="51"/>
      <c r="X752" s="51"/>
      <c r="Y752" s="51"/>
      <c r="Z752" s="51"/>
      <c r="AA752" s="51"/>
      <c r="AB752" s="51"/>
    </row>
    <row r="753" customFormat="false" ht="15.75" hidden="false" customHeight="false" outlineLevel="0" collapsed="false">
      <c r="A753" s="51"/>
      <c r="B753" s="51"/>
      <c r="C753" s="6"/>
      <c r="D753" s="49"/>
      <c r="E753" s="51"/>
      <c r="F753" s="6"/>
      <c r="G753" s="6"/>
      <c r="H753" s="6"/>
      <c r="I753" s="6"/>
      <c r="J753" s="6"/>
      <c r="K753" s="51"/>
      <c r="L753" s="51"/>
      <c r="M753" s="51"/>
      <c r="N753" s="51"/>
      <c r="O753" s="51"/>
      <c r="P753" s="51"/>
      <c r="Q753" s="51"/>
      <c r="R753" s="51"/>
      <c r="S753" s="51"/>
      <c r="T753" s="51"/>
      <c r="U753" s="51"/>
      <c r="V753" s="51"/>
      <c r="W753" s="51"/>
      <c r="X753" s="51"/>
      <c r="Y753" s="51"/>
      <c r="Z753" s="51"/>
      <c r="AA753" s="51"/>
      <c r="AB753" s="51"/>
    </row>
    <row r="754" customFormat="false" ht="15.75" hidden="false" customHeight="false" outlineLevel="0" collapsed="false">
      <c r="A754" s="51"/>
      <c r="B754" s="51"/>
      <c r="C754" s="6"/>
      <c r="D754" s="49"/>
      <c r="E754" s="51"/>
      <c r="F754" s="6"/>
      <c r="G754" s="6"/>
      <c r="H754" s="6"/>
      <c r="I754" s="6"/>
      <c r="J754" s="6"/>
      <c r="K754" s="51"/>
      <c r="L754" s="51"/>
      <c r="M754" s="51"/>
      <c r="N754" s="51"/>
      <c r="O754" s="51"/>
      <c r="P754" s="51"/>
      <c r="Q754" s="51"/>
      <c r="R754" s="51"/>
      <c r="S754" s="51"/>
      <c r="T754" s="51"/>
      <c r="U754" s="51"/>
      <c r="V754" s="51"/>
      <c r="W754" s="51"/>
      <c r="X754" s="51"/>
      <c r="Y754" s="51"/>
      <c r="Z754" s="51"/>
      <c r="AA754" s="51"/>
      <c r="AB754" s="51"/>
    </row>
    <row r="755" customFormat="false" ht="15.75" hidden="false" customHeight="false" outlineLevel="0" collapsed="false">
      <c r="A755" s="51"/>
      <c r="B755" s="51"/>
      <c r="C755" s="6"/>
      <c r="D755" s="49"/>
      <c r="E755" s="51"/>
      <c r="F755" s="6"/>
      <c r="G755" s="6"/>
      <c r="H755" s="6"/>
      <c r="I755" s="6"/>
      <c r="J755" s="6"/>
      <c r="K755" s="51"/>
      <c r="L755" s="51"/>
      <c r="M755" s="51"/>
      <c r="N755" s="51"/>
      <c r="O755" s="51"/>
      <c r="P755" s="51"/>
      <c r="Q755" s="51"/>
      <c r="R755" s="51"/>
      <c r="S755" s="51"/>
      <c r="T755" s="51"/>
      <c r="U755" s="51"/>
      <c r="V755" s="51"/>
      <c r="W755" s="51"/>
      <c r="X755" s="51"/>
      <c r="Y755" s="51"/>
      <c r="Z755" s="51"/>
      <c r="AA755" s="51"/>
      <c r="AB755" s="51"/>
    </row>
    <row r="756" customFormat="false" ht="15.75" hidden="false" customHeight="false" outlineLevel="0" collapsed="false">
      <c r="A756" s="51"/>
      <c r="B756" s="51"/>
      <c r="C756" s="6"/>
      <c r="D756" s="49"/>
      <c r="E756" s="51"/>
      <c r="F756" s="6"/>
      <c r="G756" s="6"/>
      <c r="H756" s="6"/>
      <c r="I756" s="6"/>
      <c r="J756" s="6"/>
      <c r="K756" s="51"/>
      <c r="L756" s="51"/>
      <c r="M756" s="51"/>
      <c r="N756" s="51"/>
      <c r="O756" s="51"/>
      <c r="P756" s="51"/>
      <c r="Q756" s="51"/>
      <c r="R756" s="51"/>
      <c r="S756" s="51"/>
      <c r="T756" s="51"/>
      <c r="U756" s="51"/>
      <c r="V756" s="51"/>
      <c r="W756" s="51"/>
      <c r="X756" s="51"/>
      <c r="Y756" s="51"/>
      <c r="Z756" s="51"/>
      <c r="AA756" s="51"/>
      <c r="AB756" s="51"/>
    </row>
    <row r="757" customFormat="false" ht="15.75" hidden="false" customHeight="false" outlineLevel="0" collapsed="false">
      <c r="A757" s="51"/>
      <c r="B757" s="51"/>
      <c r="C757" s="6"/>
      <c r="D757" s="49"/>
      <c r="E757" s="51"/>
      <c r="F757" s="6"/>
      <c r="G757" s="6"/>
      <c r="H757" s="6"/>
      <c r="I757" s="6"/>
      <c r="J757" s="6"/>
      <c r="K757" s="51"/>
      <c r="L757" s="51"/>
      <c r="M757" s="51"/>
      <c r="N757" s="51"/>
      <c r="O757" s="51"/>
      <c r="P757" s="51"/>
      <c r="Q757" s="51"/>
      <c r="R757" s="51"/>
      <c r="S757" s="51"/>
      <c r="T757" s="51"/>
      <c r="U757" s="51"/>
      <c r="V757" s="51"/>
      <c r="W757" s="51"/>
      <c r="X757" s="51"/>
      <c r="Y757" s="51"/>
      <c r="Z757" s="51"/>
      <c r="AA757" s="51"/>
      <c r="AB757" s="51"/>
    </row>
    <row r="758" customFormat="false" ht="15.75" hidden="false" customHeight="false" outlineLevel="0" collapsed="false">
      <c r="A758" s="51"/>
      <c r="B758" s="51"/>
      <c r="C758" s="6"/>
      <c r="D758" s="49"/>
      <c r="E758" s="51"/>
      <c r="F758" s="6"/>
      <c r="G758" s="6"/>
      <c r="H758" s="6"/>
      <c r="I758" s="6"/>
      <c r="J758" s="6"/>
      <c r="K758" s="51"/>
      <c r="L758" s="51"/>
      <c r="M758" s="51"/>
      <c r="N758" s="51"/>
      <c r="O758" s="51"/>
      <c r="P758" s="51"/>
      <c r="Q758" s="51"/>
      <c r="R758" s="51"/>
      <c r="S758" s="51"/>
      <c r="T758" s="51"/>
      <c r="U758" s="51"/>
      <c r="V758" s="51"/>
      <c r="W758" s="51"/>
      <c r="X758" s="51"/>
      <c r="Y758" s="51"/>
      <c r="Z758" s="51"/>
      <c r="AA758" s="51"/>
      <c r="AB758" s="51"/>
    </row>
    <row r="759" customFormat="false" ht="15.75" hidden="false" customHeight="false" outlineLevel="0" collapsed="false">
      <c r="A759" s="51"/>
      <c r="B759" s="51"/>
      <c r="C759" s="6"/>
      <c r="D759" s="49"/>
      <c r="E759" s="51"/>
      <c r="F759" s="6"/>
      <c r="G759" s="6"/>
      <c r="H759" s="6"/>
      <c r="I759" s="6"/>
      <c r="J759" s="6"/>
      <c r="K759" s="51"/>
      <c r="L759" s="51"/>
      <c r="M759" s="51"/>
      <c r="N759" s="51"/>
      <c r="O759" s="51"/>
      <c r="P759" s="51"/>
      <c r="Q759" s="51"/>
      <c r="R759" s="51"/>
      <c r="S759" s="51"/>
      <c r="T759" s="51"/>
      <c r="U759" s="51"/>
      <c r="V759" s="51"/>
      <c r="W759" s="51"/>
      <c r="X759" s="51"/>
      <c r="Y759" s="51"/>
      <c r="Z759" s="51"/>
      <c r="AA759" s="51"/>
      <c r="AB759" s="51"/>
    </row>
    <row r="760" customFormat="false" ht="15.75" hidden="false" customHeight="false" outlineLevel="0" collapsed="false">
      <c r="A760" s="51"/>
      <c r="B760" s="51"/>
      <c r="C760" s="6"/>
      <c r="D760" s="49"/>
      <c r="E760" s="51"/>
      <c r="F760" s="6"/>
      <c r="G760" s="6"/>
      <c r="H760" s="6"/>
      <c r="I760" s="6"/>
      <c r="J760" s="6"/>
      <c r="K760" s="51"/>
      <c r="L760" s="51"/>
      <c r="M760" s="51"/>
      <c r="N760" s="51"/>
      <c r="O760" s="51"/>
      <c r="P760" s="51"/>
      <c r="Q760" s="51"/>
      <c r="R760" s="51"/>
      <c r="S760" s="51"/>
      <c r="T760" s="51"/>
      <c r="U760" s="51"/>
      <c r="V760" s="51"/>
      <c r="W760" s="51"/>
      <c r="X760" s="51"/>
      <c r="Y760" s="51"/>
      <c r="Z760" s="51"/>
      <c r="AA760" s="51"/>
      <c r="AB760" s="51"/>
    </row>
    <row r="761" customFormat="false" ht="15.75" hidden="false" customHeight="false" outlineLevel="0" collapsed="false">
      <c r="A761" s="51"/>
      <c r="B761" s="51"/>
      <c r="C761" s="6"/>
      <c r="D761" s="49"/>
      <c r="E761" s="51"/>
      <c r="F761" s="6"/>
      <c r="G761" s="6"/>
      <c r="H761" s="6"/>
      <c r="I761" s="6"/>
      <c r="J761" s="6"/>
      <c r="K761" s="51"/>
      <c r="L761" s="51"/>
      <c r="M761" s="51"/>
      <c r="N761" s="51"/>
      <c r="O761" s="51"/>
      <c r="P761" s="51"/>
      <c r="Q761" s="51"/>
      <c r="R761" s="51"/>
      <c r="S761" s="51"/>
      <c r="T761" s="51"/>
      <c r="U761" s="51"/>
      <c r="V761" s="51"/>
      <c r="W761" s="51"/>
      <c r="X761" s="51"/>
      <c r="Y761" s="51"/>
      <c r="Z761" s="51"/>
      <c r="AA761" s="51"/>
      <c r="AB761" s="51"/>
    </row>
    <row r="762" customFormat="false" ht="15.75" hidden="false" customHeight="false" outlineLevel="0" collapsed="false">
      <c r="A762" s="51"/>
      <c r="B762" s="51"/>
      <c r="C762" s="6"/>
      <c r="D762" s="49"/>
      <c r="E762" s="51"/>
      <c r="F762" s="6"/>
      <c r="G762" s="6"/>
      <c r="H762" s="6"/>
      <c r="I762" s="6"/>
      <c r="J762" s="6"/>
      <c r="K762" s="51"/>
      <c r="L762" s="51"/>
      <c r="M762" s="51"/>
      <c r="N762" s="51"/>
      <c r="O762" s="51"/>
      <c r="P762" s="51"/>
      <c r="Q762" s="51"/>
      <c r="R762" s="51"/>
      <c r="S762" s="51"/>
      <c r="T762" s="51"/>
      <c r="U762" s="51"/>
      <c r="V762" s="51"/>
      <c r="W762" s="51"/>
      <c r="X762" s="51"/>
      <c r="Y762" s="51"/>
      <c r="Z762" s="51"/>
      <c r="AA762" s="51"/>
      <c r="AB762" s="51"/>
    </row>
    <row r="763" customFormat="false" ht="15.75" hidden="false" customHeight="false" outlineLevel="0" collapsed="false">
      <c r="A763" s="51"/>
      <c r="B763" s="51"/>
      <c r="C763" s="6"/>
      <c r="D763" s="49"/>
      <c r="E763" s="51"/>
      <c r="F763" s="6"/>
      <c r="G763" s="6"/>
      <c r="H763" s="6"/>
      <c r="I763" s="6"/>
      <c r="J763" s="6"/>
      <c r="K763" s="51"/>
      <c r="L763" s="51"/>
      <c r="M763" s="51"/>
      <c r="N763" s="51"/>
      <c r="O763" s="51"/>
      <c r="P763" s="51"/>
      <c r="Q763" s="51"/>
      <c r="R763" s="51"/>
      <c r="S763" s="51"/>
      <c r="T763" s="51"/>
      <c r="U763" s="51"/>
      <c r="V763" s="51"/>
      <c r="W763" s="51"/>
      <c r="X763" s="51"/>
      <c r="Y763" s="51"/>
      <c r="Z763" s="51"/>
      <c r="AA763" s="51"/>
      <c r="AB763" s="51"/>
    </row>
    <row r="764" customFormat="false" ht="15.75" hidden="false" customHeight="false" outlineLevel="0" collapsed="false">
      <c r="A764" s="51"/>
      <c r="B764" s="51"/>
      <c r="C764" s="6"/>
      <c r="D764" s="49"/>
      <c r="E764" s="51"/>
      <c r="F764" s="6"/>
      <c r="G764" s="6"/>
      <c r="H764" s="6"/>
      <c r="I764" s="6"/>
      <c r="J764" s="6"/>
      <c r="K764" s="51"/>
      <c r="L764" s="51"/>
      <c r="M764" s="51"/>
      <c r="N764" s="51"/>
      <c r="O764" s="51"/>
      <c r="P764" s="51"/>
      <c r="Q764" s="51"/>
      <c r="R764" s="51"/>
      <c r="S764" s="51"/>
      <c r="T764" s="51"/>
      <c r="U764" s="51"/>
      <c r="V764" s="51"/>
      <c r="W764" s="51"/>
      <c r="X764" s="51"/>
      <c r="Y764" s="51"/>
      <c r="Z764" s="51"/>
      <c r="AA764" s="51"/>
      <c r="AB764" s="51"/>
    </row>
    <row r="765" customFormat="false" ht="15.75" hidden="false" customHeight="false" outlineLevel="0" collapsed="false">
      <c r="A765" s="51"/>
      <c r="B765" s="51"/>
      <c r="C765" s="6"/>
      <c r="D765" s="49"/>
      <c r="E765" s="51"/>
      <c r="F765" s="6"/>
      <c r="G765" s="6"/>
      <c r="H765" s="6"/>
      <c r="I765" s="6"/>
      <c r="J765" s="6"/>
      <c r="K765" s="51"/>
      <c r="L765" s="51"/>
      <c r="M765" s="51"/>
      <c r="N765" s="51"/>
      <c r="O765" s="51"/>
      <c r="P765" s="51"/>
      <c r="Q765" s="51"/>
      <c r="R765" s="51"/>
      <c r="S765" s="51"/>
      <c r="T765" s="51"/>
      <c r="U765" s="51"/>
      <c r="V765" s="51"/>
      <c r="W765" s="51"/>
      <c r="X765" s="51"/>
      <c r="Y765" s="51"/>
      <c r="Z765" s="51"/>
      <c r="AA765" s="51"/>
      <c r="AB765" s="51"/>
    </row>
    <row r="766" customFormat="false" ht="15.75" hidden="false" customHeight="false" outlineLevel="0" collapsed="false">
      <c r="A766" s="51"/>
      <c r="B766" s="51"/>
      <c r="C766" s="6"/>
      <c r="D766" s="49"/>
      <c r="E766" s="51"/>
      <c r="F766" s="6"/>
      <c r="G766" s="6"/>
      <c r="H766" s="6"/>
      <c r="I766" s="6"/>
      <c r="J766" s="6"/>
      <c r="K766" s="51"/>
      <c r="L766" s="51"/>
      <c r="M766" s="51"/>
      <c r="N766" s="51"/>
      <c r="O766" s="51"/>
      <c r="P766" s="51"/>
      <c r="Q766" s="51"/>
      <c r="R766" s="51"/>
      <c r="S766" s="51"/>
      <c r="T766" s="51"/>
      <c r="U766" s="51"/>
      <c r="V766" s="51"/>
      <c r="W766" s="51"/>
      <c r="X766" s="51"/>
      <c r="Y766" s="51"/>
      <c r="Z766" s="51"/>
      <c r="AA766" s="51"/>
      <c r="AB766" s="51"/>
    </row>
    <row r="767" customFormat="false" ht="15.75" hidden="false" customHeight="false" outlineLevel="0" collapsed="false">
      <c r="A767" s="51"/>
      <c r="B767" s="51"/>
      <c r="C767" s="6"/>
      <c r="D767" s="49"/>
      <c r="E767" s="51"/>
      <c r="F767" s="6"/>
      <c r="G767" s="6"/>
      <c r="H767" s="6"/>
      <c r="I767" s="6"/>
      <c r="J767" s="6"/>
      <c r="K767" s="51"/>
      <c r="L767" s="51"/>
      <c r="M767" s="51"/>
      <c r="N767" s="51"/>
      <c r="O767" s="51"/>
      <c r="P767" s="51"/>
      <c r="Q767" s="51"/>
      <c r="R767" s="51"/>
      <c r="S767" s="51"/>
      <c r="T767" s="51"/>
      <c r="U767" s="51"/>
      <c r="V767" s="51"/>
      <c r="W767" s="51"/>
      <c r="X767" s="51"/>
      <c r="Y767" s="51"/>
      <c r="Z767" s="51"/>
      <c r="AA767" s="51"/>
      <c r="AB767" s="51"/>
    </row>
    <row r="768" customFormat="false" ht="15.75" hidden="false" customHeight="false" outlineLevel="0" collapsed="false">
      <c r="A768" s="51"/>
      <c r="B768" s="51"/>
      <c r="C768" s="6"/>
      <c r="D768" s="49"/>
      <c r="E768" s="51"/>
      <c r="F768" s="6"/>
      <c r="G768" s="6"/>
      <c r="H768" s="6"/>
      <c r="I768" s="6"/>
      <c r="J768" s="6"/>
      <c r="K768" s="51"/>
      <c r="L768" s="51"/>
      <c r="M768" s="51"/>
      <c r="N768" s="51"/>
      <c r="O768" s="51"/>
      <c r="P768" s="51"/>
      <c r="Q768" s="51"/>
      <c r="R768" s="51"/>
      <c r="S768" s="51"/>
      <c r="T768" s="51"/>
      <c r="U768" s="51"/>
      <c r="V768" s="51"/>
      <c r="W768" s="51"/>
      <c r="X768" s="51"/>
      <c r="Y768" s="51"/>
      <c r="Z768" s="51"/>
      <c r="AA768" s="51"/>
      <c r="AB768" s="51"/>
    </row>
    <row r="769" customFormat="false" ht="15.75" hidden="false" customHeight="false" outlineLevel="0" collapsed="false">
      <c r="A769" s="51"/>
      <c r="B769" s="51"/>
      <c r="C769" s="6"/>
      <c r="D769" s="49"/>
      <c r="E769" s="51"/>
      <c r="F769" s="6"/>
      <c r="G769" s="6"/>
      <c r="H769" s="6"/>
      <c r="I769" s="6"/>
      <c r="J769" s="6"/>
      <c r="K769" s="51"/>
      <c r="L769" s="51"/>
      <c r="M769" s="51"/>
      <c r="N769" s="51"/>
      <c r="O769" s="51"/>
      <c r="P769" s="51"/>
      <c r="Q769" s="51"/>
      <c r="R769" s="51"/>
      <c r="S769" s="51"/>
      <c r="T769" s="51"/>
      <c r="U769" s="51"/>
      <c r="V769" s="51"/>
      <c r="W769" s="51"/>
      <c r="X769" s="51"/>
      <c r="Y769" s="51"/>
      <c r="Z769" s="51"/>
      <c r="AA769" s="51"/>
      <c r="AB769" s="51"/>
    </row>
    <row r="770" customFormat="false" ht="15.75" hidden="false" customHeight="false" outlineLevel="0" collapsed="false">
      <c r="A770" s="51"/>
      <c r="B770" s="51"/>
      <c r="C770" s="6"/>
      <c r="D770" s="49"/>
      <c r="E770" s="51"/>
      <c r="F770" s="6"/>
      <c r="G770" s="6"/>
      <c r="H770" s="6"/>
      <c r="I770" s="6"/>
      <c r="J770" s="6"/>
      <c r="K770" s="51"/>
      <c r="L770" s="51"/>
      <c r="M770" s="51"/>
      <c r="N770" s="51"/>
      <c r="O770" s="51"/>
      <c r="P770" s="51"/>
      <c r="Q770" s="51"/>
      <c r="R770" s="51"/>
      <c r="S770" s="51"/>
      <c r="T770" s="51"/>
      <c r="U770" s="51"/>
      <c r="V770" s="51"/>
      <c r="W770" s="51"/>
      <c r="X770" s="51"/>
      <c r="Y770" s="51"/>
      <c r="Z770" s="51"/>
      <c r="AA770" s="51"/>
      <c r="AB770" s="51"/>
    </row>
    <row r="771" customFormat="false" ht="15.75" hidden="false" customHeight="false" outlineLevel="0" collapsed="false">
      <c r="A771" s="51"/>
      <c r="B771" s="51"/>
      <c r="C771" s="6"/>
      <c r="D771" s="49"/>
      <c r="E771" s="51"/>
      <c r="F771" s="6"/>
      <c r="G771" s="6"/>
      <c r="H771" s="6"/>
      <c r="I771" s="6"/>
      <c r="J771" s="6"/>
      <c r="K771" s="51"/>
      <c r="L771" s="51"/>
      <c r="M771" s="51"/>
      <c r="N771" s="51"/>
      <c r="O771" s="51"/>
      <c r="P771" s="51"/>
      <c r="Q771" s="51"/>
      <c r="R771" s="51"/>
      <c r="S771" s="51"/>
      <c r="T771" s="51"/>
      <c r="U771" s="51"/>
      <c r="V771" s="51"/>
      <c r="W771" s="51"/>
      <c r="X771" s="51"/>
      <c r="Y771" s="51"/>
      <c r="Z771" s="51"/>
      <c r="AA771" s="51"/>
      <c r="AB771" s="51"/>
    </row>
    <row r="772" customFormat="false" ht="15.75" hidden="false" customHeight="false" outlineLevel="0" collapsed="false">
      <c r="A772" s="51"/>
      <c r="B772" s="51"/>
      <c r="C772" s="6"/>
      <c r="D772" s="49"/>
      <c r="E772" s="51"/>
      <c r="F772" s="6"/>
      <c r="G772" s="6"/>
      <c r="H772" s="6"/>
      <c r="I772" s="6"/>
      <c r="J772" s="6"/>
      <c r="K772" s="51"/>
      <c r="L772" s="51"/>
      <c r="M772" s="51"/>
      <c r="N772" s="51"/>
      <c r="O772" s="51"/>
      <c r="P772" s="51"/>
      <c r="Q772" s="51"/>
      <c r="R772" s="51"/>
      <c r="S772" s="51"/>
      <c r="T772" s="51"/>
      <c r="U772" s="51"/>
      <c r="V772" s="51"/>
      <c r="W772" s="51"/>
      <c r="X772" s="51"/>
      <c r="Y772" s="51"/>
      <c r="Z772" s="51"/>
      <c r="AA772" s="51"/>
      <c r="AB772" s="51"/>
    </row>
    <row r="773" customFormat="false" ht="15.75" hidden="false" customHeight="false" outlineLevel="0" collapsed="false">
      <c r="A773" s="51"/>
      <c r="B773" s="51"/>
      <c r="C773" s="6"/>
      <c r="D773" s="49"/>
      <c r="E773" s="51"/>
      <c r="F773" s="6"/>
      <c r="G773" s="6"/>
      <c r="H773" s="6"/>
      <c r="I773" s="6"/>
      <c r="J773" s="6"/>
      <c r="K773" s="51"/>
      <c r="L773" s="51"/>
      <c r="M773" s="51"/>
      <c r="N773" s="51"/>
      <c r="O773" s="51"/>
      <c r="P773" s="51"/>
      <c r="Q773" s="51"/>
      <c r="R773" s="51"/>
      <c r="S773" s="51"/>
      <c r="T773" s="51"/>
      <c r="U773" s="51"/>
      <c r="V773" s="51"/>
      <c r="W773" s="51"/>
      <c r="X773" s="51"/>
      <c r="Y773" s="51"/>
      <c r="Z773" s="51"/>
      <c r="AA773" s="51"/>
      <c r="AB773" s="51"/>
    </row>
    <row r="774" customFormat="false" ht="15.75" hidden="false" customHeight="false" outlineLevel="0" collapsed="false">
      <c r="A774" s="51"/>
      <c r="B774" s="51"/>
      <c r="C774" s="6"/>
      <c r="D774" s="49"/>
      <c r="E774" s="51"/>
      <c r="F774" s="6"/>
      <c r="G774" s="6"/>
      <c r="H774" s="6"/>
      <c r="I774" s="6"/>
      <c r="J774" s="6"/>
      <c r="K774" s="51"/>
      <c r="L774" s="51"/>
      <c r="M774" s="51"/>
      <c r="N774" s="51"/>
      <c r="O774" s="51"/>
      <c r="P774" s="51"/>
      <c r="Q774" s="51"/>
      <c r="R774" s="51"/>
      <c r="S774" s="51"/>
      <c r="T774" s="51"/>
      <c r="U774" s="51"/>
      <c r="V774" s="51"/>
      <c r="W774" s="51"/>
      <c r="X774" s="51"/>
      <c r="Y774" s="51"/>
      <c r="Z774" s="51"/>
      <c r="AA774" s="51"/>
      <c r="AB774" s="51"/>
    </row>
    <row r="775" customFormat="false" ht="15.75" hidden="false" customHeight="false" outlineLevel="0" collapsed="false">
      <c r="A775" s="51"/>
      <c r="B775" s="51"/>
      <c r="C775" s="6"/>
      <c r="D775" s="49"/>
      <c r="E775" s="51"/>
      <c r="F775" s="6"/>
      <c r="G775" s="6"/>
      <c r="H775" s="6"/>
      <c r="I775" s="6"/>
      <c r="J775" s="6"/>
      <c r="K775" s="51"/>
      <c r="L775" s="51"/>
      <c r="M775" s="51"/>
      <c r="N775" s="51"/>
      <c r="O775" s="51"/>
      <c r="P775" s="51"/>
      <c r="Q775" s="51"/>
      <c r="R775" s="51"/>
      <c r="S775" s="51"/>
      <c r="T775" s="51"/>
      <c r="U775" s="51"/>
      <c r="V775" s="51"/>
      <c r="W775" s="51"/>
      <c r="X775" s="51"/>
      <c r="Y775" s="51"/>
      <c r="Z775" s="51"/>
      <c r="AA775" s="51"/>
      <c r="AB775" s="51"/>
    </row>
    <row r="776" customFormat="false" ht="15.75" hidden="false" customHeight="false" outlineLevel="0" collapsed="false">
      <c r="A776" s="51"/>
      <c r="B776" s="51"/>
      <c r="C776" s="6"/>
      <c r="D776" s="49"/>
      <c r="E776" s="51"/>
      <c r="F776" s="6"/>
      <c r="G776" s="6"/>
      <c r="H776" s="6"/>
      <c r="I776" s="6"/>
      <c r="J776" s="6"/>
      <c r="K776" s="51"/>
      <c r="L776" s="51"/>
      <c r="M776" s="51"/>
      <c r="N776" s="51"/>
      <c r="O776" s="51"/>
      <c r="P776" s="51"/>
      <c r="Q776" s="51"/>
      <c r="R776" s="51"/>
      <c r="S776" s="51"/>
      <c r="T776" s="51"/>
      <c r="U776" s="51"/>
      <c r="V776" s="51"/>
      <c r="W776" s="51"/>
      <c r="X776" s="51"/>
      <c r="Y776" s="51"/>
      <c r="Z776" s="51"/>
      <c r="AA776" s="51"/>
      <c r="AB776" s="51"/>
    </row>
    <row r="777" customFormat="false" ht="15.75" hidden="false" customHeight="false" outlineLevel="0" collapsed="false">
      <c r="A777" s="51"/>
      <c r="B777" s="51"/>
      <c r="C777" s="6"/>
      <c r="D777" s="49"/>
      <c r="E777" s="51"/>
      <c r="F777" s="6"/>
      <c r="G777" s="6"/>
      <c r="H777" s="6"/>
      <c r="I777" s="6"/>
      <c r="J777" s="6"/>
      <c r="K777" s="51"/>
      <c r="L777" s="51"/>
      <c r="M777" s="51"/>
      <c r="N777" s="51"/>
      <c r="O777" s="51"/>
      <c r="P777" s="51"/>
      <c r="Q777" s="51"/>
      <c r="R777" s="51"/>
      <c r="S777" s="51"/>
      <c r="T777" s="51"/>
      <c r="U777" s="51"/>
      <c r="V777" s="51"/>
      <c r="W777" s="51"/>
      <c r="X777" s="51"/>
      <c r="Y777" s="51"/>
      <c r="Z777" s="51"/>
      <c r="AA777" s="51"/>
      <c r="AB777" s="51"/>
    </row>
    <row r="778" customFormat="false" ht="15.75" hidden="false" customHeight="false" outlineLevel="0" collapsed="false">
      <c r="A778" s="51"/>
      <c r="B778" s="51"/>
      <c r="C778" s="6"/>
      <c r="D778" s="49"/>
      <c r="E778" s="51"/>
      <c r="F778" s="6"/>
      <c r="G778" s="6"/>
      <c r="H778" s="6"/>
      <c r="I778" s="6"/>
      <c r="J778" s="6"/>
      <c r="K778" s="51"/>
      <c r="L778" s="51"/>
      <c r="M778" s="51"/>
      <c r="N778" s="51"/>
      <c r="O778" s="51"/>
      <c r="P778" s="51"/>
      <c r="Q778" s="51"/>
      <c r="R778" s="51"/>
      <c r="S778" s="51"/>
      <c r="T778" s="51"/>
      <c r="U778" s="51"/>
      <c r="V778" s="51"/>
      <c r="W778" s="51"/>
      <c r="X778" s="51"/>
      <c r="Y778" s="51"/>
      <c r="Z778" s="51"/>
      <c r="AA778" s="51"/>
      <c r="AB778" s="51"/>
    </row>
    <row r="779" customFormat="false" ht="15.75" hidden="false" customHeight="false" outlineLevel="0" collapsed="false">
      <c r="A779" s="51"/>
      <c r="B779" s="51"/>
      <c r="C779" s="6"/>
      <c r="D779" s="49"/>
      <c r="E779" s="51"/>
      <c r="F779" s="6"/>
      <c r="G779" s="6"/>
      <c r="H779" s="6"/>
      <c r="I779" s="6"/>
      <c r="J779" s="6"/>
      <c r="K779" s="51"/>
      <c r="L779" s="51"/>
      <c r="M779" s="51"/>
      <c r="N779" s="51"/>
      <c r="O779" s="51"/>
      <c r="P779" s="51"/>
      <c r="Q779" s="51"/>
      <c r="R779" s="51"/>
      <c r="S779" s="51"/>
      <c r="T779" s="51"/>
      <c r="U779" s="51"/>
      <c r="V779" s="51"/>
      <c r="W779" s="51"/>
      <c r="X779" s="51"/>
      <c r="Y779" s="51"/>
      <c r="Z779" s="51"/>
      <c r="AA779" s="51"/>
      <c r="AB779" s="51"/>
    </row>
    <row r="780" customFormat="false" ht="15.75" hidden="false" customHeight="false" outlineLevel="0" collapsed="false">
      <c r="A780" s="51"/>
      <c r="B780" s="51"/>
      <c r="C780" s="6"/>
      <c r="D780" s="49"/>
      <c r="E780" s="51"/>
      <c r="F780" s="6"/>
      <c r="G780" s="6"/>
      <c r="H780" s="6"/>
      <c r="I780" s="6"/>
      <c r="J780" s="6"/>
      <c r="K780" s="51"/>
      <c r="L780" s="51"/>
      <c r="M780" s="51"/>
      <c r="N780" s="51"/>
      <c r="O780" s="51"/>
      <c r="P780" s="51"/>
      <c r="Q780" s="51"/>
      <c r="R780" s="51"/>
      <c r="S780" s="51"/>
      <c r="T780" s="51"/>
      <c r="U780" s="51"/>
      <c r="V780" s="51"/>
      <c r="W780" s="51"/>
      <c r="X780" s="51"/>
      <c r="Y780" s="51"/>
      <c r="Z780" s="51"/>
      <c r="AA780" s="51"/>
      <c r="AB780" s="51"/>
    </row>
    <row r="781" customFormat="false" ht="15.75" hidden="false" customHeight="false" outlineLevel="0" collapsed="false">
      <c r="A781" s="51"/>
      <c r="B781" s="51"/>
      <c r="C781" s="6"/>
      <c r="D781" s="49"/>
      <c r="E781" s="51"/>
      <c r="F781" s="6"/>
      <c r="G781" s="6"/>
      <c r="H781" s="6"/>
      <c r="I781" s="6"/>
      <c r="J781" s="6"/>
      <c r="K781" s="51"/>
      <c r="L781" s="51"/>
      <c r="M781" s="51"/>
      <c r="N781" s="51"/>
      <c r="O781" s="51"/>
      <c r="P781" s="51"/>
      <c r="Q781" s="51"/>
      <c r="R781" s="51"/>
      <c r="S781" s="51"/>
      <c r="T781" s="51"/>
      <c r="U781" s="51"/>
      <c r="V781" s="51"/>
      <c r="W781" s="51"/>
      <c r="X781" s="51"/>
      <c r="Y781" s="51"/>
      <c r="Z781" s="51"/>
      <c r="AA781" s="51"/>
      <c r="AB781" s="51"/>
    </row>
    <row r="782" customFormat="false" ht="15.75" hidden="false" customHeight="false" outlineLevel="0" collapsed="false">
      <c r="A782" s="51"/>
      <c r="B782" s="51"/>
      <c r="C782" s="6"/>
      <c r="D782" s="49"/>
      <c r="E782" s="51"/>
      <c r="F782" s="6"/>
      <c r="G782" s="6"/>
      <c r="H782" s="6"/>
      <c r="I782" s="6"/>
      <c r="J782" s="6"/>
      <c r="K782" s="51"/>
      <c r="L782" s="51"/>
      <c r="M782" s="51"/>
      <c r="N782" s="51"/>
      <c r="O782" s="51"/>
      <c r="P782" s="51"/>
      <c r="Q782" s="51"/>
      <c r="R782" s="51"/>
      <c r="S782" s="51"/>
      <c r="T782" s="51"/>
      <c r="U782" s="51"/>
      <c r="V782" s="51"/>
      <c r="W782" s="51"/>
      <c r="X782" s="51"/>
      <c r="Y782" s="51"/>
      <c r="Z782" s="51"/>
      <c r="AA782" s="51"/>
      <c r="AB782" s="51"/>
    </row>
    <row r="783" customFormat="false" ht="15.75" hidden="false" customHeight="false" outlineLevel="0" collapsed="false">
      <c r="A783" s="51"/>
      <c r="B783" s="51"/>
      <c r="C783" s="6"/>
      <c r="D783" s="49"/>
      <c r="E783" s="51"/>
      <c r="F783" s="6"/>
      <c r="G783" s="6"/>
      <c r="H783" s="6"/>
      <c r="I783" s="6"/>
      <c r="J783" s="6"/>
      <c r="K783" s="51"/>
      <c r="L783" s="51"/>
      <c r="M783" s="51"/>
      <c r="N783" s="51"/>
      <c r="O783" s="51"/>
      <c r="P783" s="51"/>
      <c r="Q783" s="51"/>
      <c r="R783" s="51"/>
      <c r="S783" s="51"/>
      <c r="T783" s="51"/>
      <c r="U783" s="51"/>
      <c r="V783" s="51"/>
      <c r="W783" s="51"/>
      <c r="X783" s="51"/>
      <c r="Y783" s="51"/>
      <c r="Z783" s="51"/>
      <c r="AA783" s="51"/>
      <c r="AB783" s="51"/>
    </row>
    <row r="784" customFormat="false" ht="15.75" hidden="false" customHeight="false" outlineLevel="0" collapsed="false">
      <c r="A784" s="51"/>
      <c r="B784" s="51"/>
      <c r="C784" s="6"/>
      <c r="D784" s="49"/>
      <c r="E784" s="51"/>
      <c r="F784" s="6"/>
      <c r="G784" s="6"/>
      <c r="H784" s="6"/>
      <c r="I784" s="6"/>
      <c r="J784" s="6"/>
      <c r="K784" s="51"/>
      <c r="L784" s="51"/>
      <c r="M784" s="51"/>
      <c r="N784" s="51"/>
      <c r="O784" s="51"/>
      <c r="P784" s="51"/>
      <c r="Q784" s="51"/>
      <c r="R784" s="51"/>
      <c r="S784" s="51"/>
      <c r="T784" s="51"/>
      <c r="U784" s="51"/>
      <c r="V784" s="51"/>
      <c r="W784" s="51"/>
      <c r="X784" s="51"/>
      <c r="Y784" s="51"/>
      <c r="Z784" s="51"/>
      <c r="AA784" s="51"/>
      <c r="AB784" s="51"/>
    </row>
    <row r="785" customFormat="false" ht="15.75" hidden="false" customHeight="false" outlineLevel="0" collapsed="false">
      <c r="A785" s="51"/>
      <c r="B785" s="51"/>
      <c r="C785" s="6"/>
      <c r="D785" s="49"/>
      <c r="E785" s="51"/>
      <c r="F785" s="6"/>
      <c r="G785" s="6"/>
      <c r="H785" s="6"/>
      <c r="I785" s="6"/>
      <c r="J785" s="6"/>
      <c r="K785" s="51"/>
      <c r="L785" s="51"/>
      <c r="M785" s="51"/>
      <c r="N785" s="51"/>
      <c r="O785" s="51"/>
      <c r="P785" s="51"/>
      <c r="Q785" s="51"/>
      <c r="R785" s="51"/>
      <c r="S785" s="51"/>
      <c r="T785" s="51"/>
      <c r="U785" s="51"/>
      <c r="V785" s="51"/>
      <c r="W785" s="51"/>
      <c r="X785" s="51"/>
      <c r="Y785" s="51"/>
      <c r="Z785" s="51"/>
      <c r="AA785" s="51"/>
      <c r="AB785" s="51"/>
    </row>
    <row r="786" customFormat="false" ht="15.75" hidden="false" customHeight="false" outlineLevel="0" collapsed="false">
      <c r="A786" s="51"/>
      <c r="B786" s="51"/>
      <c r="C786" s="6"/>
      <c r="D786" s="49"/>
      <c r="E786" s="51"/>
      <c r="F786" s="6"/>
      <c r="G786" s="6"/>
      <c r="H786" s="6"/>
      <c r="I786" s="6"/>
      <c r="J786" s="6"/>
      <c r="K786" s="51"/>
      <c r="L786" s="51"/>
      <c r="M786" s="51"/>
      <c r="N786" s="51"/>
      <c r="O786" s="51"/>
      <c r="P786" s="51"/>
      <c r="Q786" s="51"/>
      <c r="R786" s="51"/>
      <c r="S786" s="51"/>
      <c r="T786" s="51"/>
      <c r="U786" s="51"/>
      <c r="V786" s="51"/>
      <c r="W786" s="51"/>
      <c r="X786" s="51"/>
      <c r="Y786" s="51"/>
      <c r="Z786" s="51"/>
      <c r="AA786" s="51"/>
      <c r="AB786" s="51"/>
    </row>
    <row r="787" customFormat="false" ht="15.75" hidden="false" customHeight="false" outlineLevel="0" collapsed="false">
      <c r="A787" s="51"/>
      <c r="B787" s="51"/>
      <c r="C787" s="6"/>
      <c r="D787" s="49"/>
      <c r="E787" s="51"/>
      <c r="F787" s="6"/>
      <c r="G787" s="6"/>
      <c r="H787" s="6"/>
      <c r="I787" s="6"/>
      <c r="J787" s="6"/>
      <c r="K787" s="51"/>
      <c r="L787" s="51"/>
      <c r="M787" s="51"/>
      <c r="N787" s="51"/>
      <c r="O787" s="51"/>
      <c r="P787" s="51"/>
      <c r="Q787" s="51"/>
      <c r="R787" s="51"/>
      <c r="S787" s="51"/>
      <c r="T787" s="51"/>
      <c r="U787" s="51"/>
      <c r="V787" s="51"/>
      <c r="W787" s="51"/>
      <c r="X787" s="51"/>
      <c r="Y787" s="51"/>
      <c r="Z787" s="51"/>
      <c r="AA787" s="51"/>
      <c r="AB787" s="51"/>
    </row>
    <row r="788" customFormat="false" ht="15.75" hidden="false" customHeight="false" outlineLevel="0" collapsed="false">
      <c r="A788" s="51"/>
      <c r="B788" s="51"/>
      <c r="C788" s="6"/>
      <c r="D788" s="49"/>
      <c r="E788" s="51"/>
      <c r="F788" s="6"/>
      <c r="G788" s="6"/>
      <c r="H788" s="6"/>
      <c r="I788" s="6"/>
      <c r="J788" s="6"/>
      <c r="K788" s="51"/>
      <c r="L788" s="51"/>
      <c r="M788" s="51"/>
      <c r="N788" s="51"/>
      <c r="O788" s="51"/>
      <c r="P788" s="51"/>
      <c r="Q788" s="51"/>
      <c r="R788" s="51"/>
      <c r="S788" s="51"/>
      <c r="T788" s="51"/>
      <c r="U788" s="51"/>
      <c r="V788" s="51"/>
      <c r="W788" s="51"/>
      <c r="X788" s="51"/>
      <c r="Y788" s="51"/>
      <c r="Z788" s="51"/>
      <c r="AA788" s="51"/>
      <c r="AB788" s="51"/>
    </row>
    <row r="789" customFormat="false" ht="15.75" hidden="false" customHeight="false" outlineLevel="0" collapsed="false">
      <c r="A789" s="51"/>
      <c r="B789" s="51"/>
      <c r="C789" s="6"/>
      <c r="D789" s="49"/>
      <c r="E789" s="51"/>
      <c r="F789" s="6"/>
      <c r="G789" s="6"/>
      <c r="H789" s="6"/>
      <c r="I789" s="6"/>
      <c r="J789" s="6"/>
      <c r="K789" s="51"/>
      <c r="L789" s="51"/>
      <c r="M789" s="51"/>
      <c r="N789" s="51"/>
      <c r="O789" s="51"/>
      <c r="P789" s="51"/>
      <c r="Q789" s="51"/>
      <c r="R789" s="51"/>
      <c r="S789" s="51"/>
      <c r="T789" s="51"/>
      <c r="U789" s="51"/>
      <c r="V789" s="51"/>
      <c r="W789" s="51"/>
      <c r="X789" s="51"/>
      <c r="Y789" s="51"/>
      <c r="Z789" s="51"/>
      <c r="AA789" s="51"/>
      <c r="AB789" s="51"/>
    </row>
    <row r="790" customFormat="false" ht="15.75" hidden="false" customHeight="false" outlineLevel="0" collapsed="false">
      <c r="A790" s="51"/>
      <c r="B790" s="51"/>
      <c r="C790" s="6"/>
      <c r="D790" s="49"/>
      <c r="E790" s="51"/>
      <c r="F790" s="6"/>
      <c r="G790" s="6"/>
      <c r="H790" s="6"/>
      <c r="I790" s="6"/>
      <c r="J790" s="6"/>
      <c r="K790" s="51"/>
      <c r="L790" s="51"/>
      <c r="M790" s="51"/>
      <c r="N790" s="51"/>
      <c r="O790" s="51"/>
      <c r="P790" s="51"/>
      <c r="Q790" s="51"/>
      <c r="R790" s="51"/>
      <c r="S790" s="51"/>
      <c r="T790" s="51"/>
      <c r="U790" s="51"/>
      <c r="V790" s="51"/>
      <c r="W790" s="51"/>
      <c r="X790" s="51"/>
      <c r="Y790" s="51"/>
      <c r="Z790" s="51"/>
      <c r="AA790" s="51"/>
      <c r="AB790" s="51"/>
    </row>
    <row r="791" customFormat="false" ht="15.75" hidden="false" customHeight="false" outlineLevel="0" collapsed="false">
      <c r="A791" s="51"/>
      <c r="B791" s="51"/>
      <c r="C791" s="6"/>
      <c r="D791" s="49"/>
      <c r="E791" s="51"/>
      <c r="F791" s="6"/>
      <c r="G791" s="6"/>
      <c r="H791" s="6"/>
      <c r="I791" s="6"/>
      <c r="J791" s="6"/>
      <c r="K791" s="51"/>
      <c r="L791" s="51"/>
      <c r="M791" s="51"/>
      <c r="N791" s="51"/>
      <c r="O791" s="51"/>
      <c r="P791" s="51"/>
      <c r="Q791" s="51"/>
      <c r="R791" s="51"/>
      <c r="S791" s="51"/>
      <c r="T791" s="51"/>
      <c r="U791" s="51"/>
      <c r="V791" s="51"/>
      <c r="W791" s="51"/>
      <c r="X791" s="51"/>
      <c r="Y791" s="51"/>
      <c r="Z791" s="51"/>
      <c r="AA791" s="51"/>
      <c r="AB791" s="51"/>
    </row>
    <row r="792" customFormat="false" ht="15.75" hidden="false" customHeight="false" outlineLevel="0" collapsed="false">
      <c r="A792" s="51"/>
      <c r="B792" s="51"/>
      <c r="C792" s="6"/>
      <c r="D792" s="49"/>
      <c r="E792" s="51"/>
      <c r="F792" s="6"/>
      <c r="G792" s="6"/>
      <c r="H792" s="6"/>
      <c r="I792" s="6"/>
      <c r="J792" s="6"/>
      <c r="K792" s="51"/>
      <c r="L792" s="51"/>
      <c r="M792" s="51"/>
      <c r="N792" s="51"/>
      <c r="O792" s="51"/>
      <c r="P792" s="51"/>
      <c r="Q792" s="51"/>
      <c r="R792" s="51"/>
      <c r="S792" s="51"/>
      <c r="T792" s="51"/>
      <c r="U792" s="51"/>
      <c r="V792" s="51"/>
      <c r="W792" s="51"/>
      <c r="X792" s="51"/>
      <c r="Y792" s="51"/>
      <c r="Z792" s="51"/>
      <c r="AA792" s="51"/>
      <c r="AB792" s="51"/>
    </row>
    <row r="793" customFormat="false" ht="15.75" hidden="false" customHeight="false" outlineLevel="0" collapsed="false">
      <c r="A793" s="51"/>
      <c r="B793" s="51"/>
      <c r="C793" s="6"/>
      <c r="D793" s="49"/>
      <c r="E793" s="51"/>
      <c r="F793" s="6"/>
      <c r="G793" s="6"/>
      <c r="H793" s="6"/>
      <c r="I793" s="6"/>
      <c r="J793" s="6"/>
      <c r="K793" s="51"/>
      <c r="L793" s="51"/>
      <c r="M793" s="51"/>
      <c r="N793" s="51"/>
      <c r="O793" s="51"/>
      <c r="P793" s="51"/>
      <c r="Q793" s="51"/>
      <c r="R793" s="51"/>
      <c r="S793" s="51"/>
      <c r="T793" s="51"/>
      <c r="U793" s="51"/>
      <c r="V793" s="51"/>
      <c r="W793" s="51"/>
      <c r="X793" s="51"/>
      <c r="Y793" s="51"/>
      <c r="Z793" s="51"/>
      <c r="AA793" s="51"/>
      <c r="AB793" s="51"/>
    </row>
    <row r="794" customFormat="false" ht="15.75" hidden="false" customHeight="false" outlineLevel="0" collapsed="false">
      <c r="A794" s="51"/>
      <c r="B794" s="51"/>
      <c r="C794" s="6"/>
      <c r="D794" s="49"/>
      <c r="E794" s="51"/>
      <c r="F794" s="6"/>
      <c r="G794" s="6"/>
      <c r="H794" s="6"/>
      <c r="I794" s="6"/>
      <c r="J794" s="6"/>
      <c r="K794" s="51"/>
      <c r="L794" s="51"/>
      <c r="M794" s="51"/>
      <c r="N794" s="51"/>
      <c r="O794" s="51"/>
      <c r="P794" s="51"/>
      <c r="Q794" s="51"/>
      <c r="R794" s="51"/>
      <c r="S794" s="51"/>
      <c r="T794" s="51"/>
      <c r="U794" s="51"/>
      <c r="V794" s="51"/>
      <c r="W794" s="51"/>
      <c r="X794" s="51"/>
      <c r="Y794" s="51"/>
      <c r="Z794" s="51"/>
      <c r="AA794" s="51"/>
      <c r="AB794" s="51"/>
    </row>
    <row r="795" customFormat="false" ht="15.75" hidden="false" customHeight="false" outlineLevel="0" collapsed="false">
      <c r="A795" s="51"/>
      <c r="B795" s="51"/>
      <c r="C795" s="6"/>
      <c r="D795" s="49"/>
      <c r="E795" s="51"/>
      <c r="F795" s="6"/>
      <c r="G795" s="6"/>
      <c r="H795" s="6"/>
      <c r="I795" s="6"/>
      <c r="J795" s="6"/>
      <c r="K795" s="51"/>
      <c r="L795" s="51"/>
      <c r="M795" s="51"/>
      <c r="N795" s="51"/>
      <c r="O795" s="51"/>
      <c r="P795" s="51"/>
      <c r="Q795" s="51"/>
      <c r="R795" s="51"/>
      <c r="S795" s="51"/>
      <c r="T795" s="51"/>
      <c r="U795" s="51"/>
      <c r="V795" s="51"/>
      <c r="W795" s="51"/>
      <c r="X795" s="51"/>
      <c r="Y795" s="51"/>
      <c r="Z795" s="51"/>
      <c r="AA795" s="51"/>
      <c r="AB795" s="51"/>
    </row>
    <row r="796" customFormat="false" ht="15.75" hidden="false" customHeight="false" outlineLevel="0" collapsed="false">
      <c r="A796" s="51"/>
      <c r="B796" s="51"/>
      <c r="C796" s="6"/>
      <c r="D796" s="49"/>
      <c r="E796" s="51"/>
      <c r="F796" s="6"/>
      <c r="G796" s="6"/>
      <c r="H796" s="6"/>
      <c r="I796" s="6"/>
      <c r="J796" s="6"/>
      <c r="K796" s="51"/>
      <c r="L796" s="51"/>
      <c r="M796" s="51"/>
      <c r="N796" s="51"/>
      <c r="O796" s="51"/>
      <c r="P796" s="51"/>
      <c r="Q796" s="51"/>
      <c r="R796" s="51"/>
      <c r="S796" s="51"/>
      <c r="T796" s="51"/>
      <c r="U796" s="51"/>
      <c r="V796" s="51"/>
      <c r="W796" s="51"/>
      <c r="X796" s="51"/>
      <c r="Y796" s="51"/>
      <c r="Z796" s="51"/>
      <c r="AA796" s="51"/>
      <c r="AB796" s="51"/>
    </row>
    <row r="797" customFormat="false" ht="15.75" hidden="false" customHeight="false" outlineLevel="0" collapsed="false">
      <c r="A797" s="51"/>
      <c r="B797" s="51"/>
      <c r="C797" s="6"/>
      <c r="D797" s="49"/>
      <c r="E797" s="51"/>
      <c r="F797" s="6"/>
      <c r="G797" s="6"/>
      <c r="H797" s="6"/>
      <c r="I797" s="6"/>
      <c r="J797" s="6"/>
      <c r="K797" s="51"/>
      <c r="L797" s="51"/>
      <c r="M797" s="51"/>
      <c r="N797" s="51"/>
      <c r="O797" s="51"/>
      <c r="P797" s="51"/>
      <c r="Q797" s="51"/>
      <c r="R797" s="51"/>
      <c r="S797" s="51"/>
      <c r="T797" s="51"/>
      <c r="U797" s="51"/>
      <c r="V797" s="51"/>
      <c r="W797" s="51"/>
      <c r="X797" s="51"/>
      <c r="Y797" s="51"/>
      <c r="Z797" s="51"/>
      <c r="AA797" s="51"/>
      <c r="AB797" s="51"/>
    </row>
    <row r="798" customFormat="false" ht="15.75" hidden="false" customHeight="false" outlineLevel="0" collapsed="false">
      <c r="A798" s="51"/>
      <c r="B798" s="51"/>
      <c r="C798" s="6"/>
      <c r="D798" s="49"/>
      <c r="E798" s="51"/>
      <c r="F798" s="6"/>
      <c r="G798" s="6"/>
      <c r="H798" s="6"/>
      <c r="I798" s="6"/>
      <c r="J798" s="6"/>
      <c r="K798" s="51"/>
      <c r="L798" s="51"/>
      <c r="M798" s="51"/>
      <c r="N798" s="51"/>
      <c r="O798" s="51"/>
      <c r="P798" s="51"/>
      <c r="Q798" s="51"/>
      <c r="R798" s="51"/>
      <c r="S798" s="51"/>
      <c r="T798" s="51"/>
      <c r="U798" s="51"/>
      <c r="V798" s="51"/>
      <c r="W798" s="51"/>
      <c r="X798" s="51"/>
      <c r="Y798" s="51"/>
      <c r="Z798" s="51"/>
      <c r="AA798" s="51"/>
      <c r="AB798" s="51"/>
    </row>
    <row r="799" customFormat="false" ht="15.75" hidden="false" customHeight="false" outlineLevel="0" collapsed="false">
      <c r="A799" s="51"/>
      <c r="B799" s="51"/>
      <c r="C799" s="6"/>
      <c r="D799" s="49"/>
      <c r="E799" s="51"/>
      <c r="F799" s="6"/>
      <c r="G799" s="6"/>
      <c r="H799" s="6"/>
      <c r="I799" s="6"/>
      <c r="J799" s="6"/>
      <c r="K799" s="51"/>
      <c r="L799" s="51"/>
      <c r="M799" s="51"/>
      <c r="N799" s="51"/>
      <c r="O799" s="51"/>
      <c r="P799" s="51"/>
      <c r="Q799" s="51"/>
      <c r="R799" s="51"/>
      <c r="S799" s="51"/>
      <c r="T799" s="51"/>
      <c r="U799" s="51"/>
      <c r="V799" s="51"/>
      <c r="W799" s="51"/>
      <c r="X799" s="51"/>
      <c r="Y799" s="51"/>
      <c r="Z799" s="51"/>
      <c r="AA799" s="51"/>
      <c r="AB799" s="51"/>
    </row>
    <row r="800" customFormat="false" ht="15.75" hidden="false" customHeight="false" outlineLevel="0" collapsed="false">
      <c r="A800" s="51"/>
      <c r="B800" s="51"/>
      <c r="C800" s="6"/>
      <c r="D800" s="49"/>
      <c r="E800" s="51"/>
      <c r="F800" s="6"/>
      <c r="G800" s="6"/>
      <c r="H800" s="6"/>
      <c r="I800" s="6"/>
      <c r="J800" s="6"/>
      <c r="K800" s="51"/>
      <c r="L800" s="51"/>
      <c r="M800" s="51"/>
      <c r="N800" s="51"/>
      <c r="O800" s="51"/>
      <c r="P800" s="51"/>
      <c r="Q800" s="51"/>
      <c r="R800" s="51"/>
      <c r="S800" s="51"/>
      <c r="T800" s="51"/>
      <c r="U800" s="51"/>
      <c r="V800" s="51"/>
      <c r="W800" s="51"/>
      <c r="X800" s="51"/>
      <c r="Y800" s="51"/>
      <c r="Z800" s="51"/>
      <c r="AA800" s="51"/>
      <c r="AB800" s="51"/>
    </row>
    <row r="801" customFormat="false" ht="15.75" hidden="false" customHeight="false" outlineLevel="0" collapsed="false">
      <c r="A801" s="51"/>
      <c r="B801" s="51"/>
      <c r="C801" s="6"/>
      <c r="D801" s="49"/>
      <c r="E801" s="51"/>
      <c r="F801" s="6"/>
      <c r="G801" s="6"/>
      <c r="H801" s="6"/>
      <c r="I801" s="6"/>
      <c r="J801" s="6"/>
      <c r="K801" s="51"/>
      <c r="L801" s="51"/>
      <c r="M801" s="51"/>
      <c r="N801" s="51"/>
      <c r="O801" s="51"/>
      <c r="P801" s="51"/>
      <c r="Q801" s="51"/>
      <c r="R801" s="51"/>
      <c r="S801" s="51"/>
      <c r="T801" s="51"/>
      <c r="U801" s="51"/>
      <c r="V801" s="51"/>
      <c r="W801" s="51"/>
      <c r="X801" s="51"/>
      <c r="Y801" s="51"/>
      <c r="Z801" s="51"/>
      <c r="AA801" s="51"/>
      <c r="AB801" s="51"/>
    </row>
    <row r="802" customFormat="false" ht="15.75" hidden="false" customHeight="false" outlineLevel="0" collapsed="false">
      <c r="A802" s="51"/>
      <c r="B802" s="51"/>
      <c r="C802" s="6"/>
      <c r="D802" s="49"/>
      <c r="E802" s="51"/>
      <c r="F802" s="6"/>
      <c r="G802" s="6"/>
      <c r="H802" s="6"/>
      <c r="I802" s="6"/>
      <c r="J802" s="6"/>
      <c r="K802" s="51"/>
      <c r="L802" s="51"/>
      <c r="M802" s="51"/>
      <c r="N802" s="51"/>
      <c r="O802" s="51"/>
      <c r="P802" s="51"/>
      <c r="Q802" s="51"/>
      <c r="R802" s="51"/>
      <c r="S802" s="51"/>
      <c r="T802" s="51"/>
      <c r="U802" s="51"/>
      <c r="V802" s="51"/>
      <c r="W802" s="51"/>
      <c r="X802" s="51"/>
      <c r="Y802" s="51"/>
      <c r="Z802" s="51"/>
      <c r="AA802" s="51"/>
      <c r="AB802" s="51"/>
    </row>
    <row r="803" customFormat="false" ht="15.75" hidden="false" customHeight="false" outlineLevel="0" collapsed="false">
      <c r="A803" s="51"/>
      <c r="B803" s="51"/>
      <c r="C803" s="6"/>
      <c r="D803" s="49"/>
      <c r="E803" s="51"/>
      <c r="F803" s="6"/>
      <c r="G803" s="6"/>
      <c r="H803" s="6"/>
      <c r="I803" s="6"/>
      <c r="J803" s="6"/>
      <c r="K803" s="51"/>
      <c r="L803" s="51"/>
      <c r="M803" s="51"/>
      <c r="N803" s="51"/>
      <c r="O803" s="51"/>
      <c r="P803" s="51"/>
      <c r="Q803" s="51"/>
      <c r="R803" s="51"/>
      <c r="S803" s="51"/>
      <c r="T803" s="51"/>
      <c r="U803" s="51"/>
      <c r="V803" s="51"/>
      <c r="W803" s="51"/>
      <c r="X803" s="51"/>
      <c r="Y803" s="51"/>
      <c r="Z803" s="51"/>
      <c r="AA803" s="51"/>
      <c r="AB803" s="51"/>
    </row>
    <row r="804" customFormat="false" ht="15.75" hidden="false" customHeight="false" outlineLevel="0" collapsed="false">
      <c r="A804" s="51"/>
      <c r="B804" s="51"/>
      <c r="C804" s="6"/>
      <c r="D804" s="49"/>
      <c r="E804" s="51"/>
      <c r="F804" s="6"/>
      <c r="G804" s="6"/>
      <c r="H804" s="6"/>
      <c r="I804" s="6"/>
      <c r="J804" s="6"/>
      <c r="K804" s="51"/>
      <c r="L804" s="51"/>
      <c r="M804" s="51"/>
      <c r="N804" s="51"/>
      <c r="O804" s="51"/>
      <c r="P804" s="51"/>
      <c r="Q804" s="51"/>
      <c r="R804" s="51"/>
      <c r="S804" s="51"/>
      <c r="T804" s="51"/>
      <c r="U804" s="51"/>
      <c r="V804" s="51"/>
      <c r="W804" s="51"/>
      <c r="X804" s="51"/>
      <c r="Y804" s="51"/>
      <c r="Z804" s="51"/>
      <c r="AA804" s="51"/>
      <c r="AB804" s="51"/>
    </row>
    <row r="805" customFormat="false" ht="15.75" hidden="false" customHeight="false" outlineLevel="0" collapsed="false">
      <c r="A805" s="51"/>
      <c r="B805" s="51"/>
      <c r="C805" s="6"/>
      <c r="D805" s="49"/>
      <c r="E805" s="51"/>
      <c r="F805" s="6"/>
      <c r="G805" s="6"/>
      <c r="H805" s="6"/>
      <c r="I805" s="6"/>
      <c r="J805" s="6"/>
      <c r="K805" s="51"/>
      <c r="L805" s="51"/>
      <c r="M805" s="51"/>
      <c r="N805" s="51"/>
      <c r="O805" s="51"/>
      <c r="P805" s="51"/>
      <c r="Q805" s="51"/>
      <c r="R805" s="51"/>
      <c r="S805" s="51"/>
      <c r="T805" s="51"/>
      <c r="U805" s="51"/>
      <c r="V805" s="51"/>
      <c r="W805" s="51"/>
      <c r="X805" s="51"/>
      <c r="Y805" s="51"/>
      <c r="Z805" s="51"/>
      <c r="AA805" s="51"/>
      <c r="AB805" s="51"/>
    </row>
    <row r="806" customFormat="false" ht="15.75" hidden="false" customHeight="false" outlineLevel="0" collapsed="false">
      <c r="A806" s="51"/>
      <c r="B806" s="51"/>
      <c r="C806" s="6"/>
      <c r="D806" s="49"/>
      <c r="E806" s="51"/>
      <c r="F806" s="6"/>
      <c r="G806" s="6"/>
      <c r="H806" s="6"/>
      <c r="I806" s="6"/>
      <c r="J806" s="6"/>
      <c r="K806" s="51"/>
      <c r="L806" s="51"/>
      <c r="M806" s="51"/>
      <c r="N806" s="51"/>
      <c r="O806" s="51"/>
      <c r="P806" s="51"/>
      <c r="Q806" s="51"/>
      <c r="R806" s="51"/>
      <c r="S806" s="51"/>
      <c r="T806" s="51"/>
      <c r="U806" s="51"/>
      <c r="V806" s="51"/>
      <c r="W806" s="51"/>
      <c r="X806" s="51"/>
      <c r="Y806" s="51"/>
      <c r="Z806" s="51"/>
      <c r="AA806" s="51"/>
      <c r="AB806" s="51"/>
    </row>
    <row r="807" customFormat="false" ht="15.75" hidden="false" customHeight="false" outlineLevel="0" collapsed="false">
      <c r="A807" s="51"/>
      <c r="B807" s="51"/>
      <c r="C807" s="6"/>
      <c r="D807" s="49"/>
      <c r="E807" s="51"/>
      <c r="F807" s="6"/>
      <c r="G807" s="6"/>
      <c r="H807" s="6"/>
      <c r="I807" s="6"/>
      <c r="J807" s="6"/>
      <c r="K807" s="51"/>
      <c r="L807" s="51"/>
      <c r="M807" s="51"/>
      <c r="N807" s="51"/>
      <c r="O807" s="51"/>
      <c r="P807" s="51"/>
      <c r="Q807" s="51"/>
      <c r="R807" s="51"/>
      <c r="S807" s="51"/>
      <c r="T807" s="51"/>
      <c r="U807" s="51"/>
      <c r="V807" s="51"/>
      <c r="W807" s="51"/>
      <c r="X807" s="51"/>
      <c r="Y807" s="51"/>
      <c r="Z807" s="51"/>
      <c r="AA807" s="51"/>
      <c r="AB807" s="51"/>
    </row>
    <row r="808" customFormat="false" ht="15.75" hidden="false" customHeight="false" outlineLevel="0" collapsed="false">
      <c r="A808" s="51"/>
      <c r="B808" s="51"/>
      <c r="C808" s="6"/>
      <c r="D808" s="49"/>
      <c r="E808" s="51"/>
      <c r="F808" s="6"/>
      <c r="G808" s="6"/>
      <c r="H808" s="6"/>
      <c r="I808" s="6"/>
      <c r="J808" s="6"/>
      <c r="K808" s="51"/>
      <c r="L808" s="51"/>
      <c r="M808" s="51"/>
      <c r="N808" s="51"/>
      <c r="O808" s="51"/>
      <c r="P808" s="51"/>
      <c r="Q808" s="51"/>
      <c r="R808" s="51"/>
      <c r="S808" s="51"/>
      <c r="T808" s="51"/>
      <c r="U808" s="51"/>
      <c r="V808" s="51"/>
      <c r="W808" s="51"/>
      <c r="X808" s="51"/>
      <c r="Y808" s="51"/>
      <c r="Z808" s="51"/>
      <c r="AA808" s="51"/>
      <c r="AB808" s="51"/>
    </row>
    <row r="809" customFormat="false" ht="15.75" hidden="false" customHeight="false" outlineLevel="0" collapsed="false">
      <c r="A809" s="51"/>
      <c r="B809" s="51"/>
      <c r="C809" s="6"/>
      <c r="D809" s="49"/>
      <c r="E809" s="51"/>
      <c r="F809" s="6"/>
      <c r="G809" s="6"/>
      <c r="H809" s="6"/>
      <c r="I809" s="6"/>
      <c r="J809" s="6"/>
      <c r="K809" s="51"/>
      <c r="L809" s="51"/>
      <c r="M809" s="51"/>
      <c r="N809" s="51"/>
      <c r="O809" s="51"/>
      <c r="P809" s="51"/>
      <c r="Q809" s="51"/>
      <c r="R809" s="51"/>
      <c r="S809" s="51"/>
      <c r="T809" s="51"/>
      <c r="U809" s="51"/>
      <c r="V809" s="51"/>
      <c r="W809" s="51"/>
      <c r="X809" s="51"/>
      <c r="Y809" s="51"/>
      <c r="Z809" s="51"/>
      <c r="AA809" s="51"/>
      <c r="AB809" s="51"/>
    </row>
    <row r="810" customFormat="false" ht="15.75" hidden="false" customHeight="false" outlineLevel="0" collapsed="false">
      <c r="A810" s="51"/>
      <c r="B810" s="51"/>
      <c r="C810" s="6"/>
      <c r="D810" s="49"/>
      <c r="E810" s="51"/>
      <c r="F810" s="6"/>
      <c r="G810" s="6"/>
      <c r="H810" s="6"/>
      <c r="I810" s="6"/>
      <c r="J810" s="6"/>
      <c r="K810" s="51"/>
      <c r="L810" s="51"/>
      <c r="M810" s="51"/>
      <c r="N810" s="51"/>
      <c r="O810" s="51"/>
      <c r="P810" s="51"/>
      <c r="Q810" s="51"/>
      <c r="R810" s="51"/>
      <c r="S810" s="51"/>
      <c r="T810" s="51"/>
      <c r="U810" s="51"/>
      <c r="V810" s="51"/>
      <c r="W810" s="51"/>
      <c r="X810" s="51"/>
      <c r="Y810" s="51"/>
      <c r="Z810" s="51"/>
      <c r="AA810" s="51"/>
      <c r="AB810" s="51"/>
    </row>
    <row r="811" customFormat="false" ht="15.75" hidden="false" customHeight="false" outlineLevel="0" collapsed="false">
      <c r="A811" s="51"/>
      <c r="B811" s="51"/>
      <c r="C811" s="6"/>
      <c r="D811" s="49"/>
      <c r="E811" s="51"/>
      <c r="F811" s="6"/>
      <c r="G811" s="6"/>
      <c r="H811" s="6"/>
      <c r="I811" s="6"/>
      <c r="J811" s="6"/>
      <c r="K811" s="51"/>
      <c r="L811" s="51"/>
      <c r="M811" s="51"/>
      <c r="N811" s="51"/>
      <c r="O811" s="51"/>
      <c r="P811" s="51"/>
      <c r="Q811" s="51"/>
      <c r="R811" s="51"/>
      <c r="S811" s="51"/>
      <c r="T811" s="51"/>
      <c r="U811" s="51"/>
      <c r="V811" s="51"/>
      <c r="W811" s="51"/>
      <c r="X811" s="51"/>
      <c r="Y811" s="51"/>
      <c r="Z811" s="51"/>
      <c r="AA811" s="51"/>
      <c r="AB811" s="51"/>
    </row>
    <row r="812" customFormat="false" ht="15.75" hidden="false" customHeight="false" outlineLevel="0" collapsed="false">
      <c r="A812" s="51"/>
      <c r="B812" s="51"/>
      <c r="C812" s="6"/>
      <c r="D812" s="49"/>
      <c r="E812" s="51"/>
      <c r="F812" s="6"/>
      <c r="G812" s="6"/>
      <c r="H812" s="6"/>
      <c r="I812" s="6"/>
      <c r="J812" s="6"/>
      <c r="K812" s="51"/>
      <c r="L812" s="51"/>
      <c r="M812" s="51"/>
      <c r="N812" s="51"/>
      <c r="O812" s="51"/>
      <c r="P812" s="51"/>
      <c r="Q812" s="51"/>
      <c r="R812" s="51"/>
      <c r="S812" s="51"/>
      <c r="T812" s="51"/>
      <c r="U812" s="51"/>
      <c r="V812" s="51"/>
      <c r="W812" s="51"/>
      <c r="X812" s="51"/>
      <c r="Y812" s="51"/>
      <c r="Z812" s="51"/>
      <c r="AA812" s="51"/>
      <c r="AB812" s="51"/>
    </row>
    <row r="813" customFormat="false" ht="15.75" hidden="false" customHeight="false" outlineLevel="0" collapsed="false">
      <c r="A813" s="51"/>
      <c r="B813" s="51"/>
      <c r="C813" s="6"/>
      <c r="D813" s="49"/>
      <c r="E813" s="51"/>
      <c r="F813" s="6"/>
      <c r="G813" s="6"/>
      <c r="H813" s="6"/>
      <c r="I813" s="6"/>
      <c r="J813" s="6"/>
      <c r="K813" s="51"/>
      <c r="L813" s="51"/>
      <c r="M813" s="51"/>
      <c r="N813" s="51"/>
      <c r="O813" s="51"/>
      <c r="P813" s="51"/>
      <c r="Q813" s="51"/>
      <c r="R813" s="51"/>
      <c r="S813" s="51"/>
      <c r="T813" s="51"/>
      <c r="U813" s="51"/>
      <c r="V813" s="51"/>
      <c r="W813" s="51"/>
      <c r="X813" s="51"/>
      <c r="Y813" s="51"/>
      <c r="Z813" s="51"/>
      <c r="AA813" s="51"/>
      <c r="AB813" s="51"/>
    </row>
    <row r="814" customFormat="false" ht="15.75" hidden="false" customHeight="false" outlineLevel="0" collapsed="false">
      <c r="A814" s="51"/>
      <c r="B814" s="51"/>
      <c r="C814" s="6"/>
      <c r="D814" s="49"/>
      <c r="E814" s="51"/>
      <c r="F814" s="6"/>
      <c r="G814" s="6"/>
      <c r="H814" s="6"/>
      <c r="I814" s="6"/>
      <c r="J814" s="6"/>
      <c r="K814" s="51"/>
      <c r="L814" s="51"/>
      <c r="M814" s="51"/>
      <c r="N814" s="51"/>
      <c r="O814" s="51"/>
      <c r="P814" s="51"/>
      <c r="Q814" s="51"/>
      <c r="R814" s="51"/>
      <c r="S814" s="51"/>
      <c r="T814" s="51"/>
      <c r="U814" s="51"/>
      <c r="V814" s="51"/>
      <c r="W814" s="51"/>
      <c r="X814" s="51"/>
      <c r="Y814" s="51"/>
      <c r="Z814" s="51"/>
      <c r="AA814" s="51"/>
      <c r="AB814" s="51"/>
    </row>
    <row r="815" customFormat="false" ht="15.75" hidden="false" customHeight="false" outlineLevel="0" collapsed="false">
      <c r="A815" s="51"/>
      <c r="B815" s="51"/>
      <c r="C815" s="6"/>
      <c r="D815" s="49"/>
      <c r="E815" s="51"/>
      <c r="F815" s="6"/>
      <c r="G815" s="6"/>
      <c r="H815" s="6"/>
      <c r="I815" s="6"/>
      <c r="J815" s="6"/>
      <c r="K815" s="51"/>
      <c r="L815" s="51"/>
      <c r="M815" s="51"/>
      <c r="N815" s="51"/>
      <c r="O815" s="51"/>
      <c r="P815" s="51"/>
      <c r="Q815" s="51"/>
      <c r="R815" s="51"/>
      <c r="S815" s="51"/>
      <c r="T815" s="51"/>
      <c r="U815" s="51"/>
      <c r="V815" s="51"/>
      <c r="W815" s="51"/>
      <c r="X815" s="51"/>
      <c r="Y815" s="51"/>
      <c r="Z815" s="51"/>
      <c r="AA815" s="51"/>
      <c r="AB815" s="51"/>
    </row>
    <row r="816" customFormat="false" ht="15.75" hidden="false" customHeight="false" outlineLevel="0" collapsed="false">
      <c r="A816" s="51"/>
      <c r="B816" s="51"/>
      <c r="C816" s="6"/>
      <c r="D816" s="49"/>
      <c r="E816" s="51"/>
      <c r="F816" s="6"/>
      <c r="G816" s="6"/>
      <c r="H816" s="6"/>
      <c r="I816" s="6"/>
      <c r="J816" s="6"/>
      <c r="K816" s="51"/>
      <c r="L816" s="51"/>
      <c r="M816" s="51"/>
      <c r="N816" s="51"/>
      <c r="O816" s="51"/>
      <c r="P816" s="51"/>
      <c r="Q816" s="51"/>
      <c r="R816" s="51"/>
      <c r="S816" s="51"/>
      <c r="T816" s="51"/>
      <c r="U816" s="51"/>
      <c r="V816" s="51"/>
      <c r="W816" s="51"/>
      <c r="X816" s="51"/>
      <c r="Y816" s="51"/>
      <c r="Z816" s="51"/>
      <c r="AA816" s="51"/>
      <c r="AB816" s="51"/>
    </row>
    <row r="817" customFormat="false" ht="15.75" hidden="false" customHeight="false" outlineLevel="0" collapsed="false">
      <c r="A817" s="51"/>
      <c r="B817" s="51"/>
      <c r="C817" s="6"/>
      <c r="D817" s="49"/>
      <c r="E817" s="51"/>
      <c r="F817" s="6"/>
      <c r="G817" s="6"/>
      <c r="H817" s="6"/>
      <c r="I817" s="6"/>
      <c r="J817" s="6"/>
      <c r="K817" s="51"/>
      <c r="L817" s="51"/>
      <c r="M817" s="51"/>
      <c r="N817" s="51"/>
      <c r="O817" s="51"/>
      <c r="P817" s="51"/>
      <c r="Q817" s="51"/>
      <c r="R817" s="51"/>
      <c r="S817" s="51"/>
      <c r="T817" s="51"/>
      <c r="U817" s="51"/>
      <c r="V817" s="51"/>
      <c r="W817" s="51"/>
      <c r="X817" s="51"/>
      <c r="Y817" s="51"/>
      <c r="Z817" s="51"/>
      <c r="AA817" s="51"/>
      <c r="AB817" s="51"/>
    </row>
    <row r="818" customFormat="false" ht="15.75" hidden="false" customHeight="false" outlineLevel="0" collapsed="false">
      <c r="A818" s="51"/>
      <c r="B818" s="51"/>
      <c r="C818" s="6"/>
      <c r="D818" s="49"/>
      <c r="E818" s="51"/>
      <c r="F818" s="6"/>
      <c r="G818" s="6"/>
      <c r="H818" s="6"/>
      <c r="I818" s="6"/>
      <c r="J818" s="6"/>
      <c r="K818" s="51"/>
      <c r="L818" s="51"/>
      <c r="M818" s="51"/>
      <c r="N818" s="51"/>
      <c r="O818" s="51"/>
      <c r="P818" s="51"/>
      <c r="Q818" s="51"/>
      <c r="R818" s="51"/>
      <c r="S818" s="51"/>
      <c r="T818" s="51"/>
      <c r="U818" s="51"/>
      <c r="V818" s="51"/>
      <c r="W818" s="51"/>
      <c r="X818" s="51"/>
      <c r="Y818" s="51"/>
      <c r="Z818" s="51"/>
      <c r="AA818" s="51"/>
      <c r="AB818" s="51"/>
    </row>
    <row r="819" customFormat="false" ht="15.75" hidden="false" customHeight="false" outlineLevel="0" collapsed="false">
      <c r="A819" s="51"/>
      <c r="B819" s="51"/>
      <c r="C819" s="6"/>
      <c r="D819" s="49"/>
      <c r="E819" s="51"/>
      <c r="F819" s="6"/>
      <c r="G819" s="6"/>
      <c r="H819" s="6"/>
      <c r="I819" s="6"/>
      <c r="J819" s="6"/>
      <c r="K819" s="51"/>
      <c r="L819" s="51"/>
      <c r="M819" s="51"/>
      <c r="N819" s="51"/>
      <c r="O819" s="51"/>
      <c r="P819" s="51"/>
      <c r="Q819" s="51"/>
      <c r="R819" s="51"/>
      <c r="S819" s="51"/>
      <c r="T819" s="51"/>
      <c r="U819" s="51"/>
      <c r="V819" s="51"/>
      <c r="W819" s="51"/>
      <c r="X819" s="51"/>
      <c r="Y819" s="51"/>
      <c r="Z819" s="51"/>
      <c r="AA819" s="51"/>
      <c r="AB819" s="51"/>
    </row>
    <row r="820" customFormat="false" ht="15.75" hidden="false" customHeight="false" outlineLevel="0" collapsed="false">
      <c r="A820" s="51"/>
      <c r="B820" s="51"/>
      <c r="C820" s="6"/>
      <c r="D820" s="49"/>
      <c r="E820" s="51"/>
      <c r="F820" s="6"/>
      <c r="G820" s="6"/>
      <c r="H820" s="6"/>
      <c r="I820" s="6"/>
      <c r="J820" s="6"/>
      <c r="K820" s="51"/>
      <c r="L820" s="51"/>
      <c r="M820" s="51"/>
      <c r="N820" s="51"/>
      <c r="O820" s="51"/>
      <c r="P820" s="51"/>
      <c r="Q820" s="51"/>
      <c r="R820" s="51"/>
      <c r="S820" s="51"/>
      <c r="T820" s="51"/>
      <c r="U820" s="51"/>
      <c r="V820" s="51"/>
      <c r="W820" s="51"/>
      <c r="X820" s="51"/>
      <c r="Y820" s="51"/>
      <c r="Z820" s="51"/>
      <c r="AA820" s="51"/>
      <c r="AB820" s="51"/>
    </row>
    <row r="821" customFormat="false" ht="15.75" hidden="false" customHeight="false" outlineLevel="0" collapsed="false">
      <c r="A821" s="51"/>
      <c r="B821" s="51"/>
      <c r="C821" s="6"/>
      <c r="D821" s="49"/>
      <c r="E821" s="51"/>
      <c r="F821" s="6"/>
      <c r="G821" s="6"/>
      <c r="H821" s="6"/>
      <c r="I821" s="6"/>
      <c r="J821" s="6"/>
      <c r="K821" s="51"/>
      <c r="L821" s="51"/>
      <c r="M821" s="51"/>
      <c r="N821" s="51"/>
      <c r="O821" s="51"/>
      <c r="P821" s="51"/>
      <c r="Q821" s="51"/>
      <c r="R821" s="51"/>
      <c r="S821" s="51"/>
      <c r="T821" s="51"/>
      <c r="U821" s="51"/>
      <c r="V821" s="51"/>
      <c r="W821" s="51"/>
      <c r="X821" s="51"/>
      <c r="Y821" s="51"/>
      <c r="Z821" s="51"/>
      <c r="AA821" s="51"/>
      <c r="AB821" s="51"/>
    </row>
    <row r="822" customFormat="false" ht="15.75" hidden="false" customHeight="false" outlineLevel="0" collapsed="false">
      <c r="A822" s="51"/>
      <c r="B822" s="51"/>
      <c r="C822" s="6"/>
      <c r="D822" s="49"/>
      <c r="E822" s="51"/>
      <c r="F822" s="6"/>
      <c r="G822" s="6"/>
      <c r="H822" s="6"/>
      <c r="I822" s="6"/>
      <c r="J822" s="6"/>
      <c r="K822" s="51"/>
      <c r="L822" s="51"/>
      <c r="M822" s="51"/>
      <c r="N822" s="51"/>
      <c r="O822" s="51"/>
      <c r="P822" s="51"/>
      <c r="Q822" s="51"/>
      <c r="R822" s="51"/>
      <c r="S822" s="51"/>
      <c r="T822" s="51"/>
      <c r="U822" s="51"/>
      <c r="V822" s="51"/>
      <c r="W822" s="51"/>
      <c r="X822" s="51"/>
      <c r="Y822" s="51"/>
      <c r="Z822" s="51"/>
      <c r="AA822" s="51"/>
      <c r="AB822" s="51"/>
    </row>
    <row r="823" customFormat="false" ht="15.75" hidden="false" customHeight="false" outlineLevel="0" collapsed="false">
      <c r="A823" s="51"/>
      <c r="B823" s="51"/>
      <c r="C823" s="6"/>
      <c r="D823" s="49"/>
      <c r="E823" s="51"/>
      <c r="F823" s="6"/>
      <c r="G823" s="6"/>
      <c r="H823" s="6"/>
      <c r="I823" s="6"/>
      <c r="J823" s="6"/>
      <c r="K823" s="51"/>
      <c r="L823" s="51"/>
      <c r="M823" s="51"/>
      <c r="N823" s="51"/>
      <c r="O823" s="51"/>
      <c r="P823" s="51"/>
      <c r="Q823" s="51"/>
      <c r="R823" s="51"/>
      <c r="S823" s="51"/>
      <c r="T823" s="51"/>
      <c r="U823" s="51"/>
      <c r="V823" s="51"/>
      <c r="W823" s="51"/>
      <c r="X823" s="51"/>
      <c r="Y823" s="51"/>
      <c r="Z823" s="51"/>
      <c r="AA823" s="51"/>
      <c r="AB823" s="51"/>
    </row>
    <row r="824" customFormat="false" ht="15.75" hidden="false" customHeight="false" outlineLevel="0" collapsed="false">
      <c r="A824" s="51"/>
      <c r="B824" s="51"/>
      <c r="C824" s="6"/>
      <c r="D824" s="49"/>
      <c r="E824" s="51"/>
      <c r="F824" s="6"/>
      <c r="G824" s="6"/>
      <c r="H824" s="6"/>
      <c r="I824" s="6"/>
      <c r="J824" s="6"/>
      <c r="K824" s="51"/>
      <c r="L824" s="51"/>
      <c r="M824" s="51"/>
      <c r="N824" s="51"/>
      <c r="O824" s="51"/>
      <c r="P824" s="51"/>
      <c r="Q824" s="51"/>
      <c r="R824" s="51"/>
      <c r="S824" s="51"/>
      <c r="T824" s="51"/>
      <c r="U824" s="51"/>
      <c r="V824" s="51"/>
      <c r="W824" s="51"/>
      <c r="X824" s="51"/>
      <c r="Y824" s="51"/>
      <c r="Z824" s="51"/>
      <c r="AA824" s="51"/>
      <c r="AB824" s="51"/>
    </row>
    <row r="825" customFormat="false" ht="15.75" hidden="false" customHeight="false" outlineLevel="0" collapsed="false">
      <c r="A825" s="51"/>
      <c r="B825" s="51"/>
      <c r="C825" s="6"/>
      <c r="D825" s="49"/>
      <c r="E825" s="51"/>
      <c r="F825" s="6"/>
      <c r="G825" s="6"/>
      <c r="H825" s="6"/>
      <c r="I825" s="6"/>
      <c r="J825" s="6"/>
      <c r="K825" s="51"/>
      <c r="L825" s="51"/>
      <c r="M825" s="51"/>
      <c r="N825" s="51"/>
      <c r="O825" s="51"/>
      <c r="P825" s="51"/>
      <c r="Q825" s="51"/>
      <c r="R825" s="51"/>
      <c r="S825" s="51"/>
      <c r="T825" s="51"/>
      <c r="U825" s="51"/>
      <c r="V825" s="51"/>
      <c r="W825" s="51"/>
      <c r="X825" s="51"/>
      <c r="Y825" s="51"/>
      <c r="Z825" s="51"/>
      <c r="AA825" s="51"/>
      <c r="AB825" s="51"/>
    </row>
    <row r="826" customFormat="false" ht="15.75" hidden="false" customHeight="false" outlineLevel="0" collapsed="false">
      <c r="A826" s="51"/>
      <c r="B826" s="51"/>
      <c r="C826" s="6"/>
      <c r="D826" s="49"/>
      <c r="E826" s="51"/>
      <c r="F826" s="6"/>
      <c r="G826" s="6"/>
      <c r="H826" s="6"/>
      <c r="I826" s="6"/>
      <c r="J826" s="6"/>
      <c r="K826" s="51"/>
      <c r="L826" s="51"/>
      <c r="M826" s="51"/>
      <c r="N826" s="51"/>
      <c r="O826" s="51"/>
      <c r="P826" s="51"/>
      <c r="Q826" s="51"/>
      <c r="R826" s="51"/>
      <c r="S826" s="51"/>
      <c r="T826" s="51"/>
      <c r="U826" s="51"/>
      <c r="V826" s="51"/>
      <c r="W826" s="51"/>
      <c r="X826" s="51"/>
      <c r="Y826" s="51"/>
      <c r="Z826" s="51"/>
      <c r="AA826" s="51"/>
      <c r="AB826" s="51"/>
    </row>
    <row r="827" customFormat="false" ht="15.75" hidden="false" customHeight="false" outlineLevel="0" collapsed="false">
      <c r="A827" s="51"/>
      <c r="B827" s="51"/>
      <c r="C827" s="6"/>
      <c r="D827" s="49"/>
      <c r="E827" s="51"/>
      <c r="F827" s="6"/>
      <c r="G827" s="6"/>
      <c r="H827" s="6"/>
      <c r="I827" s="6"/>
      <c r="J827" s="6"/>
      <c r="K827" s="51"/>
      <c r="L827" s="51"/>
      <c r="M827" s="51"/>
      <c r="N827" s="51"/>
      <c r="O827" s="51"/>
      <c r="P827" s="51"/>
      <c r="Q827" s="51"/>
      <c r="R827" s="51"/>
      <c r="S827" s="51"/>
      <c r="T827" s="51"/>
      <c r="U827" s="51"/>
      <c r="V827" s="51"/>
      <c r="W827" s="51"/>
      <c r="X827" s="51"/>
      <c r="Y827" s="51"/>
      <c r="Z827" s="51"/>
      <c r="AA827" s="51"/>
      <c r="AB827" s="51"/>
    </row>
    <row r="828" customFormat="false" ht="15.75" hidden="false" customHeight="false" outlineLevel="0" collapsed="false">
      <c r="A828" s="51"/>
      <c r="B828" s="51"/>
      <c r="C828" s="6"/>
      <c r="D828" s="49"/>
      <c r="E828" s="51"/>
      <c r="F828" s="6"/>
      <c r="G828" s="6"/>
      <c r="H828" s="6"/>
      <c r="I828" s="6"/>
      <c r="J828" s="6"/>
      <c r="K828" s="51"/>
      <c r="L828" s="51"/>
      <c r="M828" s="51"/>
      <c r="N828" s="51"/>
      <c r="O828" s="51"/>
      <c r="P828" s="51"/>
      <c r="Q828" s="51"/>
      <c r="R828" s="51"/>
      <c r="S828" s="51"/>
      <c r="T828" s="51"/>
      <c r="U828" s="51"/>
      <c r="V828" s="51"/>
      <c r="W828" s="51"/>
      <c r="X828" s="51"/>
      <c r="Y828" s="51"/>
      <c r="Z828" s="51"/>
      <c r="AA828" s="51"/>
      <c r="AB828" s="51"/>
    </row>
    <row r="829" customFormat="false" ht="15.75" hidden="false" customHeight="false" outlineLevel="0" collapsed="false">
      <c r="A829" s="51"/>
      <c r="B829" s="51"/>
      <c r="C829" s="6"/>
      <c r="D829" s="49"/>
      <c r="E829" s="51"/>
      <c r="F829" s="6"/>
      <c r="G829" s="6"/>
      <c r="H829" s="6"/>
      <c r="I829" s="6"/>
      <c r="J829" s="6"/>
      <c r="K829" s="51"/>
      <c r="L829" s="51"/>
      <c r="M829" s="51"/>
      <c r="N829" s="51"/>
      <c r="O829" s="51"/>
      <c r="P829" s="51"/>
      <c r="Q829" s="51"/>
      <c r="R829" s="51"/>
      <c r="S829" s="51"/>
      <c r="T829" s="51"/>
      <c r="U829" s="51"/>
      <c r="V829" s="51"/>
      <c r="W829" s="51"/>
      <c r="X829" s="51"/>
      <c r="Y829" s="51"/>
      <c r="Z829" s="51"/>
      <c r="AA829" s="51"/>
      <c r="AB829" s="51"/>
    </row>
    <row r="830" customFormat="false" ht="15.75" hidden="false" customHeight="false" outlineLevel="0" collapsed="false">
      <c r="A830" s="51"/>
      <c r="B830" s="51"/>
      <c r="C830" s="6"/>
      <c r="D830" s="49"/>
      <c r="E830" s="51"/>
      <c r="F830" s="6"/>
      <c r="G830" s="6"/>
      <c r="H830" s="6"/>
      <c r="I830" s="6"/>
      <c r="J830" s="6"/>
      <c r="K830" s="51"/>
      <c r="L830" s="51"/>
      <c r="M830" s="51"/>
      <c r="N830" s="51"/>
      <c r="O830" s="51"/>
      <c r="P830" s="51"/>
      <c r="Q830" s="51"/>
      <c r="R830" s="51"/>
      <c r="S830" s="51"/>
      <c r="T830" s="51"/>
      <c r="U830" s="51"/>
      <c r="V830" s="51"/>
      <c r="W830" s="51"/>
      <c r="X830" s="51"/>
      <c r="Y830" s="51"/>
      <c r="Z830" s="51"/>
      <c r="AA830" s="51"/>
      <c r="AB830" s="51"/>
    </row>
    <row r="831" customFormat="false" ht="15.75" hidden="false" customHeight="false" outlineLevel="0" collapsed="false">
      <c r="A831" s="51"/>
      <c r="B831" s="51"/>
      <c r="C831" s="6"/>
      <c r="D831" s="49"/>
      <c r="E831" s="51"/>
      <c r="F831" s="6"/>
      <c r="G831" s="6"/>
      <c r="H831" s="6"/>
      <c r="I831" s="6"/>
      <c r="J831" s="6"/>
      <c r="K831" s="51"/>
      <c r="L831" s="51"/>
      <c r="M831" s="51"/>
      <c r="N831" s="51"/>
      <c r="O831" s="51"/>
      <c r="P831" s="51"/>
      <c r="Q831" s="51"/>
      <c r="R831" s="51"/>
      <c r="S831" s="51"/>
      <c r="T831" s="51"/>
      <c r="U831" s="51"/>
      <c r="V831" s="51"/>
      <c r="W831" s="51"/>
      <c r="X831" s="51"/>
      <c r="Y831" s="51"/>
      <c r="Z831" s="51"/>
      <c r="AA831" s="51"/>
      <c r="AB831" s="51"/>
    </row>
    <row r="832" customFormat="false" ht="15.75" hidden="false" customHeight="false" outlineLevel="0" collapsed="false">
      <c r="A832" s="51"/>
      <c r="B832" s="51"/>
      <c r="C832" s="6"/>
      <c r="D832" s="49"/>
      <c r="E832" s="51"/>
      <c r="F832" s="6"/>
      <c r="G832" s="6"/>
      <c r="H832" s="6"/>
      <c r="I832" s="6"/>
      <c r="J832" s="6"/>
      <c r="K832" s="51"/>
      <c r="L832" s="51"/>
      <c r="M832" s="51"/>
      <c r="N832" s="51"/>
      <c r="O832" s="51"/>
      <c r="P832" s="51"/>
      <c r="Q832" s="51"/>
      <c r="R832" s="51"/>
      <c r="S832" s="51"/>
      <c r="T832" s="51"/>
      <c r="U832" s="51"/>
      <c r="V832" s="51"/>
      <c r="W832" s="51"/>
      <c r="X832" s="51"/>
      <c r="Y832" s="51"/>
      <c r="Z832" s="51"/>
      <c r="AA832" s="51"/>
      <c r="AB832" s="51"/>
    </row>
    <row r="833" customFormat="false" ht="15.75" hidden="false" customHeight="false" outlineLevel="0" collapsed="false">
      <c r="A833" s="51"/>
      <c r="B833" s="51"/>
      <c r="C833" s="6"/>
      <c r="D833" s="49"/>
      <c r="E833" s="51"/>
      <c r="F833" s="6"/>
      <c r="G833" s="6"/>
      <c r="H833" s="6"/>
      <c r="I833" s="6"/>
      <c r="J833" s="6"/>
      <c r="K833" s="51"/>
      <c r="L833" s="51"/>
      <c r="M833" s="51"/>
      <c r="N833" s="51"/>
      <c r="O833" s="51"/>
      <c r="P833" s="51"/>
      <c r="Q833" s="51"/>
      <c r="R833" s="51"/>
      <c r="S833" s="51"/>
      <c r="T833" s="51"/>
      <c r="U833" s="51"/>
      <c r="V833" s="51"/>
      <c r="W833" s="51"/>
      <c r="X833" s="51"/>
      <c r="Y833" s="51"/>
      <c r="Z833" s="51"/>
      <c r="AA833" s="51"/>
      <c r="AB833" s="51"/>
    </row>
    <row r="834" customFormat="false" ht="15.75" hidden="false" customHeight="false" outlineLevel="0" collapsed="false">
      <c r="A834" s="51"/>
      <c r="B834" s="51"/>
      <c r="C834" s="6"/>
      <c r="D834" s="49"/>
      <c r="E834" s="51"/>
      <c r="F834" s="6"/>
      <c r="G834" s="6"/>
      <c r="H834" s="6"/>
      <c r="I834" s="6"/>
      <c r="J834" s="6"/>
      <c r="K834" s="51"/>
      <c r="L834" s="51"/>
      <c r="M834" s="51"/>
      <c r="N834" s="51"/>
      <c r="O834" s="51"/>
      <c r="P834" s="51"/>
      <c r="Q834" s="51"/>
      <c r="R834" s="51"/>
      <c r="S834" s="51"/>
      <c r="T834" s="51"/>
      <c r="U834" s="51"/>
      <c r="V834" s="51"/>
      <c r="W834" s="51"/>
      <c r="X834" s="51"/>
      <c r="Y834" s="51"/>
      <c r="Z834" s="51"/>
      <c r="AA834" s="51"/>
      <c r="AB834" s="51"/>
    </row>
    <row r="835" customFormat="false" ht="15.75" hidden="false" customHeight="false" outlineLevel="0" collapsed="false">
      <c r="A835" s="51"/>
      <c r="B835" s="51"/>
      <c r="C835" s="6"/>
      <c r="D835" s="49"/>
      <c r="E835" s="51"/>
      <c r="F835" s="6"/>
      <c r="G835" s="6"/>
      <c r="H835" s="6"/>
      <c r="I835" s="6"/>
      <c r="J835" s="6"/>
      <c r="K835" s="51"/>
      <c r="L835" s="51"/>
      <c r="M835" s="51"/>
      <c r="N835" s="51"/>
      <c r="O835" s="51"/>
      <c r="P835" s="51"/>
      <c r="Q835" s="51"/>
      <c r="R835" s="51"/>
      <c r="S835" s="51"/>
      <c r="T835" s="51"/>
      <c r="U835" s="51"/>
      <c r="V835" s="51"/>
      <c r="W835" s="51"/>
      <c r="X835" s="51"/>
      <c r="Y835" s="51"/>
      <c r="Z835" s="51"/>
      <c r="AA835" s="51"/>
      <c r="AB835" s="51"/>
    </row>
    <row r="836" customFormat="false" ht="15.75" hidden="false" customHeight="false" outlineLevel="0" collapsed="false">
      <c r="A836" s="51"/>
      <c r="B836" s="51"/>
      <c r="C836" s="6"/>
      <c r="D836" s="49"/>
      <c r="E836" s="51"/>
      <c r="F836" s="6"/>
      <c r="G836" s="6"/>
      <c r="H836" s="6"/>
      <c r="I836" s="6"/>
      <c r="J836" s="6"/>
      <c r="K836" s="51"/>
      <c r="L836" s="51"/>
      <c r="M836" s="51"/>
      <c r="N836" s="51"/>
      <c r="O836" s="51"/>
      <c r="P836" s="51"/>
      <c r="Q836" s="51"/>
      <c r="R836" s="51"/>
      <c r="S836" s="51"/>
      <c r="T836" s="51"/>
      <c r="U836" s="51"/>
      <c r="V836" s="51"/>
      <c r="W836" s="51"/>
      <c r="X836" s="51"/>
      <c r="Y836" s="51"/>
      <c r="Z836" s="51"/>
      <c r="AA836" s="51"/>
      <c r="AB836" s="51"/>
    </row>
    <row r="837" customFormat="false" ht="15.75" hidden="false" customHeight="false" outlineLevel="0" collapsed="false">
      <c r="A837" s="51"/>
      <c r="B837" s="51"/>
      <c r="C837" s="6"/>
      <c r="D837" s="49"/>
      <c r="E837" s="51"/>
      <c r="F837" s="6"/>
      <c r="G837" s="6"/>
      <c r="H837" s="6"/>
      <c r="I837" s="6"/>
      <c r="J837" s="6"/>
      <c r="K837" s="51"/>
      <c r="L837" s="51"/>
      <c r="M837" s="51"/>
      <c r="N837" s="51"/>
      <c r="O837" s="51"/>
      <c r="P837" s="51"/>
      <c r="Q837" s="51"/>
      <c r="R837" s="51"/>
      <c r="S837" s="51"/>
      <c r="T837" s="51"/>
      <c r="U837" s="51"/>
      <c r="V837" s="51"/>
      <c r="W837" s="51"/>
      <c r="X837" s="51"/>
      <c r="Y837" s="51"/>
      <c r="Z837" s="51"/>
      <c r="AA837" s="51"/>
      <c r="AB837" s="51"/>
    </row>
    <row r="838" customFormat="false" ht="15.75" hidden="false" customHeight="false" outlineLevel="0" collapsed="false">
      <c r="A838" s="51"/>
      <c r="B838" s="51"/>
      <c r="C838" s="6"/>
      <c r="D838" s="49"/>
      <c r="E838" s="51"/>
      <c r="F838" s="6"/>
      <c r="G838" s="6"/>
      <c r="H838" s="6"/>
      <c r="I838" s="6"/>
      <c r="J838" s="6"/>
      <c r="K838" s="51"/>
      <c r="L838" s="51"/>
      <c r="M838" s="51"/>
      <c r="N838" s="51"/>
      <c r="O838" s="51"/>
      <c r="P838" s="51"/>
      <c r="Q838" s="51"/>
      <c r="R838" s="51"/>
      <c r="S838" s="51"/>
      <c r="T838" s="51"/>
      <c r="U838" s="51"/>
      <c r="V838" s="51"/>
      <c r="W838" s="51"/>
      <c r="X838" s="51"/>
      <c r="Y838" s="51"/>
      <c r="Z838" s="51"/>
      <c r="AA838" s="51"/>
      <c r="AB838" s="51"/>
    </row>
    <row r="839" customFormat="false" ht="15.75" hidden="false" customHeight="false" outlineLevel="0" collapsed="false">
      <c r="A839" s="51"/>
      <c r="B839" s="51"/>
      <c r="C839" s="6"/>
      <c r="D839" s="49"/>
      <c r="E839" s="51"/>
      <c r="F839" s="6"/>
      <c r="G839" s="6"/>
      <c r="H839" s="6"/>
      <c r="I839" s="6"/>
      <c r="J839" s="6"/>
      <c r="K839" s="51"/>
      <c r="L839" s="51"/>
      <c r="M839" s="51"/>
      <c r="N839" s="51"/>
      <c r="O839" s="51"/>
      <c r="P839" s="51"/>
      <c r="Q839" s="51"/>
      <c r="R839" s="51"/>
      <c r="S839" s="51"/>
      <c r="T839" s="51"/>
      <c r="U839" s="51"/>
      <c r="V839" s="51"/>
      <c r="W839" s="51"/>
      <c r="X839" s="51"/>
      <c r="Y839" s="51"/>
      <c r="Z839" s="51"/>
      <c r="AA839" s="51"/>
      <c r="AB839" s="51"/>
    </row>
    <row r="840" customFormat="false" ht="15.75" hidden="false" customHeight="false" outlineLevel="0" collapsed="false">
      <c r="A840" s="51"/>
      <c r="B840" s="51"/>
      <c r="C840" s="6"/>
      <c r="D840" s="49"/>
      <c r="E840" s="51"/>
      <c r="F840" s="6"/>
      <c r="G840" s="6"/>
      <c r="H840" s="6"/>
      <c r="I840" s="6"/>
      <c r="J840" s="6"/>
      <c r="K840" s="51"/>
      <c r="L840" s="51"/>
      <c r="M840" s="51"/>
      <c r="N840" s="51"/>
      <c r="O840" s="51"/>
      <c r="P840" s="51"/>
      <c r="Q840" s="51"/>
      <c r="R840" s="51"/>
      <c r="S840" s="51"/>
      <c r="T840" s="51"/>
      <c r="U840" s="51"/>
      <c r="V840" s="51"/>
      <c r="W840" s="51"/>
      <c r="X840" s="51"/>
      <c r="Y840" s="51"/>
      <c r="Z840" s="51"/>
      <c r="AA840" s="51"/>
      <c r="AB840" s="51"/>
    </row>
    <row r="841" customFormat="false" ht="15.75" hidden="false" customHeight="false" outlineLevel="0" collapsed="false">
      <c r="A841" s="51"/>
      <c r="B841" s="51"/>
      <c r="C841" s="6"/>
      <c r="D841" s="49"/>
      <c r="E841" s="51"/>
      <c r="F841" s="6"/>
      <c r="G841" s="6"/>
      <c r="H841" s="6"/>
      <c r="I841" s="6"/>
      <c r="J841" s="6"/>
      <c r="K841" s="51"/>
      <c r="L841" s="51"/>
      <c r="M841" s="51"/>
      <c r="N841" s="51"/>
      <c r="O841" s="51"/>
      <c r="P841" s="51"/>
      <c r="Q841" s="51"/>
      <c r="R841" s="51"/>
      <c r="S841" s="51"/>
      <c r="T841" s="51"/>
      <c r="U841" s="51"/>
      <c r="V841" s="51"/>
      <c r="W841" s="51"/>
      <c r="X841" s="51"/>
      <c r="Y841" s="51"/>
      <c r="Z841" s="51"/>
      <c r="AA841" s="51"/>
      <c r="AB841" s="51"/>
    </row>
    <row r="842" customFormat="false" ht="15.75" hidden="false" customHeight="false" outlineLevel="0" collapsed="false">
      <c r="A842" s="51"/>
      <c r="B842" s="51"/>
      <c r="C842" s="6"/>
      <c r="D842" s="49"/>
      <c r="E842" s="51"/>
      <c r="F842" s="6"/>
      <c r="G842" s="6"/>
      <c r="H842" s="6"/>
      <c r="I842" s="6"/>
      <c r="J842" s="6"/>
      <c r="K842" s="51"/>
      <c r="L842" s="51"/>
      <c r="M842" s="51"/>
      <c r="N842" s="51"/>
      <c r="O842" s="51"/>
      <c r="P842" s="51"/>
      <c r="Q842" s="51"/>
      <c r="R842" s="51"/>
      <c r="S842" s="51"/>
      <c r="T842" s="51"/>
      <c r="U842" s="51"/>
      <c r="V842" s="51"/>
      <c r="W842" s="51"/>
      <c r="X842" s="51"/>
      <c r="Y842" s="51"/>
      <c r="Z842" s="51"/>
      <c r="AA842" s="51"/>
      <c r="AB842" s="51"/>
    </row>
    <row r="843" customFormat="false" ht="15.75" hidden="false" customHeight="false" outlineLevel="0" collapsed="false">
      <c r="A843" s="51"/>
      <c r="B843" s="51"/>
      <c r="C843" s="6"/>
      <c r="D843" s="49"/>
      <c r="E843" s="51"/>
      <c r="F843" s="6"/>
      <c r="G843" s="6"/>
      <c r="H843" s="6"/>
      <c r="I843" s="6"/>
      <c r="J843" s="6"/>
      <c r="K843" s="51"/>
      <c r="L843" s="51"/>
      <c r="M843" s="51"/>
      <c r="N843" s="51"/>
      <c r="O843" s="51"/>
      <c r="P843" s="51"/>
      <c r="Q843" s="51"/>
      <c r="R843" s="51"/>
      <c r="S843" s="51"/>
      <c r="T843" s="51"/>
      <c r="U843" s="51"/>
      <c r="V843" s="51"/>
      <c r="W843" s="51"/>
      <c r="X843" s="51"/>
      <c r="Y843" s="51"/>
      <c r="Z843" s="51"/>
      <c r="AA843" s="51"/>
      <c r="AB843" s="51"/>
    </row>
    <row r="844" customFormat="false" ht="15.75" hidden="false" customHeight="false" outlineLevel="0" collapsed="false">
      <c r="A844" s="51"/>
      <c r="B844" s="51"/>
      <c r="C844" s="6"/>
      <c r="D844" s="49"/>
      <c r="E844" s="51"/>
      <c r="F844" s="6"/>
      <c r="G844" s="6"/>
      <c r="H844" s="6"/>
      <c r="I844" s="6"/>
      <c r="J844" s="6"/>
      <c r="K844" s="51"/>
      <c r="L844" s="51"/>
      <c r="M844" s="51"/>
      <c r="N844" s="51"/>
      <c r="O844" s="51"/>
      <c r="P844" s="51"/>
      <c r="Q844" s="51"/>
      <c r="R844" s="51"/>
      <c r="S844" s="51"/>
      <c r="T844" s="51"/>
      <c r="U844" s="51"/>
      <c r="V844" s="51"/>
      <c r="W844" s="51"/>
      <c r="X844" s="51"/>
      <c r="Y844" s="51"/>
      <c r="Z844" s="51"/>
      <c r="AA844" s="51"/>
      <c r="AB844" s="51"/>
    </row>
    <row r="845" customFormat="false" ht="15.75" hidden="false" customHeight="false" outlineLevel="0" collapsed="false">
      <c r="A845" s="51"/>
      <c r="B845" s="51"/>
      <c r="C845" s="6"/>
      <c r="D845" s="49"/>
      <c r="E845" s="51"/>
      <c r="F845" s="6"/>
      <c r="G845" s="6"/>
      <c r="H845" s="6"/>
      <c r="I845" s="6"/>
      <c r="J845" s="6"/>
      <c r="K845" s="51"/>
      <c r="L845" s="51"/>
      <c r="M845" s="51"/>
      <c r="N845" s="51"/>
      <c r="O845" s="51"/>
      <c r="P845" s="51"/>
      <c r="Q845" s="51"/>
      <c r="R845" s="51"/>
      <c r="S845" s="51"/>
      <c r="T845" s="51"/>
      <c r="U845" s="51"/>
      <c r="V845" s="51"/>
      <c r="W845" s="51"/>
      <c r="X845" s="51"/>
      <c r="Y845" s="51"/>
      <c r="Z845" s="51"/>
      <c r="AA845" s="51"/>
      <c r="AB845" s="51"/>
    </row>
    <row r="846" customFormat="false" ht="15.75" hidden="false" customHeight="false" outlineLevel="0" collapsed="false">
      <c r="A846" s="51"/>
      <c r="B846" s="51"/>
      <c r="C846" s="6"/>
      <c r="D846" s="49"/>
      <c r="E846" s="51"/>
      <c r="F846" s="6"/>
      <c r="G846" s="6"/>
      <c r="H846" s="6"/>
      <c r="I846" s="6"/>
      <c r="J846" s="6"/>
      <c r="K846" s="51"/>
      <c r="L846" s="51"/>
      <c r="M846" s="51"/>
      <c r="N846" s="51"/>
      <c r="O846" s="51"/>
      <c r="P846" s="51"/>
      <c r="Q846" s="51"/>
      <c r="R846" s="51"/>
      <c r="S846" s="51"/>
      <c r="T846" s="51"/>
      <c r="U846" s="51"/>
      <c r="V846" s="51"/>
      <c r="W846" s="51"/>
      <c r="X846" s="51"/>
      <c r="Y846" s="51"/>
      <c r="Z846" s="51"/>
      <c r="AA846" s="51"/>
      <c r="AB846" s="51"/>
    </row>
    <row r="847" customFormat="false" ht="15.75" hidden="false" customHeight="false" outlineLevel="0" collapsed="false">
      <c r="A847" s="51"/>
      <c r="B847" s="51"/>
      <c r="C847" s="6"/>
      <c r="D847" s="49"/>
      <c r="E847" s="51"/>
      <c r="F847" s="6"/>
      <c r="G847" s="6"/>
      <c r="H847" s="6"/>
      <c r="I847" s="6"/>
      <c r="J847" s="6"/>
      <c r="K847" s="51"/>
      <c r="L847" s="51"/>
      <c r="M847" s="51"/>
      <c r="N847" s="51"/>
      <c r="O847" s="51"/>
      <c r="P847" s="51"/>
      <c r="Q847" s="51"/>
      <c r="R847" s="51"/>
      <c r="S847" s="51"/>
      <c r="T847" s="51"/>
      <c r="U847" s="51"/>
      <c r="V847" s="51"/>
      <c r="W847" s="51"/>
      <c r="X847" s="51"/>
      <c r="Y847" s="51"/>
      <c r="Z847" s="51"/>
      <c r="AA847" s="51"/>
      <c r="AB847" s="51"/>
    </row>
    <row r="848" customFormat="false" ht="15.75" hidden="false" customHeight="false" outlineLevel="0" collapsed="false">
      <c r="A848" s="51"/>
      <c r="B848" s="51"/>
      <c r="C848" s="6"/>
      <c r="D848" s="49"/>
      <c r="E848" s="51"/>
      <c r="F848" s="6"/>
      <c r="G848" s="6"/>
      <c r="H848" s="6"/>
      <c r="I848" s="6"/>
      <c r="J848" s="6"/>
      <c r="K848" s="51"/>
      <c r="L848" s="51"/>
      <c r="M848" s="51"/>
      <c r="N848" s="51"/>
      <c r="O848" s="51"/>
      <c r="P848" s="51"/>
      <c r="Q848" s="51"/>
      <c r="R848" s="51"/>
      <c r="S848" s="51"/>
      <c r="T848" s="51"/>
      <c r="U848" s="51"/>
      <c r="V848" s="51"/>
      <c r="W848" s="51"/>
      <c r="X848" s="51"/>
      <c r="Y848" s="51"/>
      <c r="Z848" s="51"/>
      <c r="AA848" s="51"/>
      <c r="AB848" s="51"/>
    </row>
    <row r="849" customFormat="false" ht="15.75" hidden="false" customHeight="false" outlineLevel="0" collapsed="false">
      <c r="A849" s="51"/>
      <c r="B849" s="51"/>
      <c r="C849" s="6"/>
      <c r="D849" s="49"/>
      <c r="E849" s="51"/>
      <c r="F849" s="6"/>
      <c r="G849" s="6"/>
      <c r="H849" s="6"/>
      <c r="I849" s="6"/>
      <c r="J849" s="6"/>
      <c r="K849" s="51"/>
      <c r="L849" s="51"/>
      <c r="M849" s="51"/>
      <c r="N849" s="51"/>
      <c r="O849" s="51"/>
      <c r="P849" s="51"/>
      <c r="Q849" s="51"/>
      <c r="R849" s="51"/>
      <c r="S849" s="51"/>
      <c r="T849" s="51"/>
      <c r="U849" s="51"/>
      <c r="V849" s="51"/>
      <c r="W849" s="51"/>
      <c r="X849" s="51"/>
      <c r="Y849" s="51"/>
      <c r="Z849" s="51"/>
      <c r="AA849" s="51"/>
      <c r="AB849" s="51"/>
    </row>
    <row r="850" customFormat="false" ht="15.75" hidden="false" customHeight="false" outlineLevel="0" collapsed="false">
      <c r="A850" s="51"/>
      <c r="B850" s="51"/>
      <c r="C850" s="6"/>
      <c r="D850" s="49"/>
      <c r="E850" s="51"/>
      <c r="F850" s="6"/>
      <c r="G850" s="6"/>
      <c r="H850" s="6"/>
      <c r="I850" s="6"/>
      <c r="J850" s="6"/>
      <c r="K850" s="51"/>
      <c r="L850" s="51"/>
      <c r="M850" s="51"/>
      <c r="N850" s="51"/>
      <c r="O850" s="51"/>
      <c r="P850" s="51"/>
      <c r="Q850" s="51"/>
      <c r="R850" s="51"/>
      <c r="S850" s="51"/>
      <c r="T850" s="51"/>
      <c r="U850" s="51"/>
      <c r="V850" s="51"/>
      <c r="W850" s="51"/>
      <c r="X850" s="51"/>
      <c r="Y850" s="51"/>
      <c r="Z850" s="51"/>
      <c r="AA850" s="51"/>
      <c r="AB850" s="51"/>
    </row>
    <row r="851" customFormat="false" ht="15.75" hidden="false" customHeight="false" outlineLevel="0" collapsed="false">
      <c r="A851" s="51"/>
      <c r="B851" s="51"/>
      <c r="C851" s="6"/>
      <c r="D851" s="49"/>
      <c r="E851" s="51"/>
      <c r="F851" s="6"/>
      <c r="G851" s="6"/>
      <c r="H851" s="6"/>
      <c r="I851" s="6"/>
      <c r="J851" s="6"/>
      <c r="K851" s="51"/>
      <c r="L851" s="51"/>
      <c r="M851" s="51"/>
      <c r="N851" s="51"/>
      <c r="O851" s="51"/>
      <c r="P851" s="51"/>
      <c r="Q851" s="51"/>
      <c r="R851" s="51"/>
      <c r="S851" s="51"/>
      <c r="T851" s="51"/>
      <c r="U851" s="51"/>
      <c r="V851" s="51"/>
      <c r="W851" s="51"/>
      <c r="X851" s="51"/>
      <c r="Y851" s="51"/>
      <c r="Z851" s="51"/>
      <c r="AA851" s="51"/>
      <c r="AB851" s="51"/>
    </row>
    <row r="852" customFormat="false" ht="15.75" hidden="false" customHeight="false" outlineLevel="0" collapsed="false">
      <c r="A852" s="51"/>
      <c r="B852" s="51"/>
      <c r="C852" s="6"/>
      <c r="D852" s="49"/>
      <c r="E852" s="51"/>
      <c r="F852" s="6"/>
      <c r="G852" s="6"/>
      <c r="H852" s="6"/>
      <c r="I852" s="6"/>
      <c r="J852" s="6"/>
      <c r="K852" s="51"/>
      <c r="L852" s="51"/>
      <c r="M852" s="51"/>
      <c r="N852" s="51"/>
      <c r="O852" s="51"/>
      <c r="P852" s="51"/>
      <c r="Q852" s="51"/>
      <c r="R852" s="51"/>
      <c r="S852" s="51"/>
      <c r="T852" s="51"/>
      <c r="U852" s="51"/>
      <c r="V852" s="51"/>
      <c r="W852" s="51"/>
      <c r="X852" s="51"/>
      <c r="Y852" s="51"/>
      <c r="Z852" s="51"/>
      <c r="AA852" s="51"/>
      <c r="AB852" s="51"/>
    </row>
    <row r="853" customFormat="false" ht="15.75" hidden="false" customHeight="false" outlineLevel="0" collapsed="false">
      <c r="A853" s="51"/>
      <c r="B853" s="51"/>
      <c r="C853" s="6"/>
      <c r="D853" s="49"/>
      <c r="E853" s="51"/>
      <c r="F853" s="6"/>
      <c r="G853" s="6"/>
      <c r="H853" s="6"/>
      <c r="I853" s="6"/>
      <c r="J853" s="6"/>
      <c r="K853" s="51"/>
      <c r="L853" s="51"/>
      <c r="M853" s="51"/>
      <c r="N853" s="51"/>
      <c r="O853" s="51"/>
      <c r="P853" s="51"/>
      <c r="Q853" s="51"/>
      <c r="R853" s="51"/>
      <c r="S853" s="51"/>
      <c r="T853" s="51"/>
      <c r="U853" s="51"/>
      <c r="V853" s="51"/>
      <c r="W853" s="51"/>
      <c r="X853" s="51"/>
      <c r="Y853" s="51"/>
      <c r="Z853" s="51"/>
      <c r="AA853" s="51"/>
      <c r="AB853" s="51"/>
    </row>
    <row r="854" customFormat="false" ht="15.75" hidden="false" customHeight="false" outlineLevel="0" collapsed="false">
      <c r="A854" s="51"/>
      <c r="B854" s="51"/>
      <c r="C854" s="6"/>
      <c r="D854" s="49"/>
      <c r="E854" s="51"/>
      <c r="F854" s="6"/>
      <c r="G854" s="6"/>
      <c r="H854" s="6"/>
      <c r="I854" s="6"/>
      <c r="J854" s="6"/>
      <c r="K854" s="51"/>
      <c r="L854" s="51"/>
      <c r="M854" s="51"/>
      <c r="N854" s="51"/>
      <c r="O854" s="51"/>
      <c r="P854" s="51"/>
      <c r="Q854" s="51"/>
      <c r="R854" s="51"/>
      <c r="S854" s="51"/>
      <c r="T854" s="51"/>
      <c r="U854" s="51"/>
      <c r="V854" s="51"/>
      <c r="W854" s="51"/>
      <c r="X854" s="51"/>
      <c r="Y854" s="51"/>
      <c r="Z854" s="51"/>
      <c r="AA854" s="51"/>
      <c r="AB854" s="51"/>
    </row>
    <row r="855" customFormat="false" ht="15.75" hidden="false" customHeight="false" outlineLevel="0" collapsed="false">
      <c r="A855" s="51"/>
      <c r="B855" s="51"/>
      <c r="C855" s="6"/>
      <c r="D855" s="49"/>
      <c r="E855" s="51"/>
      <c r="F855" s="6"/>
      <c r="G855" s="6"/>
      <c r="H855" s="6"/>
      <c r="I855" s="6"/>
      <c r="J855" s="6"/>
      <c r="K855" s="51"/>
      <c r="L855" s="51"/>
      <c r="M855" s="51"/>
      <c r="N855" s="51"/>
      <c r="O855" s="51"/>
      <c r="P855" s="51"/>
      <c r="Q855" s="51"/>
      <c r="R855" s="51"/>
      <c r="S855" s="51"/>
      <c r="T855" s="51"/>
      <c r="U855" s="51"/>
      <c r="V855" s="51"/>
      <c r="W855" s="51"/>
      <c r="X855" s="51"/>
      <c r="Y855" s="51"/>
      <c r="Z855" s="51"/>
      <c r="AA855" s="51"/>
      <c r="AB855" s="51"/>
    </row>
    <row r="856" customFormat="false" ht="15.75" hidden="false" customHeight="false" outlineLevel="0" collapsed="false">
      <c r="A856" s="51"/>
      <c r="B856" s="51"/>
      <c r="C856" s="6"/>
      <c r="D856" s="49"/>
      <c r="E856" s="51"/>
      <c r="F856" s="6"/>
      <c r="G856" s="6"/>
      <c r="H856" s="6"/>
      <c r="I856" s="6"/>
      <c r="J856" s="6"/>
      <c r="K856" s="51"/>
      <c r="L856" s="51"/>
      <c r="M856" s="51"/>
      <c r="N856" s="51"/>
      <c r="O856" s="51"/>
      <c r="P856" s="51"/>
      <c r="Q856" s="51"/>
      <c r="R856" s="51"/>
      <c r="S856" s="51"/>
      <c r="T856" s="51"/>
      <c r="U856" s="51"/>
      <c r="V856" s="51"/>
      <c r="W856" s="51"/>
      <c r="X856" s="51"/>
      <c r="Y856" s="51"/>
      <c r="Z856" s="51"/>
      <c r="AA856" s="51"/>
      <c r="AB856" s="51"/>
    </row>
    <row r="857" customFormat="false" ht="15.75" hidden="false" customHeight="false" outlineLevel="0" collapsed="false">
      <c r="A857" s="51"/>
      <c r="B857" s="51"/>
      <c r="C857" s="6"/>
      <c r="D857" s="49"/>
      <c r="E857" s="51"/>
      <c r="F857" s="6"/>
      <c r="G857" s="6"/>
      <c r="H857" s="6"/>
      <c r="I857" s="6"/>
      <c r="J857" s="6"/>
      <c r="K857" s="51"/>
      <c r="L857" s="51"/>
      <c r="M857" s="51"/>
      <c r="N857" s="51"/>
      <c r="O857" s="51"/>
      <c r="P857" s="51"/>
      <c r="Q857" s="51"/>
      <c r="R857" s="51"/>
      <c r="S857" s="51"/>
      <c r="T857" s="51"/>
      <c r="U857" s="51"/>
      <c r="V857" s="51"/>
      <c r="W857" s="51"/>
      <c r="X857" s="51"/>
      <c r="Y857" s="51"/>
      <c r="Z857" s="51"/>
      <c r="AA857" s="51"/>
      <c r="AB857" s="51"/>
    </row>
    <row r="858" customFormat="false" ht="15.75" hidden="false" customHeight="false" outlineLevel="0" collapsed="false">
      <c r="A858" s="51"/>
      <c r="B858" s="51"/>
      <c r="C858" s="6"/>
      <c r="D858" s="49"/>
      <c r="E858" s="51"/>
      <c r="F858" s="6"/>
      <c r="G858" s="6"/>
      <c r="H858" s="6"/>
      <c r="I858" s="6"/>
      <c r="J858" s="6"/>
      <c r="K858" s="51"/>
      <c r="L858" s="51"/>
      <c r="M858" s="51"/>
      <c r="N858" s="51"/>
      <c r="O858" s="51"/>
      <c r="P858" s="51"/>
      <c r="Q858" s="51"/>
      <c r="R858" s="51"/>
      <c r="S858" s="51"/>
      <c r="T858" s="51"/>
      <c r="U858" s="51"/>
      <c r="V858" s="51"/>
      <c r="W858" s="51"/>
      <c r="X858" s="51"/>
      <c r="Y858" s="51"/>
      <c r="Z858" s="51"/>
      <c r="AA858" s="51"/>
      <c r="AB858" s="51"/>
    </row>
    <row r="859" customFormat="false" ht="15.75" hidden="false" customHeight="false" outlineLevel="0" collapsed="false">
      <c r="A859" s="51"/>
      <c r="B859" s="51"/>
      <c r="C859" s="6"/>
      <c r="D859" s="49"/>
      <c r="E859" s="51"/>
      <c r="F859" s="6"/>
      <c r="G859" s="6"/>
      <c r="H859" s="6"/>
      <c r="I859" s="6"/>
      <c r="J859" s="6"/>
      <c r="K859" s="51"/>
      <c r="L859" s="51"/>
      <c r="M859" s="51"/>
      <c r="N859" s="51"/>
      <c r="O859" s="51"/>
      <c r="P859" s="51"/>
      <c r="Q859" s="51"/>
      <c r="R859" s="51"/>
      <c r="S859" s="51"/>
      <c r="T859" s="51"/>
      <c r="U859" s="51"/>
      <c r="V859" s="51"/>
      <c r="W859" s="51"/>
      <c r="X859" s="51"/>
      <c r="Y859" s="51"/>
      <c r="Z859" s="51"/>
      <c r="AA859" s="51"/>
      <c r="AB859" s="51"/>
    </row>
    <row r="860" customFormat="false" ht="15.75" hidden="false" customHeight="false" outlineLevel="0" collapsed="false">
      <c r="A860" s="51"/>
      <c r="B860" s="51"/>
      <c r="C860" s="6"/>
      <c r="D860" s="49"/>
      <c r="E860" s="51"/>
      <c r="F860" s="6"/>
      <c r="G860" s="6"/>
      <c r="H860" s="6"/>
      <c r="I860" s="6"/>
      <c r="J860" s="6"/>
      <c r="K860" s="51"/>
      <c r="L860" s="51"/>
      <c r="M860" s="51"/>
      <c r="N860" s="51"/>
      <c r="O860" s="51"/>
      <c r="P860" s="51"/>
      <c r="Q860" s="51"/>
      <c r="R860" s="51"/>
      <c r="S860" s="51"/>
      <c r="T860" s="51"/>
      <c r="U860" s="51"/>
      <c r="V860" s="51"/>
      <c r="W860" s="51"/>
      <c r="X860" s="51"/>
      <c r="Y860" s="51"/>
      <c r="Z860" s="51"/>
      <c r="AA860" s="51"/>
      <c r="AB860" s="51"/>
    </row>
    <row r="861" customFormat="false" ht="15.75" hidden="false" customHeight="false" outlineLevel="0" collapsed="false">
      <c r="A861" s="51"/>
      <c r="B861" s="51"/>
      <c r="C861" s="6"/>
      <c r="D861" s="49"/>
      <c r="E861" s="51"/>
      <c r="F861" s="6"/>
      <c r="G861" s="6"/>
      <c r="H861" s="6"/>
      <c r="I861" s="6"/>
      <c r="J861" s="6"/>
      <c r="K861" s="51"/>
      <c r="L861" s="51"/>
      <c r="M861" s="51"/>
      <c r="N861" s="51"/>
      <c r="O861" s="51"/>
      <c r="P861" s="51"/>
      <c r="Q861" s="51"/>
      <c r="R861" s="51"/>
      <c r="S861" s="51"/>
      <c r="T861" s="51"/>
      <c r="U861" s="51"/>
      <c r="V861" s="51"/>
      <c r="W861" s="51"/>
      <c r="X861" s="51"/>
      <c r="Y861" s="51"/>
      <c r="Z861" s="51"/>
      <c r="AA861" s="51"/>
      <c r="AB861" s="51"/>
    </row>
    <row r="862" customFormat="false" ht="15.75" hidden="false" customHeight="false" outlineLevel="0" collapsed="false">
      <c r="A862" s="51"/>
      <c r="B862" s="51"/>
      <c r="C862" s="6"/>
      <c r="D862" s="49"/>
      <c r="E862" s="51"/>
      <c r="F862" s="6"/>
      <c r="G862" s="6"/>
      <c r="H862" s="6"/>
      <c r="I862" s="6"/>
      <c r="J862" s="6"/>
      <c r="K862" s="51"/>
      <c r="L862" s="51"/>
      <c r="M862" s="51"/>
      <c r="N862" s="51"/>
      <c r="O862" s="51"/>
      <c r="P862" s="51"/>
      <c r="Q862" s="51"/>
      <c r="R862" s="51"/>
      <c r="S862" s="51"/>
      <c r="T862" s="51"/>
      <c r="U862" s="51"/>
      <c r="V862" s="51"/>
      <c r="W862" s="51"/>
      <c r="X862" s="51"/>
      <c r="Y862" s="51"/>
      <c r="Z862" s="51"/>
      <c r="AA862" s="51"/>
      <c r="AB862" s="51"/>
    </row>
    <row r="863" customFormat="false" ht="15.75" hidden="false" customHeight="false" outlineLevel="0" collapsed="false">
      <c r="A863" s="51"/>
      <c r="B863" s="51"/>
      <c r="C863" s="6"/>
      <c r="D863" s="49"/>
      <c r="E863" s="51"/>
      <c r="F863" s="6"/>
      <c r="G863" s="6"/>
      <c r="H863" s="6"/>
      <c r="I863" s="6"/>
      <c r="J863" s="6"/>
      <c r="K863" s="51"/>
      <c r="L863" s="51"/>
      <c r="M863" s="51"/>
      <c r="N863" s="51"/>
      <c r="O863" s="51"/>
      <c r="P863" s="51"/>
      <c r="Q863" s="51"/>
      <c r="R863" s="51"/>
      <c r="S863" s="51"/>
      <c r="T863" s="51"/>
      <c r="U863" s="51"/>
      <c r="V863" s="51"/>
      <c r="W863" s="51"/>
      <c r="X863" s="51"/>
      <c r="Y863" s="51"/>
      <c r="Z863" s="51"/>
      <c r="AA863" s="51"/>
      <c r="AB863" s="51"/>
    </row>
    <row r="864" customFormat="false" ht="15.75" hidden="false" customHeight="false" outlineLevel="0" collapsed="false">
      <c r="A864" s="51"/>
      <c r="B864" s="51"/>
      <c r="C864" s="6"/>
      <c r="D864" s="49"/>
      <c r="E864" s="51"/>
      <c r="F864" s="6"/>
      <c r="G864" s="6"/>
      <c r="H864" s="6"/>
      <c r="I864" s="6"/>
      <c r="J864" s="6"/>
      <c r="K864" s="51"/>
      <c r="L864" s="51"/>
      <c r="M864" s="51"/>
      <c r="N864" s="51"/>
      <c r="O864" s="51"/>
      <c r="P864" s="51"/>
      <c r="Q864" s="51"/>
      <c r="R864" s="51"/>
      <c r="S864" s="51"/>
      <c r="T864" s="51"/>
      <c r="U864" s="51"/>
      <c r="V864" s="51"/>
      <c r="W864" s="51"/>
      <c r="X864" s="51"/>
      <c r="Y864" s="51"/>
      <c r="Z864" s="51"/>
      <c r="AA864" s="51"/>
      <c r="AB864" s="51"/>
    </row>
    <row r="865" customFormat="false" ht="15.75" hidden="false" customHeight="false" outlineLevel="0" collapsed="false">
      <c r="A865" s="51"/>
      <c r="B865" s="51"/>
      <c r="C865" s="6"/>
      <c r="D865" s="49"/>
      <c r="E865" s="51"/>
      <c r="F865" s="6"/>
      <c r="G865" s="6"/>
      <c r="H865" s="6"/>
      <c r="I865" s="6"/>
      <c r="J865" s="6"/>
      <c r="K865" s="51"/>
      <c r="L865" s="51"/>
      <c r="M865" s="51"/>
      <c r="N865" s="51"/>
      <c r="O865" s="51"/>
      <c r="P865" s="51"/>
      <c r="Q865" s="51"/>
      <c r="R865" s="51"/>
      <c r="S865" s="51"/>
      <c r="T865" s="51"/>
      <c r="U865" s="51"/>
      <c r="V865" s="51"/>
      <c r="W865" s="51"/>
      <c r="X865" s="51"/>
      <c r="Y865" s="51"/>
      <c r="Z865" s="51"/>
      <c r="AA865" s="51"/>
      <c r="AB865" s="51"/>
    </row>
    <row r="866" customFormat="false" ht="15.75" hidden="false" customHeight="false" outlineLevel="0" collapsed="false">
      <c r="A866" s="51"/>
      <c r="B866" s="51"/>
      <c r="C866" s="6"/>
      <c r="D866" s="49"/>
      <c r="E866" s="51"/>
      <c r="F866" s="6"/>
      <c r="G866" s="6"/>
      <c r="H866" s="6"/>
      <c r="I866" s="6"/>
      <c r="J866" s="6"/>
      <c r="K866" s="51"/>
      <c r="L866" s="51"/>
      <c r="M866" s="51"/>
      <c r="N866" s="51"/>
      <c r="O866" s="51"/>
      <c r="P866" s="51"/>
      <c r="Q866" s="51"/>
      <c r="R866" s="51"/>
      <c r="S866" s="51"/>
      <c r="T866" s="51"/>
      <c r="U866" s="51"/>
      <c r="V866" s="51"/>
      <c r="W866" s="51"/>
      <c r="X866" s="51"/>
      <c r="Y866" s="51"/>
      <c r="Z866" s="51"/>
      <c r="AA866" s="51"/>
      <c r="AB866" s="51"/>
    </row>
    <row r="867" customFormat="false" ht="15.75" hidden="false" customHeight="false" outlineLevel="0" collapsed="false">
      <c r="A867" s="51"/>
      <c r="B867" s="51"/>
      <c r="C867" s="6"/>
      <c r="D867" s="49"/>
      <c r="E867" s="51"/>
      <c r="F867" s="6"/>
      <c r="G867" s="6"/>
      <c r="H867" s="6"/>
      <c r="I867" s="6"/>
      <c r="J867" s="6"/>
      <c r="K867" s="51"/>
      <c r="L867" s="51"/>
      <c r="M867" s="51"/>
      <c r="N867" s="51"/>
      <c r="O867" s="51"/>
      <c r="P867" s="51"/>
      <c r="Q867" s="51"/>
      <c r="R867" s="51"/>
      <c r="S867" s="51"/>
      <c r="T867" s="51"/>
      <c r="U867" s="51"/>
      <c r="V867" s="51"/>
      <c r="W867" s="51"/>
      <c r="X867" s="51"/>
      <c r="Y867" s="51"/>
      <c r="Z867" s="51"/>
      <c r="AA867" s="51"/>
      <c r="AB867" s="51"/>
    </row>
    <row r="868" customFormat="false" ht="15.75" hidden="false" customHeight="false" outlineLevel="0" collapsed="false">
      <c r="A868" s="51"/>
      <c r="B868" s="51"/>
      <c r="C868" s="6"/>
      <c r="D868" s="49"/>
      <c r="E868" s="51"/>
      <c r="F868" s="6"/>
      <c r="G868" s="6"/>
      <c r="H868" s="6"/>
      <c r="I868" s="6"/>
      <c r="J868" s="6"/>
      <c r="K868" s="51"/>
      <c r="L868" s="51"/>
      <c r="M868" s="51"/>
      <c r="N868" s="51"/>
      <c r="O868" s="51"/>
      <c r="P868" s="51"/>
      <c r="Q868" s="51"/>
      <c r="R868" s="51"/>
      <c r="S868" s="51"/>
      <c r="T868" s="51"/>
      <c r="U868" s="51"/>
      <c r="V868" s="51"/>
      <c r="W868" s="51"/>
      <c r="X868" s="51"/>
      <c r="Y868" s="51"/>
      <c r="Z868" s="51"/>
      <c r="AA868" s="51"/>
      <c r="AB868" s="51"/>
    </row>
    <row r="869" customFormat="false" ht="15.75" hidden="false" customHeight="false" outlineLevel="0" collapsed="false">
      <c r="A869" s="51"/>
      <c r="B869" s="51"/>
      <c r="C869" s="6"/>
      <c r="D869" s="49"/>
      <c r="E869" s="51"/>
      <c r="F869" s="6"/>
      <c r="G869" s="6"/>
      <c r="H869" s="6"/>
      <c r="I869" s="6"/>
      <c r="J869" s="6"/>
      <c r="K869" s="51"/>
      <c r="L869" s="51"/>
      <c r="M869" s="51"/>
      <c r="N869" s="51"/>
      <c r="O869" s="51"/>
      <c r="P869" s="51"/>
      <c r="Q869" s="51"/>
      <c r="R869" s="51"/>
      <c r="S869" s="51"/>
      <c r="T869" s="51"/>
      <c r="U869" s="51"/>
      <c r="V869" s="51"/>
      <c r="W869" s="51"/>
      <c r="X869" s="51"/>
      <c r="Y869" s="51"/>
      <c r="Z869" s="51"/>
      <c r="AA869" s="51"/>
      <c r="AB869" s="51"/>
    </row>
    <row r="870" customFormat="false" ht="15.75" hidden="false" customHeight="false" outlineLevel="0" collapsed="false">
      <c r="A870" s="51"/>
      <c r="B870" s="51"/>
      <c r="C870" s="6"/>
      <c r="D870" s="49"/>
      <c r="E870" s="51"/>
      <c r="F870" s="6"/>
      <c r="G870" s="6"/>
      <c r="H870" s="6"/>
      <c r="I870" s="6"/>
      <c r="J870" s="6"/>
      <c r="K870" s="51"/>
      <c r="L870" s="51"/>
      <c r="M870" s="51"/>
      <c r="N870" s="51"/>
      <c r="O870" s="51"/>
      <c r="P870" s="51"/>
      <c r="Q870" s="51"/>
      <c r="R870" s="51"/>
      <c r="S870" s="51"/>
      <c r="T870" s="51"/>
      <c r="U870" s="51"/>
      <c r="V870" s="51"/>
      <c r="W870" s="51"/>
      <c r="X870" s="51"/>
      <c r="Y870" s="51"/>
      <c r="Z870" s="51"/>
      <c r="AA870" s="51"/>
      <c r="AB870" s="51"/>
    </row>
    <row r="871" customFormat="false" ht="15.75" hidden="false" customHeight="false" outlineLevel="0" collapsed="false">
      <c r="A871" s="51"/>
      <c r="B871" s="51"/>
      <c r="C871" s="6"/>
      <c r="D871" s="49"/>
      <c r="E871" s="51"/>
      <c r="F871" s="6"/>
      <c r="G871" s="6"/>
      <c r="H871" s="6"/>
      <c r="I871" s="6"/>
      <c r="J871" s="6"/>
      <c r="K871" s="51"/>
      <c r="L871" s="51"/>
      <c r="M871" s="51"/>
      <c r="N871" s="51"/>
      <c r="O871" s="51"/>
      <c r="P871" s="51"/>
      <c r="Q871" s="51"/>
      <c r="R871" s="51"/>
      <c r="S871" s="51"/>
      <c r="T871" s="51"/>
      <c r="U871" s="51"/>
      <c r="V871" s="51"/>
      <c r="W871" s="51"/>
      <c r="X871" s="51"/>
      <c r="Y871" s="51"/>
      <c r="Z871" s="51"/>
      <c r="AA871" s="51"/>
      <c r="AB871" s="51"/>
    </row>
    <row r="872" customFormat="false" ht="15.75" hidden="false" customHeight="false" outlineLevel="0" collapsed="false">
      <c r="A872" s="51"/>
      <c r="B872" s="51"/>
      <c r="C872" s="6"/>
      <c r="D872" s="49"/>
      <c r="E872" s="51"/>
      <c r="F872" s="6"/>
      <c r="G872" s="6"/>
      <c r="H872" s="6"/>
      <c r="I872" s="6"/>
      <c r="J872" s="6"/>
      <c r="K872" s="51"/>
      <c r="L872" s="51"/>
      <c r="M872" s="51"/>
      <c r="N872" s="51"/>
      <c r="O872" s="51"/>
      <c r="P872" s="51"/>
      <c r="Q872" s="51"/>
      <c r="R872" s="51"/>
      <c r="S872" s="51"/>
      <c r="T872" s="51"/>
      <c r="U872" s="51"/>
      <c r="V872" s="51"/>
      <c r="W872" s="51"/>
      <c r="X872" s="51"/>
      <c r="Y872" s="51"/>
      <c r="Z872" s="51"/>
      <c r="AA872" s="51"/>
      <c r="AB872" s="51"/>
    </row>
    <row r="873" customFormat="false" ht="15.75" hidden="false" customHeight="false" outlineLevel="0" collapsed="false">
      <c r="A873" s="51"/>
      <c r="B873" s="51"/>
      <c r="C873" s="6"/>
      <c r="D873" s="49"/>
      <c r="E873" s="51"/>
      <c r="F873" s="6"/>
      <c r="G873" s="6"/>
      <c r="H873" s="6"/>
      <c r="I873" s="6"/>
      <c r="J873" s="6"/>
      <c r="K873" s="51"/>
      <c r="L873" s="51"/>
      <c r="M873" s="51"/>
      <c r="N873" s="51"/>
      <c r="O873" s="51"/>
      <c r="P873" s="51"/>
      <c r="Q873" s="51"/>
      <c r="R873" s="51"/>
      <c r="S873" s="51"/>
      <c r="T873" s="51"/>
      <c r="U873" s="51"/>
      <c r="V873" s="51"/>
      <c r="W873" s="51"/>
      <c r="X873" s="51"/>
      <c r="Y873" s="51"/>
      <c r="Z873" s="51"/>
      <c r="AA873" s="51"/>
      <c r="AB873" s="51"/>
    </row>
    <row r="874" customFormat="false" ht="15.75" hidden="false" customHeight="false" outlineLevel="0" collapsed="false">
      <c r="A874" s="51"/>
      <c r="B874" s="51"/>
      <c r="C874" s="6"/>
      <c r="D874" s="49"/>
      <c r="E874" s="51"/>
      <c r="F874" s="6"/>
      <c r="G874" s="6"/>
      <c r="H874" s="6"/>
      <c r="I874" s="6"/>
      <c r="J874" s="6"/>
      <c r="K874" s="51"/>
      <c r="L874" s="51"/>
      <c r="M874" s="51"/>
      <c r="N874" s="51"/>
      <c r="O874" s="51"/>
      <c r="P874" s="51"/>
      <c r="Q874" s="51"/>
      <c r="R874" s="51"/>
      <c r="S874" s="51"/>
      <c r="T874" s="51"/>
      <c r="U874" s="51"/>
      <c r="V874" s="51"/>
      <c r="W874" s="51"/>
      <c r="X874" s="51"/>
      <c r="Y874" s="51"/>
      <c r="Z874" s="51"/>
      <c r="AA874" s="51"/>
      <c r="AB874" s="51"/>
    </row>
    <row r="875" customFormat="false" ht="15.75" hidden="false" customHeight="false" outlineLevel="0" collapsed="false">
      <c r="A875" s="51"/>
      <c r="B875" s="51"/>
      <c r="C875" s="6"/>
      <c r="D875" s="49"/>
      <c r="E875" s="51"/>
      <c r="F875" s="6"/>
      <c r="G875" s="6"/>
      <c r="H875" s="6"/>
      <c r="I875" s="6"/>
      <c r="J875" s="6"/>
      <c r="K875" s="51"/>
      <c r="L875" s="51"/>
      <c r="M875" s="51"/>
      <c r="N875" s="51"/>
      <c r="O875" s="51"/>
      <c r="P875" s="51"/>
      <c r="Q875" s="51"/>
      <c r="R875" s="51"/>
      <c r="S875" s="51"/>
      <c r="T875" s="51"/>
      <c r="U875" s="51"/>
      <c r="V875" s="51"/>
      <c r="W875" s="51"/>
      <c r="X875" s="51"/>
      <c r="Y875" s="51"/>
      <c r="Z875" s="51"/>
      <c r="AA875" s="51"/>
      <c r="AB875" s="51"/>
    </row>
    <row r="876" customFormat="false" ht="15.75" hidden="false" customHeight="false" outlineLevel="0" collapsed="false">
      <c r="A876" s="51"/>
      <c r="B876" s="51"/>
      <c r="C876" s="6"/>
      <c r="D876" s="49"/>
      <c r="E876" s="51"/>
      <c r="F876" s="6"/>
      <c r="G876" s="6"/>
      <c r="H876" s="6"/>
      <c r="I876" s="6"/>
      <c r="J876" s="6"/>
      <c r="K876" s="51"/>
      <c r="L876" s="51"/>
      <c r="M876" s="51"/>
      <c r="N876" s="51"/>
      <c r="O876" s="51"/>
      <c r="P876" s="51"/>
      <c r="Q876" s="51"/>
      <c r="R876" s="51"/>
      <c r="S876" s="51"/>
      <c r="T876" s="51"/>
      <c r="U876" s="51"/>
      <c r="V876" s="51"/>
      <c r="W876" s="51"/>
      <c r="X876" s="51"/>
      <c r="Y876" s="51"/>
      <c r="Z876" s="51"/>
      <c r="AA876" s="51"/>
      <c r="AB876" s="51"/>
    </row>
    <row r="877" customFormat="false" ht="15.75" hidden="false" customHeight="false" outlineLevel="0" collapsed="false">
      <c r="A877" s="51"/>
      <c r="B877" s="51"/>
      <c r="C877" s="6"/>
      <c r="D877" s="49"/>
      <c r="E877" s="51"/>
      <c r="F877" s="6"/>
      <c r="G877" s="6"/>
      <c r="H877" s="6"/>
      <c r="I877" s="6"/>
      <c r="J877" s="6"/>
      <c r="K877" s="51"/>
      <c r="L877" s="51"/>
      <c r="M877" s="51"/>
      <c r="N877" s="51"/>
      <c r="O877" s="51"/>
      <c r="P877" s="51"/>
      <c r="Q877" s="51"/>
      <c r="R877" s="51"/>
      <c r="S877" s="51"/>
      <c r="T877" s="51"/>
      <c r="U877" s="51"/>
      <c r="V877" s="51"/>
      <c r="W877" s="51"/>
      <c r="X877" s="51"/>
      <c r="Y877" s="51"/>
      <c r="Z877" s="51"/>
      <c r="AA877" s="51"/>
      <c r="AB877" s="51"/>
    </row>
    <row r="878" customFormat="false" ht="15.75" hidden="false" customHeight="false" outlineLevel="0" collapsed="false">
      <c r="A878" s="51"/>
      <c r="B878" s="51"/>
      <c r="C878" s="6"/>
      <c r="D878" s="49"/>
      <c r="E878" s="51"/>
      <c r="F878" s="6"/>
      <c r="G878" s="6"/>
      <c r="H878" s="6"/>
      <c r="I878" s="6"/>
      <c r="J878" s="6"/>
      <c r="K878" s="51"/>
      <c r="L878" s="51"/>
      <c r="M878" s="51"/>
      <c r="N878" s="51"/>
      <c r="O878" s="51"/>
      <c r="P878" s="51"/>
      <c r="Q878" s="51"/>
      <c r="R878" s="51"/>
      <c r="S878" s="51"/>
      <c r="T878" s="51"/>
      <c r="U878" s="51"/>
      <c r="V878" s="51"/>
      <c r="W878" s="51"/>
      <c r="X878" s="51"/>
      <c r="Y878" s="51"/>
      <c r="Z878" s="51"/>
      <c r="AA878" s="51"/>
      <c r="AB878" s="51"/>
    </row>
    <row r="879" customFormat="false" ht="15.75" hidden="false" customHeight="false" outlineLevel="0" collapsed="false">
      <c r="A879" s="51"/>
      <c r="B879" s="51"/>
      <c r="C879" s="6"/>
      <c r="D879" s="49"/>
      <c r="E879" s="51"/>
      <c r="F879" s="6"/>
      <c r="G879" s="6"/>
      <c r="H879" s="6"/>
      <c r="I879" s="6"/>
      <c r="J879" s="6"/>
      <c r="K879" s="51"/>
      <c r="L879" s="51"/>
      <c r="M879" s="51"/>
      <c r="N879" s="51"/>
      <c r="O879" s="51"/>
      <c r="P879" s="51"/>
      <c r="Q879" s="51"/>
      <c r="R879" s="51"/>
      <c r="S879" s="51"/>
      <c r="T879" s="51"/>
      <c r="U879" s="51"/>
      <c r="V879" s="51"/>
      <c r="W879" s="51"/>
      <c r="X879" s="51"/>
      <c r="Y879" s="51"/>
      <c r="Z879" s="51"/>
      <c r="AA879" s="51"/>
      <c r="AB879" s="51"/>
    </row>
    <row r="880" customFormat="false" ht="15.75" hidden="false" customHeight="false" outlineLevel="0" collapsed="false">
      <c r="A880" s="51"/>
      <c r="B880" s="51"/>
      <c r="C880" s="6"/>
      <c r="D880" s="49"/>
      <c r="E880" s="51"/>
      <c r="F880" s="6"/>
      <c r="G880" s="6"/>
      <c r="H880" s="6"/>
      <c r="I880" s="6"/>
      <c r="J880" s="6"/>
      <c r="K880" s="51"/>
      <c r="L880" s="51"/>
      <c r="M880" s="51"/>
      <c r="N880" s="51"/>
      <c r="O880" s="51"/>
      <c r="P880" s="51"/>
      <c r="Q880" s="51"/>
      <c r="R880" s="51"/>
      <c r="S880" s="51"/>
      <c r="T880" s="51"/>
      <c r="U880" s="51"/>
      <c r="V880" s="51"/>
      <c r="W880" s="51"/>
      <c r="X880" s="51"/>
      <c r="Y880" s="51"/>
      <c r="Z880" s="51"/>
      <c r="AA880" s="51"/>
      <c r="AB880" s="51"/>
    </row>
    <row r="881" customFormat="false" ht="15.75" hidden="false" customHeight="false" outlineLevel="0" collapsed="false">
      <c r="A881" s="51"/>
      <c r="B881" s="51"/>
      <c r="C881" s="6"/>
      <c r="D881" s="49"/>
      <c r="E881" s="51"/>
      <c r="F881" s="6"/>
      <c r="G881" s="6"/>
      <c r="H881" s="6"/>
      <c r="I881" s="6"/>
      <c r="J881" s="6"/>
      <c r="K881" s="51"/>
      <c r="L881" s="51"/>
      <c r="M881" s="51"/>
      <c r="N881" s="51"/>
      <c r="O881" s="51"/>
      <c r="P881" s="51"/>
      <c r="Q881" s="51"/>
      <c r="R881" s="51"/>
      <c r="S881" s="51"/>
      <c r="T881" s="51"/>
      <c r="U881" s="51"/>
      <c r="V881" s="51"/>
      <c r="W881" s="51"/>
      <c r="X881" s="51"/>
      <c r="Y881" s="51"/>
      <c r="Z881" s="51"/>
      <c r="AA881" s="51"/>
      <c r="AB881" s="51"/>
    </row>
    <row r="882" customFormat="false" ht="15.75" hidden="false" customHeight="false" outlineLevel="0" collapsed="false">
      <c r="A882" s="51"/>
      <c r="B882" s="51"/>
      <c r="C882" s="6"/>
      <c r="D882" s="49"/>
      <c r="E882" s="51"/>
      <c r="F882" s="6"/>
      <c r="G882" s="6"/>
      <c r="H882" s="6"/>
      <c r="I882" s="6"/>
      <c r="J882" s="6"/>
      <c r="K882" s="51"/>
      <c r="L882" s="51"/>
      <c r="M882" s="51"/>
      <c r="N882" s="51"/>
      <c r="O882" s="51"/>
      <c r="P882" s="51"/>
      <c r="Q882" s="51"/>
      <c r="R882" s="51"/>
      <c r="S882" s="51"/>
      <c r="T882" s="51"/>
      <c r="U882" s="51"/>
      <c r="V882" s="51"/>
      <c r="W882" s="51"/>
      <c r="X882" s="51"/>
      <c r="Y882" s="51"/>
      <c r="Z882" s="51"/>
      <c r="AA882" s="51"/>
      <c r="AB882" s="51"/>
    </row>
    <row r="883" customFormat="false" ht="15.75" hidden="false" customHeight="false" outlineLevel="0" collapsed="false">
      <c r="A883" s="51"/>
      <c r="B883" s="51"/>
      <c r="C883" s="6"/>
      <c r="D883" s="49"/>
      <c r="E883" s="51"/>
      <c r="F883" s="6"/>
      <c r="G883" s="6"/>
      <c r="H883" s="6"/>
      <c r="I883" s="6"/>
      <c r="J883" s="6"/>
      <c r="K883" s="51"/>
      <c r="L883" s="51"/>
      <c r="M883" s="51"/>
      <c r="N883" s="51"/>
      <c r="O883" s="51"/>
      <c r="P883" s="51"/>
      <c r="Q883" s="51"/>
      <c r="R883" s="51"/>
      <c r="S883" s="51"/>
      <c r="T883" s="51"/>
      <c r="U883" s="51"/>
      <c r="V883" s="51"/>
      <c r="W883" s="51"/>
      <c r="X883" s="51"/>
      <c r="Y883" s="51"/>
      <c r="Z883" s="51"/>
      <c r="AA883" s="51"/>
      <c r="AB883" s="51"/>
    </row>
    <row r="884" customFormat="false" ht="15.75" hidden="false" customHeight="false" outlineLevel="0" collapsed="false">
      <c r="A884" s="51"/>
      <c r="B884" s="51"/>
      <c r="C884" s="6"/>
      <c r="D884" s="49"/>
      <c r="E884" s="51"/>
      <c r="F884" s="6"/>
      <c r="G884" s="6"/>
      <c r="H884" s="6"/>
      <c r="I884" s="6"/>
      <c r="J884" s="6"/>
      <c r="K884" s="51"/>
      <c r="L884" s="51"/>
      <c r="M884" s="51"/>
      <c r="N884" s="51"/>
      <c r="O884" s="51"/>
      <c r="P884" s="51"/>
      <c r="Q884" s="51"/>
      <c r="R884" s="51"/>
      <c r="S884" s="51"/>
      <c r="T884" s="51"/>
      <c r="U884" s="51"/>
      <c r="V884" s="51"/>
      <c r="W884" s="51"/>
      <c r="X884" s="51"/>
      <c r="Y884" s="51"/>
      <c r="Z884" s="51"/>
      <c r="AA884" s="51"/>
      <c r="AB884" s="51"/>
    </row>
    <row r="885" customFormat="false" ht="15.75" hidden="false" customHeight="false" outlineLevel="0" collapsed="false">
      <c r="A885" s="51"/>
      <c r="B885" s="51"/>
      <c r="C885" s="6"/>
      <c r="D885" s="49"/>
      <c r="E885" s="51"/>
      <c r="F885" s="6"/>
      <c r="G885" s="6"/>
      <c r="H885" s="6"/>
      <c r="I885" s="6"/>
      <c r="J885" s="6"/>
      <c r="K885" s="51"/>
      <c r="L885" s="51"/>
      <c r="M885" s="51"/>
      <c r="N885" s="51"/>
      <c r="O885" s="51"/>
      <c r="P885" s="51"/>
      <c r="Q885" s="51"/>
      <c r="R885" s="51"/>
      <c r="S885" s="51"/>
      <c r="T885" s="51"/>
      <c r="U885" s="51"/>
      <c r="V885" s="51"/>
      <c r="W885" s="51"/>
      <c r="X885" s="51"/>
      <c r="Y885" s="51"/>
      <c r="Z885" s="51"/>
      <c r="AA885" s="51"/>
      <c r="AB885" s="51"/>
    </row>
    <row r="886" customFormat="false" ht="15.75" hidden="false" customHeight="false" outlineLevel="0" collapsed="false">
      <c r="A886" s="51"/>
      <c r="B886" s="51"/>
      <c r="C886" s="6"/>
      <c r="D886" s="49"/>
      <c r="E886" s="51"/>
      <c r="F886" s="6"/>
      <c r="G886" s="6"/>
      <c r="H886" s="6"/>
      <c r="I886" s="6"/>
      <c r="J886" s="6"/>
      <c r="K886" s="51"/>
      <c r="L886" s="51"/>
      <c r="M886" s="51"/>
      <c r="N886" s="51"/>
      <c r="O886" s="51"/>
      <c r="P886" s="51"/>
      <c r="Q886" s="51"/>
      <c r="R886" s="51"/>
      <c r="S886" s="51"/>
      <c r="T886" s="51"/>
      <c r="U886" s="51"/>
      <c r="V886" s="51"/>
      <c r="W886" s="51"/>
      <c r="X886" s="51"/>
      <c r="Y886" s="51"/>
      <c r="Z886" s="51"/>
      <c r="AA886" s="51"/>
      <c r="AB886" s="51"/>
    </row>
    <row r="887" customFormat="false" ht="15.75" hidden="false" customHeight="false" outlineLevel="0" collapsed="false">
      <c r="A887" s="51"/>
      <c r="B887" s="51"/>
      <c r="C887" s="6"/>
      <c r="D887" s="49"/>
      <c r="E887" s="51"/>
      <c r="F887" s="6"/>
      <c r="G887" s="6"/>
      <c r="H887" s="6"/>
      <c r="I887" s="6"/>
      <c r="J887" s="6"/>
      <c r="K887" s="51"/>
      <c r="L887" s="51"/>
      <c r="M887" s="51"/>
      <c r="N887" s="51"/>
      <c r="O887" s="51"/>
      <c r="P887" s="51"/>
      <c r="Q887" s="51"/>
      <c r="R887" s="51"/>
      <c r="S887" s="51"/>
      <c r="T887" s="51"/>
      <c r="U887" s="51"/>
      <c r="V887" s="51"/>
      <c r="W887" s="51"/>
      <c r="X887" s="51"/>
      <c r="Y887" s="51"/>
      <c r="Z887" s="51"/>
      <c r="AA887" s="51"/>
      <c r="AB887" s="51"/>
    </row>
    <row r="888" customFormat="false" ht="15.75" hidden="false" customHeight="false" outlineLevel="0" collapsed="false">
      <c r="A888" s="51"/>
      <c r="B888" s="51"/>
      <c r="C888" s="6"/>
      <c r="D888" s="49"/>
      <c r="E888" s="51"/>
      <c r="F888" s="6"/>
      <c r="G888" s="6"/>
      <c r="H888" s="6"/>
      <c r="I888" s="6"/>
      <c r="J888" s="6"/>
      <c r="K888" s="51"/>
      <c r="L888" s="51"/>
      <c r="M888" s="51"/>
      <c r="N888" s="51"/>
      <c r="O888" s="51"/>
      <c r="P888" s="51"/>
      <c r="Q888" s="51"/>
      <c r="R888" s="51"/>
      <c r="S888" s="51"/>
      <c r="T888" s="51"/>
      <c r="U888" s="51"/>
      <c r="V888" s="51"/>
      <c r="W888" s="51"/>
      <c r="X888" s="51"/>
      <c r="Y888" s="51"/>
      <c r="Z888" s="51"/>
      <c r="AA888" s="51"/>
      <c r="AB888" s="51"/>
    </row>
    <row r="889" customFormat="false" ht="15.75" hidden="false" customHeight="false" outlineLevel="0" collapsed="false">
      <c r="A889" s="51"/>
      <c r="B889" s="51"/>
      <c r="C889" s="6"/>
      <c r="D889" s="49"/>
      <c r="E889" s="51"/>
      <c r="F889" s="6"/>
      <c r="G889" s="6"/>
      <c r="H889" s="6"/>
      <c r="I889" s="6"/>
      <c r="J889" s="6"/>
      <c r="K889" s="51"/>
      <c r="L889" s="51"/>
      <c r="M889" s="51"/>
      <c r="N889" s="51"/>
      <c r="O889" s="51"/>
      <c r="P889" s="51"/>
      <c r="Q889" s="51"/>
      <c r="R889" s="51"/>
      <c r="S889" s="51"/>
      <c r="T889" s="51"/>
      <c r="U889" s="51"/>
      <c r="V889" s="51"/>
      <c r="W889" s="51"/>
      <c r="X889" s="51"/>
      <c r="Y889" s="51"/>
      <c r="Z889" s="51"/>
      <c r="AA889" s="51"/>
      <c r="AB889" s="51"/>
    </row>
    <row r="890" customFormat="false" ht="15.75" hidden="false" customHeight="false" outlineLevel="0" collapsed="false">
      <c r="A890" s="51"/>
      <c r="B890" s="51"/>
      <c r="C890" s="6"/>
      <c r="D890" s="49"/>
      <c r="E890" s="51"/>
      <c r="F890" s="6"/>
      <c r="G890" s="6"/>
      <c r="H890" s="6"/>
      <c r="I890" s="6"/>
      <c r="J890" s="6"/>
      <c r="K890" s="51"/>
      <c r="L890" s="51"/>
      <c r="M890" s="51"/>
      <c r="N890" s="51"/>
      <c r="O890" s="51"/>
      <c r="P890" s="51"/>
      <c r="Q890" s="51"/>
      <c r="R890" s="51"/>
      <c r="S890" s="51"/>
      <c r="T890" s="51"/>
      <c r="U890" s="51"/>
      <c r="V890" s="51"/>
      <c r="W890" s="51"/>
      <c r="X890" s="51"/>
      <c r="Y890" s="51"/>
      <c r="Z890" s="51"/>
      <c r="AA890" s="51"/>
      <c r="AB890" s="51"/>
    </row>
    <row r="891" customFormat="false" ht="15.75" hidden="false" customHeight="false" outlineLevel="0" collapsed="false">
      <c r="A891" s="51"/>
      <c r="B891" s="51"/>
      <c r="C891" s="6"/>
      <c r="D891" s="49"/>
      <c r="E891" s="51"/>
      <c r="F891" s="6"/>
      <c r="G891" s="6"/>
      <c r="H891" s="6"/>
      <c r="I891" s="6"/>
      <c r="J891" s="6"/>
      <c r="K891" s="51"/>
      <c r="L891" s="51"/>
      <c r="M891" s="51"/>
      <c r="N891" s="51"/>
      <c r="O891" s="51"/>
      <c r="P891" s="51"/>
      <c r="Q891" s="51"/>
      <c r="R891" s="51"/>
      <c r="S891" s="51"/>
      <c r="T891" s="51"/>
      <c r="U891" s="51"/>
      <c r="V891" s="51"/>
      <c r="W891" s="51"/>
      <c r="X891" s="51"/>
      <c r="Y891" s="51"/>
      <c r="Z891" s="51"/>
      <c r="AA891" s="51"/>
      <c r="AB891" s="51"/>
    </row>
    <row r="892" customFormat="false" ht="15.75" hidden="false" customHeight="false" outlineLevel="0" collapsed="false">
      <c r="A892" s="51"/>
      <c r="B892" s="51"/>
      <c r="C892" s="6"/>
      <c r="D892" s="49"/>
      <c r="E892" s="51"/>
      <c r="F892" s="6"/>
      <c r="G892" s="6"/>
      <c r="H892" s="6"/>
      <c r="I892" s="6"/>
      <c r="J892" s="6"/>
      <c r="K892" s="51"/>
      <c r="L892" s="51"/>
      <c r="M892" s="51"/>
      <c r="N892" s="51"/>
      <c r="O892" s="51"/>
      <c r="P892" s="51"/>
      <c r="Q892" s="51"/>
      <c r="R892" s="51"/>
      <c r="S892" s="51"/>
      <c r="T892" s="51"/>
      <c r="U892" s="51"/>
      <c r="V892" s="51"/>
      <c r="W892" s="51"/>
      <c r="X892" s="51"/>
      <c r="Y892" s="51"/>
      <c r="Z892" s="51"/>
      <c r="AA892" s="51"/>
      <c r="AB892" s="51"/>
    </row>
    <row r="893" customFormat="false" ht="15.75" hidden="false" customHeight="false" outlineLevel="0" collapsed="false">
      <c r="A893" s="51"/>
      <c r="B893" s="51"/>
      <c r="C893" s="6"/>
      <c r="D893" s="49"/>
      <c r="E893" s="51"/>
      <c r="F893" s="6"/>
      <c r="G893" s="6"/>
      <c r="H893" s="6"/>
      <c r="I893" s="6"/>
      <c r="J893" s="6"/>
      <c r="K893" s="51"/>
      <c r="L893" s="51"/>
      <c r="M893" s="51"/>
      <c r="N893" s="51"/>
      <c r="O893" s="51"/>
      <c r="P893" s="51"/>
      <c r="Q893" s="51"/>
      <c r="R893" s="51"/>
      <c r="S893" s="51"/>
      <c r="T893" s="51"/>
      <c r="U893" s="51"/>
      <c r="V893" s="51"/>
      <c r="W893" s="51"/>
      <c r="X893" s="51"/>
      <c r="Y893" s="51"/>
      <c r="Z893" s="51"/>
      <c r="AA893" s="51"/>
      <c r="AB893" s="51"/>
    </row>
    <row r="894" customFormat="false" ht="15.75" hidden="false" customHeight="false" outlineLevel="0" collapsed="false">
      <c r="A894" s="51"/>
      <c r="B894" s="51"/>
      <c r="C894" s="6"/>
      <c r="D894" s="49"/>
      <c r="E894" s="51"/>
      <c r="F894" s="6"/>
      <c r="G894" s="6"/>
      <c r="H894" s="6"/>
      <c r="I894" s="6"/>
      <c r="J894" s="6"/>
      <c r="K894" s="51"/>
      <c r="L894" s="51"/>
      <c r="M894" s="51"/>
      <c r="N894" s="51"/>
      <c r="O894" s="51"/>
      <c r="P894" s="51"/>
      <c r="Q894" s="51"/>
      <c r="R894" s="51"/>
      <c r="S894" s="51"/>
      <c r="T894" s="51"/>
      <c r="U894" s="51"/>
      <c r="V894" s="51"/>
      <c r="W894" s="51"/>
      <c r="X894" s="51"/>
      <c r="Y894" s="51"/>
      <c r="Z894" s="51"/>
      <c r="AA894" s="51"/>
      <c r="AB894" s="51"/>
    </row>
    <row r="895" customFormat="false" ht="15.75" hidden="false" customHeight="false" outlineLevel="0" collapsed="false">
      <c r="A895" s="51"/>
      <c r="B895" s="51"/>
      <c r="C895" s="6"/>
      <c r="D895" s="49"/>
      <c r="E895" s="51"/>
      <c r="F895" s="6"/>
      <c r="G895" s="6"/>
      <c r="H895" s="6"/>
      <c r="I895" s="6"/>
      <c r="J895" s="6"/>
      <c r="K895" s="51"/>
      <c r="L895" s="51"/>
      <c r="M895" s="51"/>
      <c r="N895" s="51"/>
      <c r="O895" s="51"/>
      <c r="P895" s="51"/>
      <c r="Q895" s="51"/>
      <c r="R895" s="51"/>
      <c r="S895" s="51"/>
      <c r="T895" s="51"/>
      <c r="U895" s="51"/>
      <c r="V895" s="51"/>
      <c r="W895" s="51"/>
      <c r="X895" s="51"/>
      <c r="Y895" s="51"/>
      <c r="Z895" s="51"/>
      <c r="AA895" s="51"/>
      <c r="AB895" s="51"/>
    </row>
    <row r="896" customFormat="false" ht="15.75" hidden="false" customHeight="false" outlineLevel="0" collapsed="false">
      <c r="A896" s="51"/>
      <c r="B896" s="51"/>
      <c r="C896" s="6"/>
      <c r="D896" s="49"/>
      <c r="E896" s="51"/>
      <c r="F896" s="6"/>
      <c r="G896" s="6"/>
      <c r="H896" s="6"/>
      <c r="I896" s="6"/>
      <c r="J896" s="6"/>
      <c r="K896" s="51"/>
      <c r="L896" s="51"/>
      <c r="M896" s="51"/>
      <c r="N896" s="51"/>
      <c r="O896" s="51"/>
      <c r="P896" s="51"/>
      <c r="Q896" s="51"/>
      <c r="R896" s="51"/>
      <c r="S896" s="51"/>
      <c r="T896" s="51"/>
      <c r="U896" s="51"/>
      <c r="V896" s="51"/>
      <c r="W896" s="51"/>
      <c r="X896" s="51"/>
      <c r="Y896" s="51"/>
      <c r="Z896" s="51"/>
      <c r="AA896" s="51"/>
      <c r="AB896" s="51"/>
    </row>
    <row r="897" customFormat="false" ht="15.75" hidden="false" customHeight="false" outlineLevel="0" collapsed="false">
      <c r="A897" s="51"/>
      <c r="B897" s="51"/>
      <c r="C897" s="6"/>
      <c r="D897" s="49"/>
      <c r="E897" s="51"/>
      <c r="F897" s="6"/>
      <c r="G897" s="6"/>
      <c r="H897" s="6"/>
      <c r="I897" s="6"/>
      <c r="J897" s="6"/>
      <c r="K897" s="51"/>
      <c r="L897" s="51"/>
      <c r="M897" s="51"/>
      <c r="N897" s="51"/>
      <c r="O897" s="51"/>
      <c r="P897" s="51"/>
      <c r="Q897" s="51"/>
      <c r="R897" s="51"/>
      <c r="S897" s="51"/>
      <c r="T897" s="51"/>
      <c r="U897" s="51"/>
      <c r="V897" s="51"/>
      <c r="W897" s="51"/>
      <c r="X897" s="51"/>
      <c r="Y897" s="51"/>
      <c r="Z897" s="51"/>
      <c r="AA897" s="51"/>
      <c r="AB897" s="51"/>
    </row>
    <row r="898" customFormat="false" ht="15.75" hidden="false" customHeight="false" outlineLevel="0" collapsed="false">
      <c r="A898" s="51"/>
      <c r="B898" s="51"/>
      <c r="C898" s="6"/>
      <c r="D898" s="49"/>
      <c r="E898" s="51"/>
      <c r="F898" s="6"/>
      <c r="G898" s="6"/>
      <c r="H898" s="6"/>
      <c r="I898" s="6"/>
      <c r="J898" s="6"/>
      <c r="K898" s="51"/>
      <c r="L898" s="51"/>
      <c r="M898" s="51"/>
      <c r="N898" s="51"/>
      <c r="O898" s="51"/>
      <c r="P898" s="51"/>
      <c r="Q898" s="51"/>
      <c r="R898" s="51"/>
      <c r="S898" s="51"/>
      <c r="T898" s="51"/>
      <c r="U898" s="51"/>
      <c r="V898" s="51"/>
      <c r="W898" s="51"/>
      <c r="X898" s="51"/>
      <c r="Y898" s="51"/>
      <c r="Z898" s="51"/>
      <c r="AA898" s="51"/>
      <c r="AB898" s="51"/>
    </row>
    <row r="899" customFormat="false" ht="15.75" hidden="false" customHeight="false" outlineLevel="0" collapsed="false">
      <c r="A899" s="51"/>
      <c r="B899" s="51"/>
      <c r="C899" s="6"/>
      <c r="D899" s="49"/>
      <c r="E899" s="51"/>
      <c r="F899" s="6"/>
      <c r="G899" s="6"/>
      <c r="H899" s="6"/>
      <c r="I899" s="6"/>
      <c r="J899" s="6"/>
      <c r="K899" s="51"/>
      <c r="L899" s="51"/>
      <c r="M899" s="51"/>
      <c r="N899" s="51"/>
      <c r="O899" s="51"/>
      <c r="P899" s="51"/>
      <c r="Q899" s="51"/>
      <c r="R899" s="51"/>
      <c r="S899" s="51"/>
      <c r="T899" s="51"/>
      <c r="U899" s="51"/>
      <c r="V899" s="51"/>
      <c r="W899" s="51"/>
      <c r="X899" s="51"/>
      <c r="Y899" s="51"/>
      <c r="Z899" s="51"/>
      <c r="AA899" s="51"/>
      <c r="AB899" s="51"/>
    </row>
    <row r="900" customFormat="false" ht="15.75" hidden="false" customHeight="false" outlineLevel="0" collapsed="false">
      <c r="A900" s="51"/>
      <c r="B900" s="51"/>
      <c r="C900" s="6"/>
      <c r="D900" s="49"/>
      <c r="E900" s="51"/>
      <c r="F900" s="6"/>
      <c r="G900" s="6"/>
      <c r="H900" s="6"/>
      <c r="I900" s="6"/>
      <c r="J900" s="6"/>
      <c r="K900" s="51"/>
      <c r="L900" s="51"/>
      <c r="M900" s="51"/>
      <c r="N900" s="51"/>
      <c r="O900" s="51"/>
      <c r="P900" s="51"/>
      <c r="Q900" s="51"/>
      <c r="R900" s="51"/>
      <c r="S900" s="51"/>
      <c r="T900" s="51"/>
      <c r="U900" s="51"/>
      <c r="V900" s="51"/>
      <c r="W900" s="51"/>
      <c r="X900" s="51"/>
      <c r="Y900" s="51"/>
      <c r="Z900" s="51"/>
      <c r="AA900" s="51"/>
      <c r="AB900" s="51"/>
    </row>
    <row r="901" customFormat="false" ht="15.75" hidden="false" customHeight="false" outlineLevel="0" collapsed="false">
      <c r="A901" s="51"/>
      <c r="B901" s="51"/>
      <c r="C901" s="6"/>
      <c r="D901" s="49"/>
      <c r="E901" s="51"/>
      <c r="F901" s="6"/>
      <c r="G901" s="6"/>
      <c r="H901" s="6"/>
      <c r="I901" s="6"/>
      <c r="J901" s="6"/>
      <c r="K901" s="51"/>
      <c r="L901" s="51"/>
      <c r="M901" s="51"/>
      <c r="N901" s="51"/>
      <c r="O901" s="51"/>
      <c r="P901" s="51"/>
      <c r="Q901" s="51"/>
      <c r="R901" s="51"/>
      <c r="S901" s="51"/>
      <c r="T901" s="51"/>
      <c r="U901" s="51"/>
      <c r="V901" s="51"/>
      <c r="W901" s="51"/>
      <c r="X901" s="51"/>
      <c r="Y901" s="51"/>
      <c r="Z901" s="51"/>
      <c r="AA901" s="51"/>
      <c r="AB901" s="51"/>
    </row>
    <row r="902" customFormat="false" ht="15.75" hidden="false" customHeight="false" outlineLevel="0" collapsed="false">
      <c r="A902" s="51"/>
      <c r="B902" s="51"/>
      <c r="C902" s="6"/>
      <c r="D902" s="49"/>
      <c r="E902" s="51"/>
      <c r="F902" s="6"/>
      <c r="G902" s="6"/>
      <c r="H902" s="6"/>
      <c r="I902" s="6"/>
      <c r="J902" s="6"/>
      <c r="K902" s="51"/>
      <c r="L902" s="51"/>
      <c r="M902" s="51"/>
      <c r="N902" s="51"/>
      <c r="O902" s="51"/>
      <c r="P902" s="51"/>
      <c r="Q902" s="51"/>
      <c r="R902" s="51"/>
      <c r="S902" s="51"/>
      <c r="T902" s="51"/>
      <c r="U902" s="51"/>
      <c r="V902" s="51"/>
      <c r="W902" s="51"/>
      <c r="X902" s="51"/>
      <c r="Y902" s="51"/>
      <c r="Z902" s="51"/>
      <c r="AA902" s="51"/>
      <c r="AB902" s="51"/>
    </row>
    <row r="903" customFormat="false" ht="15.75" hidden="false" customHeight="false" outlineLevel="0" collapsed="false">
      <c r="A903" s="51"/>
      <c r="B903" s="51"/>
      <c r="C903" s="6"/>
      <c r="D903" s="49"/>
      <c r="E903" s="51"/>
      <c r="F903" s="6"/>
      <c r="G903" s="6"/>
      <c r="H903" s="6"/>
      <c r="I903" s="6"/>
      <c r="J903" s="6"/>
      <c r="K903" s="51"/>
      <c r="L903" s="51"/>
      <c r="M903" s="51"/>
      <c r="N903" s="51"/>
      <c r="O903" s="51"/>
      <c r="P903" s="51"/>
      <c r="Q903" s="51"/>
      <c r="R903" s="51"/>
      <c r="S903" s="51"/>
      <c r="T903" s="51"/>
      <c r="U903" s="51"/>
      <c r="V903" s="51"/>
      <c r="W903" s="51"/>
      <c r="X903" s="51"/>
      <c r="Y903" s="51"/>
      <c r="Z903" s="51"/>
      <c r="AA903" s="51"/>
      <c r="AB903" s="51"/>
    </row>
    <row r="904" customFormat="false" ht="15.75" hidden="false" customHeight="false" outlineLevel="0" collapsed="false">
      <c r="A904" s="51"/>
      <c r="B904" s="51"/>
      <c r="C904" s="6"/>
      <c r="D904" s="49"/>
      <c r="E904" s="51"/>
      <c r="F904" s="6"/>
      <c r="G904" s="6"/>
      <c r="H904" s="6"/>
      <c r="I904" s="6"/>
      <c r="J904" s="6"/>
      <c r="K904" s="51"/>
      <c r="L904" s="51"/>
      <c r="M904" s="51"/>
      <c r="N904" s="51"/>
      <c r="O904" s="51"/>
      <c r="P904" s="51"/>
      <c r="Q904" s="51"/>
      <c r="R904" s="51"/>
      <c r="S904" s="51"/>
      <c r="T904" s="51"/>
      <c r="U904" s="51"/>
      <c r="V904" s="51"/>
      <c r="W904" s="51"/>
      <c r="X904" s="51"/>
      <c r="Y904" s="51"/>
      <c r="Z904" s="51"/>
      <c r="AA904" s="51"/>
      <c r="AB904" s="51"/>
    </row>
    <row r="905" customFormat="false" ht="15.75" hidden="false" customHeight="false" outlineLevel="0" collapsed="false">
      <c r="A905" s="51"/>
      <c r="B905" s="51"/>
      <c r="C905" s="6"/>
      <c r="D905" s="49"/>
      <c r="E905" s="51"/>
      <c r="F905" s="6"/>
      <c r="G905" s="6"/>
      <c r="H905" s="6"/>
      <c r="I905" s="6"/>
      <c r="J905" s="6"/>
      <c r="K905" s="51"/>
      <c r="L905" s="51"/>
      <c r="M905" s="51"/>
      <c r="N905" s="51"/>
      <c r="O905" s="51"/>
      <c r="P905" s="51"/>
      <c r="Q905" s="51"/>
      <c r="R905" s="51"/>
      <c r="S905" s="51"/>
      <c r="T905" s="51"/>
      <c r="U905" s="51"/>
      <c r="V905" s="51"/>
      <c r="W905" s="51"/>
      <c r="X905" s="51"/>
      <c r="Y905" s="51"/>
      <c r="Z905" s="51"/>
      <c r="AA905" s="51"/>
      <c r="AB905" s="51"/>
    </row>
    <row r="906" customFormat="false" ht="15.75" hidden="false" customHeight="false" outlineLevel="0" collapsed="false">
      <c r="A906" s="51"/>
      <c r="B906" s="51"/>
      <c r="C906" s="6"/>
      <c r="D906" s="49"/>
      <c r="E906" s="51"/>
      <c r="F906" s="6"/>
      <c r="G906" s="6"/>
      <c r="H906" s="6"/>
      <c r="I906" s="6"/>
      <c r="J906" s="6"/>
      <c r="K906" s="51"/>
      <c r="L906" s="51"/>
      <c r="M906" s="51"/>
      <c r="N906" s="51"/>
      <c r="O906" s="51"/>
      <c r="P906" s="51"/>
      <c r="Q906" s="51"/>
      <c r="R906" s="51"/>
      <c r="S906" s="51"/>
      <c r="T906" s="51"/>
      <c r="U906" s="51"/>
      <c r="V906" s="51"/>
      <c r="W906" s="51"/>
      <c r="X906" s="51"/>
      <c r="Y906" s="51"/>
      <c r="Z906" s="51"/>
      <c r="AA906" s="51"/>
      <c r="AB906" s="51"/>
    </row>
    <row r="907" customFormat="false" ht="15.75" hidden="false" customHeight="false" outlineLevel="0" collapsed="false">
      <c r="A907" s="51"/>
      <c r="B907" s="51"/>
      <c r="C907" s="6"/>
      <c r="D907" s="49"/>
      <c r="E907" s="51"/>
      <c r="F907" s="6"/>
      <c r="G907" s="6"/>
      <c r="H907" s="6"/>
      <c r="I907" s="6"/>
      <c r="J907" s="6"/>
      <c r="K907" s="51"/>
      <c r="L907" s="51"/>
      <c r="M907" s="51"/>
      <c r="N907" s="51"/>
      <c r="O907" s="51"/>
      <c r="P907" s="51"/>
      <c r="Q907" s="51"/>
      <c r="R907" s="51"/>
      <c r="S907" s="51"/>
      <c r="T907" s="51"/>
      <c r="U907" s="51"/>
      <c r="V907" s="51"/>
      <c r="W907" s="51"/>
      <c r="X907" s="51"/>
      <c r="Y907" s="51"/>
      <c r="Z907" s="51"/>
      <c r="AA907" s="51"/>
      <c r="AB907" s="51"/>
    </row>
    <row r="908" customFormat="false" ht="15.75" hidden="false" customHeight="false" outlineLevel="0" collapsed="false">
      <c r="A908" s="51"/>
      <c r="B908" s="51"/>
      <c r="C908" s="6"/>
      <c r="D908" s="49"/>
      <c r="E908" s="51"/>
      <c r="F908" s="6"/>
      <c r="G908" s="6"/>
      <c r="H908" s="6"/>
      <c r="I908" s="6"/>
      <c r="J908" s="6"/>
      <c r="K908" s="51"/>
      <c r="L908" s="51"/>
      <c r="M908" s="51"/>
      <c r="N908" s="51"/>
      <c r="O908" s="51"/>
      <c r="P908" s="51"/>
      <c r="Q908" s="51"/>
      <c r="R908" s="51"/>
      <c r="S908" s="51"/>
      <c r="T908" s="51"/>
      <c r="U908" s="51"/>
      <c r="V908" s="51"/>
      <c r="W908" s="51"/>
      <c r="X908" s="51"/>
      <c r="Y908" s="51"/>
      <c r="Z908" s="51"/>
      <c r="AA908" s="51"/>
      <c r="AB908" s="51"/>
    </row>
    <row r="909" customFormat="false" ht="15.75" hidden="false" customHeight="false" outlineLevel="0" collapsed="false">
      <c r="A909" s="51"/>
      <c r="B909" s="51"/>
      <c r="C909" s="6"/>
      <c r="D909" s="49"/>
      <c r="E909" s="51"/>
      <c r="F909" s="6"/>
      <c r="G909" s="6"/>
      <c r="H909" s="6"/>
      <c r="I909" s="6"/>
      <c r="J909" s="6"/>
      <c r="K909" s="51"/>
      <c r="L909" s="51"/>
      <c r="M909" s="51"/>
      <c r="N909" s="51"/>
      <c r="O909" s="51"/>
      <c r="P909" s="51"/>
      <c r="Q909" s="51"/>
      <c r="R909" s="51"/>
      <c r="S909" s="51"/>
      <c r="T909" s="51"/>
      <c r="U909" s="51"/>
      <c r="V909" s="51"/>
      <c r="W909" s="51"/>
      <c r="X909" s="51"/>
      <c r="Y909" s="51"/>
      <c r="Z909" s="51"/>
      <c r="AA909" s="51"/>
      <c r="AB909" s="51"/>
    </row>
    <row r="910" customFormat="false" ht="15.75" hidden="false" customHeight="false" outlineLevel="0" collapsed="false">
      <c r="A910" s="51"/>
      <c r="B910" s="51"/>
      <c r="C910" s="6"/>
      <c r="D910" s="49"/>
      <c r="E910" s="51"/>
      <c r="F910" s="6"/>
      <c r="G910" s="6"/>
      <c r="H910" s="6"/>
      <c r="I910" s="6"/>
      <c r="J910" s="6"/>
      <c r="K910" s="51"/>
      <c r="L910" s="51"/>
      <c r="M910" s="51"/>
      <c r="N910" s="51"/>
      <c r="O910" s="51"/>
      <c r="P910" s="51"/>
      <c r="Q910" s="51"/>
      <c r="R910" s="51"/>
      <c r="S910" s="51"/>
      <c r="T910" s="51"/>
      <c r="U910" s="51"/>
      <c r="V910" s="51"/>
      <c r="W910" s="51"/>
      <c r="X910" s="51"/>
      <c r="Y910" s="51"/>
      <c r="Z910" s="51"/>
      <c r="AA910" s="51"/>
      <c r="AB910" s="51"/>
    </row>
    <row r="911" customFormat="false" ht="15.75" hidden="false" customHeight="false" outlineLevel="0" collapsed="false">
      <c r="A911" s="51"/>
      <c r="B911" s="51"/>
      <c r="C911" s="6"/>
      <c r="D911" s="49"/>
      <c r="E911" s="51"/>
      <c r="F911" s="6"/>
      <c r="G911" s="6"/>
      <c r="H911" s="6"/>
      <c r="I911" s="6"/>
      <c r="J911" s="6"/>
      <c r="K911" s="51"/>
      <c r="L911" s="51"/>
      <c r="M911" s="51"/>
      <c r="N911" s="51"/>
      <c r="O911" s="51"/>
      <c r="P911" s="51"/>
      <c r="Q911" s="51"/>
      <c r="R911" s="51"/>
      <c r="S911" s="51"/>
      <c r="T911" s="51"/>
      <c r="U911" s="51"/>
      <c r="V911" s="51"/>
      <c r="W911" s="51"/>
      <c r="X911" s="51"/>
      <c r="Y911" s="51"/>
      <c r="Z911" s="51"/>
      <c r="AA911" s="51"/>
      <c r="AB911" s="51"/>
    </row>
    <row r="912" customFormat="false" ht="15.75" hidden="false" customHeight="false" outlineLevel="0" collapsed="false">
      <c r="A912" s="51"/>
      <c r="B912" s="51"/>
      <c r="C912" s="6"/>
      <c r="D912" s="49"/>
      <c r="E912" s="51"/>
      <c r="F912" s="6"/>
      <c r="G912" s="6"/>
      <c r="H912" s="6"/>
      <c r="I912" s="6"/>
      <c r="J912" s="6"/>
      <c r="K912" s="51"/>
      <c r="L912" s="51"/>
      <c r="M912" s="51"/>
      <c r="N912" s="51"/>
      <c r="O912" s="51"/>
      <c r="P912" s="51"/>
      <c r="Q912" s="51"/>
      <c r="R912" s="51"/>
      <c r="S912" s="51"/>
      <c r="T912" s="51"/>
      <c r="U912" s="51"/>
      <c r="V912" s="51"/>
      <c r="W912" s="51"/>
      <c r="X912" s="51"/>
      <c r="Y912" s="51"/>
      <c r="Z912" s="51"/>
      <c r="AA912" s="51"/>
      <c r="AB912" s="51"/>
    </row>
    <row r="913" customFormat="false" ht="15.75" hidden="false" customHeight="false" outlineLevel="0" collapsed="false">
      <c r="A913" s="51"/>
      <c r="B913" s="51"/>
      <c r="C913" s="6"/>
      <c r="D913" s="49"/>
      <c r="E913" s="51"/>
      <c r="F913" s="6"/>
      <c r="G913" s="6"/>
      <c r="H913" s="6"/>
      <c r="I913" s="6"/>
      <c r="J913" s="6"/>
      <c r="K913" s="51"/>
      <c r="L913" s="51"/>
      <c r="M913" s="51"/>
      <c r="N913" s="51"/>
      <c r="O913" s="51"/>
      <c r="P913" s="51"/>
      <c r="Q913" s="51"/>
      <c r="R913" s="51"/>
      <c r="S913" s="51"/>
      <c r="T913" s="51"/>
      <c r="U913" s="51"/>
      <c r="V913" s="51"/>
      <c r="W913" s="51"/>
      <c r="X913" s="51"/>
      <c r="Y913" s="51"/>
      <c r="Z913" s="51"/>
      <c r="AA913" s="51"/>
      <c r="AB913" s="51"/>
    </row>
    <row r="914" customFormat="false" ht="15.75" hidden="false" customHeight="false" outlineLevel="0" collapsed="false">
      <c r="A914" s="51"/>
      <c r="B914" s="51"/>
      <c r="C914" s="6"/>
      <c r="D914" s="49"/>
      <c r="E914" s="51"/>
      <c r="F914" s="6"/>
      <c r="G914" s="6"/>
      <c r="H914" s="6"/>
      <c r="I914" s="6"/>
      <c r="J914" s="6"/>
      <c r="K914" s="51"/>
      <c r="L914" s="51"/>
      <c r="M914" s="51"/>
      <c r="N914" s="51"/>
      <c r="O914" s="51"/>
      <c r="P914" s="51"/>
      <c r="Q914" s="51"/>
      <c r="R914" s="51"/>
      <c r="S914" s="51"/>
      <c r="T914" s="51"/>
      <c r="U914" s="51"/>
      <c r="V914" s="51"/>
      <c r="W914" s="51"/>
      <c r="X914" s="51"/>
      <c r="Y914" s="51"/>
      <c r="Z914" s="51"/>
      <c r="AA914" s="51"/>
      <c r="AB914" s="51"/>
    </row>
    <row r="915" customFormat="false" ht="15.75" hidden="false" customHeight="false" outlineLevel="0" collapsed="false">
      <c r="A915" s="51"/>
      <c r="B915" s="51"/>
      <c r="C915" s="6"/>
      <c r="D915" s="49"/>
      <c r="E915" s="51"/>
      <c r="F915" s="6"/>
      <c r="G915" s="6"/>
      <c r="H915" s="6"/>
      <c r="I915" s="6"/>
      <c r="J915" s="6"/>
      <c r="K915" s="51"/>
      <c r="L915" s="51"/>
      <c r="M915" s="51"/>
      <c r="N915" s="51"/>
      <c r="O915" s="51"/>
      <c r="P915" s="51"/>
      <c r="Q915" s="51"/>
      <c r="R915" s="51"/>
      <c r="S915" s="51"/>
      <c r="T915" s="51"/>
      <c r="U915" s="51"/>
      <c r="V915" s="51"/>
      <c r="W915" s="51"/>
      <c r="X915" s="51"/>
      <c r="Y915" s="51"/>
      <c r="Z915" s="51"/>
      <c r="AA915" s="51"/>
      <c r="AB915" s="51"/>
    </row>
    <row r="916" customFormat="false" ht="15.75" hidden="false" customHeight="false" outlineLevel="0" collapsed="false">
      <c r="A916" s="51"/>
      <c r="B916" s="51"/>
      <c r="C916" s="6"/>
      <c r="D916" s="49"/>
      <c r="E916" s="51"/>
      <c r="F916" s="6"/>
      <c r="G916" s="6"/>
      <c r="H916" s="6"/>
      <c r="I916" s="6"/>
      <c r="J916" s="6"/>
      <c r="K916" s="51"/>
      <c r="L916" s="51"/>
      <c r="M916" s="51"/>
      <c r="N916" s="51"/>
      <c r="O916" s="51"/>
      <c r="P916" s="51"/>
      <c r="Q916" s="51"/>
      <c r="R916" s="51"/>
      <c r="S916" s="51"/>
      <c r="T916" s="51"/>
      <c r="U916" s="51"/>
      <c r="V916" s="51"/>
      <c r="W916" s="51"/>
      <c r="X916" s="51"/>
      <c r="Y916" s="51"/>
      <c r="Z916" s="51"/>
      <c r="AA916" s="51"/>
      <c r="AB916" s="51"/>
    </row>
    <row r="917" customFormat="false" ht="15.75" hidden="false" customHeight="false" outlineLevel="0" collapsed="false">
      <c r="A917" s="51"/>
      <c r="B917" s="51"/>
      <c r="C917" s="6"/>
      <c r="D917" s="49"/>
      <c r="E917" s="51"/>
      <c r="F917" s="6"/>
      <c r="G917" s="6"/>
      <c r="H917" s="6"/>
      <c r="I917" s="6"/>
      <c r="J917" s="6"/>
      <c r="K917" s="51"/>
      <c r="L917" s="51"/>
      <c r="M917" s="51"/>
      <c r="N917" s="51"/>
      <c r="O917" s="51"/>
      <c r="P917" s="51"/>
      <c r="Q917" s="51"/>
      <c r="R917" s="51"/>
      <c r="S917" s="51"/>
      <c r="T917" s="51"/>
      <c r="U917" s="51"/>
      <c r="V917" s="51"/>
      <c r="W917" s="51"/>
      <c r="X917" s="51"/>
      <c r="Y917" s="51"/>
      <c r="Z917" s="51"/>
      <c r="AA917" s="51"/>
      <c r="AB917" s="51"/>
    </row>
    <row r="918" customFormat="false" ht="15.75" hidden="false" customHeight="false" outlineLevel="0" collapsed="false">
      <c r="A918" s="51"/>
      <c r="B918" s="51"/>
      <c r="C918" s="6"/>
      <c r="D918" s="49"/>
      <c r="E918" s="51"/>
      <c r="F918" s="6"/>
      <c r="G918" s="6"/>
      <c r="H918" s="6"/>
      <c r="I918" s="6"/>
      <c r="J918" s="6"/>
      <c r="K918" s="51"/>
      <c r="L918" s="51"/>
      <c r="M918" s="51"/>
      <c r="N918" s="51"/>
      <c r="O918" s="51"/>
      <c r="P918" s="51"/>
      <c r="Q918" s="51"/>
      <c r="R918" s="51"/>
      <c r="S918" s="51"/>
      <c r="T918" s="51"/>
      <c r="U918" s="51"/>
      <c r="V918" s="51"/>
      <c r="W918" s="51"/>
      <c r="X918" s="51"/>
      <c r="Y918" s="51"/>
      <c r="Z918" s="51"/>
      <c r="AA918" s="51"/>
      <c r="AB918" s="51"/>
    </row>
    <row r="919" customFormat="false" ht="15.75" hidden="false" customHeight="false" outlineLevel="0" collapsed="false">
      <c r="A919" s="51"/>
      <c r="B919" s="51"/>
      <c r="C919" s="6"/>
      <c r="D919" s="49"/>
      <c r="E919" s="51"/>
      <c r="F919" s="6"/>
      <c r="G919" s="6"/>
      <c r="H919" s="6"/>
      <c r="I919" s="6"/>
      <c r="J919" s="6"/>
      <c r="K919" s="51"/>
      <c r="L919" s="51"/>
      <c r="M919" s="51"/>
      <c r="N919" s="51"/>
      <c r="O919" s="51"/>
      <c r="P919" s="51"/>
      <c r="Q919" s="51"/>
      <c r="R919" s="51"/>
      <c r="S919" s="51"/>
      <c r="T919" s="51"/>
      <c r="U919" s="51"/>
      <c r="V919" s="51"/>
      <c r="W919" s="51"/>
      <c r="X919" s="51"/>
      <c r="Y919" s="51"/>
      <c r="Z919" s="51"/>
      <c r="AA919" s="51"/>
      <c r="AB919" s="51"/>
    </row>
    <row r="920" customFormat="false" ht="15.75" hidden="false" customHeight="false" outlineLevel="0" collapsed="false">
      <c r="A920" s="51"/>
      <c r="B920" s="51"/>
      <c r="C920" s="6"/>
      <c r="D920" s="49"/>
      <c r="E920" s="51"/>
      <c r="F920" s="6"/>
      <c r="G920" s="6"/>
      <c r="H920" s="6"/>
      <c r="I920" s="6"/>
      <c r="J920" s="6"/>
      <c r="K920" s="51"/>
      <c r="L920" s="51"/>
      <c r="M920" s="51"/>
      <c r="N920" s="51"/>
      <c r="O920" s="51"/>
      <c r="P920" s="51"/>
      <c r="Q920" s="51"/>
      <c r="R920" s="51"/>
      <c r="S920" s="51"/>
      <c r="T920" s="51"/>
      <c r="U920" s="51"/>
      <c r="V920" s="51"/>
      <c r="W920" s="51"/>
      <c r="X920" s="51"/>
      <c r="Y920" s="51"/>
      <c r="Z920" s="51"/>
      <c r="AA920" s="51"/>
      <c r="AB920" s="51"/>
    </row>
    <row r="921" customFormat="false" ht="15.75" hidden="false" customHeight="false" outlineLevel="0" collapsed="false">
      <c r="A921" s="51"/>
      <c r="B921" s="51"/>
      <c r="C921" s="6"/>
      <c r="D921" s="49"/>
      <c r="E921" s="51"/>
      <c r="F921" s="6"/>
      <c r="G921" s="6"/>
      <c r="H921" s="6"/>
      <c r="I921" s="6"/>
      <c r="J921" s="6"/>
      <c r="K921" s="51"/>
      <c r="L921" s="51"/>
      <c r="M921" s="51"/>
      <c r="N921" s="51"/>
      <c r="O921" s="51"/>
      <c r="P921" s="51"/>
      <c r="Q921" s="51"/>
      <c r="R921" s="51"/>
      <c r="S921" s="51"/>
      <c r="T921" s="51"/>
      <c r="U921" s="51"/>
      <c r="V921" s="51"/>
      <c r="W921" s="51"/>
      <c r="X921" s="51"/>
      <c r="Y921" s="51"/>
      <c r="Z921" s="51"/>
      <c r="AA921" s="51"/>
      <c r="AB921" s="51"/>
    </row>
    <row r="922" customFormat="false" ht="15.75" hidden="false" customHeight="false" outlineLevel="0" collapsed="false">
      <c r="A922" s="51"/>
      <c r="B922" s="51"/>
      <c r="C922" s="6"/>
      <c r="D922" s="49"/>
      <c r="E922" s="51"/>
      <c r="F922" s="6"/>
      <c r="G922" s="6"/>
      <c r="H922" s="6"/>
      <c r="I922" s="6"/>
      <c r="J922" s="6"/>
      <c r="K922" s="51"/>
      <c r="L922" s="51"/>
      <c r="M922" s="51"/>
      <c r="N922" s="51"/>
      <c r="O922" s="51"/>
      <c r="P922" s="51"/>
      <c r="Q922" s="51"/>
      <c r="R922" s="51"/>
      <c r="S922" s="51"/>
      <c r="T922" s="51"/>
      <c r="U922" s="51"/>
      <c r="V922" s="51"/>
      <c r="W922" s="51"/>
      <c r="X922" s="51"/>
      <c r="Y922" s="51"/>
      <c r="Z922" s="51"/>
      <c r="AA922" s="51"/>
      <c r="AB922" s="51"/>
    </row>
    <row r="923" customFormat="false" ht="15.75" hidden="false" customHeight="false" outlineLevel="0" collapsed="false">
      <c r="A923" s="51"/>
      <c r="B923" s="51"/>
      <c r="C923" s="6"/>
      <c r="D923" s="49"/>
      <c r="E923" s="51"/>
      <c r="F923" s="6"/>
      <c r="G923" s="6"/>
      <c r="H923" s="6"/>
      <c r="I923" s="6"/>
      <c r="J923" s="6"/>
      <c r="K923" s="51"/>
      <c r="L923" s="51"/>
      <c r="M923" s="51"/>
      <c r="N923" s="51"/>
      <c r="O923" s="51"/>
      <c r="P923" s="51"/>
      <c r="Q923" s="51"/>
      <c r="R923" s="51"/>
      <c r="S923" s="51"/>
      <c r="T923" s="51"/>
      <c r="U923" s="51"/>
      <c r="V923" s="51"/>
      <c r="W923" s="51"/>
      <c r="X923" s="51"/>
      <c r="Y923" s="51"/>
      <c r="Z923" s="51"/>
      <c r="AA923" s="51"/>
      <c r="AB923" s="51"/>
    </row>
    <row r="924" customFormat="false" ht="15.75" hidden="false" customHeight="false" outlineLevel="0" collapsed="false">
      <c r="A924" s="51"/>
      <c r="B924" s="51"/>
      <c r="C924" s="6"/>
      <c r="D924" s="49"/>
      <c r="E924" s="51"/>
      <c r="F924" s="6"/>
      <c r="G924" s="6"/>
      <c r="H924" s="6"/>
      <c r="I924" s="6"/>
      <c r="J924" s="6"/>
      <c r="K924" s="51"/>
      <c r="L924" s="51"/>
      <c r="M924" s="51"/>
      <c r="N924" s="51"/>
      <c r="O924" s="51"/>
      <c r="P924" s="51"/>
      <c r="Q924" s="51"/>
      <c r="R924" s="51"/>
      <c r="S924" s="51"/>
      <c r="T924" s="51"/>
      <c r="U924" s="51"/>
      <c r="V924" s="51"/>
      <c r="W924" s="51"/>
      <c r="X924" s="51"/>
      <c r="Y924" s="51"/>
      <c r="Z924" s="51"/>
      <c r="AA924" s="51"/>
      <c r="AB924" s="51"/>
    </row>
    <row r="925" customFormat="false" ht="15.75" hidden="false" customHeight="false" outlineLevel="0" collapsed="false">
      <c r="A925" s="51"/>
      <c r="B925" s="51"/>
      <c r="C925" s="6"/>
      <c r="D925" s="49"/>
      <c r="E925" s="51"/>
      <c r="F925" s="6"/>
      <c r="G925" s="6"/>
      <c r="H925" s="6"/>
      <c r="I925" s="6"/>
      <c r="J925" s="6"/>
      <c r="K925" s="51"/>
      <c r="L925" s="51"/>
      <c r="M925" s="51"/>
      <c r="N925" s="51"/>
      <c r="O925" s="51"/>
      <c r="P925" s="51"/>
      <c r="Q925" s="51"/>
      <c r="R925" s="51"/>
      <c r="S925" s="51"/>
      <c r="T925" s="51"/>
      <c r="U925" s="51"/>
      <c r="V925" s="51"/>
      <c r="W925" s="51"/>
      <c r="X925" s="51"/>
      <c r="Y925" s="51"/>
      <c r="Z925" s="51"/>
      <c r="AA925" s="51"/>
      <c r="AB925" s="51"/>
    </row>
    <row r="926" customFormat="false" ht="15.75" hidden="false" customHeight="false" outlineLevel="0" collapsed="false">
      <c r="A926" s="51"/>
      <c r="B926" s="51"/>
      <c r="C926" s="6"/>
      <c r="D926" s="49"/>
      <c r="E926" s="51"/>
      <c r="F926" s="6"/>
      <c r="G926" s="6"/>
      <c r="H926" s="6"/>
      <c r="I926" s="6"/>
      <c r="J926" s="6"/>
      <c r="K926" s="51"/>
      <c r="L926" s="51"/>
      <c r="M926" s="51"/>
      <c r="N926" s="51"/>
      <c r="O926" s="51"/>
      <c r="P926" s="51"/>
      <c r="Q926" s="51"/>
      <c r="R926" s="51"/>
      <c r="S926" s="51"/>
      <c r="T926" s="51"/>
      <c r="U926" s="51"/>
      <c r="V926" s="51"/>
      <c r="W926" s="51"/>
      <c r="X926" s="51"/>
      <c r="Y926" s="51"/>
      <c r="Z926" s="51"/>
      <c r="AA926" s="51"/>
      <c r="AB926" s="51"/>
    </row>
    <row r="927" customFormat="false" ht="15.75" hidden="false" customHeight="false" outlineLevel="0" collapsed="false">
      <c r="A927" s="51"/>
      <c r="B927" s="51"/>
      <c r="C927" s="6"/>
      <c r="D927" s="49"/>
      <c r="E927" s="51"/>
      <c r="F927" s="6"/>
      <c r="G927" s="6"/>
      <c r="H927" s="6"/>
      <c r="I927" s="6"/>
      <c r="J927" s="6"/>
      <c r="K927" s="51"/>
      <c r="L927" s="51"/>
      <c r="M927" s="51"/>
      <c r="N927" s="51"/>
      <c r="O927" s="51"/>
      <c r="P927" s="51"/>
      <c r="Q927" s="51"/>
      <c r="R927" s="51"/>
      <c r="S927" s="51"/>
      <c r="T927" s="51"/>
      <c r="U927" s="51"/>
      <c r="V927" s="51"/>
      <c r="W927" s="51"/>
      <c r="X927" s="51"/>
      <c r="Y927" s="51"/>
      <c r="Z927" s="51"/>
      <c r="AA927" s="51"/>
      <c r="AB927" s="51"/>
    </row>
    <row r="928" customFormat="false" ht="15.75" hidden="false" customHeight="false" outlineLevel="0" collapsed="false">
      <c r="A928" s="51"/>
      <c r="B928" s="51"/>
      <c r="C928" s="6"/>
      <c r="D928" s="49"/>
      <c r="E928" s="51"/>
      <c r="F928" s="6"/>
      <c r="G928" s="6"/>
      <c r="H928" s="6"/>
      <c r="I928" s="6"/>
      <c r="J928" s="6"/>
      <c r="K928" s="51"/>
      <c r="L928" s="51"/>
      <c r="M928" s="51"/>
      <c r="N928" s="51"/>
      <c r="O928" s="51"/>
      <c r="P928" s="51"/>
      <c r="Q928" s="51"/>
      <c r="R928" s="51"/>
      <c r="S928" s="51"/>
      <c r="T928" s="51"/>
      <c r="U928" s="51"/>
      <c r="V928" s="51"/>
      <c r="W928" s="51"/>
      <c r="X928" s="51"/>
      <c r="Y928" s="51"/>
      <c r="Z928" s="51"/>
      <c r="AA928" s="51"/>
      <c r="AB928" s="51"/>
    </row>
    <row r="929" customFormat="false" ht="15.75" hidden="false" customHeight="false" outlineLevel="0" collapsed="false">
      <c r="A929" s="51"/>
      <c r="B929" s="51"/>
      <c r="C929" s="6"/>
      <c r="D929" s="49"/>
      <c r="E929" s="51"/>
      <c r="F929" s="6"/>
      <c r="G929" s="6"/>
      <c r="H929" s="6"/>
      <c r="I929" s="6"/>
      <c r="J929" s="6"/>
      <c r="K929" s="51"/>
      <c r="L929" s="51"/>
      <c r="M929" s="51"/>
      <c r="N929" s="51"/>
      <c r="O929" s="51"/>
      <c r="P929" s="51"/>
      <c r="Q929" s="51"/>
      <c r="R929" s="51"/>
      <c r="S929" s="51"/>
      <c r="T929" s="51"/>
      <c r="U929" s="51"/>
      <c r="V929" s="51"/>
      <c r="W929" s="51"/>
      <c r="X929" s="51"/>
      <c r="Y929" s="51"/>
      <c r="Z929" s="51"/>
      <c r="AA929" s="51"/>
      <c r="AB929" s="51"/>
    </row>
    <row r="930" customFormat="false" ht="15.75" hidden="false" customHeight="false" outlineLevel="0" collapsed="false">
      <c r="A930" s="51"/>
      <c r="B930" s="51"/>
      <c r="C930" s="6"/>
      <c r="D930" s="49"/>
      <c r="E930" s="51"/>
      <c r="F930" s="6"/>
      <c r="G930" s="6"/>
      <c r="H930" s="6"/>
      <c r="I930" s="6"/>
      <c r="J930" s="6"/>
      <c r="K930" s="51"/>
      <c r="L930" s="51"/>
      <c r="M930" s="51"/>
      <c r="N930" s="51"/>
      <c r="O930" s="51"/>
      <c r="P930" s="51"/>
      <c r="Q930" s="51"/>
      <c r="R930" s="51"/>
      <c r="S930" s="51"/>
      <c r="T930" s="51"/>
      <c r="U930" s="51"/>
      <c r="V930" s="51"/>
      <c r="W930" s="51"/>
      <c r="X930" s="51"/>
      <c r="Y930" s="51"/>
      <c r="Z930" s="51"/>
      <c r="AA930" s="51"/>
      <c r="AB930" s="51"/>
    </row>
    <row r="931" customFormat="false" ht="15.75" hidden="false" customHeight="false" outlineLevel="0" collapsed="false">
      <c r="A931" s="51"/>
      <c r="B931" s="51"/>
      <c r="C931" s="6"/>
      <c r="D931" s="49"/>
      <c r="E931" s="51"/>
      <c r="F931" s="6"/>
      <c r="G931" s="6"/>
      <c r="H931" s="6"/>
      <c r="I931" s="6"/>
      <c r="J931" s="6"/>
      <c r="K931" s="51"/>
      <c r="L931" s="51"/>
      <c r="M931" s="51"/>
      <c r="N931" s="51"/>
      <c r="O931" s="51"/>
      <c r="P931" s="51"/>
      <c r="Q931" s="51"/>
      <c r="R931" s="51"/>
      <c r="S931" s="51"/>
      <c r="T931" s="51"/>
      <c r="U931" s="51"/>
      <c r="V931" s="51"/>
      <c r="W931" s="51"/>
      <c r="X931" s="51"/>
      <c r="Y931" s="51"/>
      <c r="Z931" s="51"/>
      <c r="AA931" s="51"/>
      <c r="AB931" s="51"/>
    </row>
    <row r="932" customFormat="false" ht="15.75" hidden="false" customHeight="false" outlineLevel="0" collapsed="false">
      <c r="A932" s="51"/>
      <c r="B932" s="51"/>
      <c r="C932" s="6"/>
      <c r="D932" s="49"/>
      <c r="E932" s="51"/>
      <c r="F932" s="6"/>
      <c r="G932" s="6"/>
      <c r="H932" s="6"/>
      <c r="I932" s="6"/>
      <c r="J932" s="6"/>
      <c r="K932" s="51"/>
      <c r="L932" s="51"/>
      <c r="M932" s="51"/>
      <c r="N932" s="51"/>
      <c r="O932" s="51"/>
      <c r="P932" s="51"/>
      <c r="Q932" s="51"/>
      <c r="R932" s="51"/>
      <c r="S932" s="51"/>
      <c r="T932" s="51"/>
      <c r="U932" s="51"/>
      <c r="V932" s="51"/>
      <c r="W932" s="51"/>
      <c r="X932" s="51"/>
      <c r="Y932" s="51"/>
      <c r="Z932" s="51"/>
      <c r="AA932" s="51"/>
      <c r="AB932" s="51"/>
    </row>
    <row r="933" customFormat="false" ht="15.75" hidden="false" customHeight="false" outlineLevel="0" collapsed="false">
      <c r="A933" s="51"/>
      <c r="B933" s="51"/>
      <c r="C933" s="6"/>
      <c r="D933" s="49"/>
      <c r="E933" s="51"/>
      <c r="F933" s="6"/>
      <c r="G933" s="6"/>
      <c r="H933" s="6"/>
      <c r="I933" s="6"/>
      <c r="J933" s="6"/>
      <c r="K933" s="51"/>
      <c r="L933" s="51"/>
      <c r="M933" s="51"/>
      <c r="N933" s="51"/>
      <c r="O933" s="51"/>
      <c r="P933" s="51"/>
      <c r="Q933" s="51"/>
      <c r="R933" s="51"/>
      <c r="S933" s="51"/>
      <c r="T933" s="51"/>
      <c r="U933" s="51"/>
      <c r="V933" s="51"/>
      <c r="W933" s="51"/>
      <c r="X933" s="51"/>
      <c r="Y933" s="51"/>
      <c r="Z933" s="51"/>
      <c r="AA933" s="51"/>
      <c r="AB933" s="51"/>
    </row>
    <row r="934" customFormat="false" ht="15.75" hidden="false" customHeight="false" outlineLevel="0" collapsed="false">
      <c r="A934" s="51"/>
      <c r="B934" s="51"/>
      <c r="C934" s="6"/>
      <c r="D934" s="49"/>
      <c r="E934" s="51"/>
      <c r="F934" s="6"/>
      <c r="G934" s="6"/>
      <c r="H934" s="6"/>
      <c r="I934" s="6"/>
      <c r="J934" s="6"/>
      <c r="K934" s="51"/>
      <c r="L934" s="51"/>
      <c r="M934" s="51"/>
      <c r="N934" s="51"/>
      <c r="O934" s="51"/>
      <c r="P934" s="51"/>
      <c r="Q934" s="51"/>
      <c r="R934" s="51"/>
      <c r="S934" s="51"/>
      <c r="T934" s="51"/>
      <c r="U934" s="51"/>
      <c r="V934" s="51"/>
      <c r="W934" s="51"/>
      <c r="X934" s="51"/>
      <c r="Y934" s="51"/>
      <c r="Z934" s="51"/>
      <c r="AA934" s="51"/>
      <c r="AB934" s="51"/>
    </row>
    <row r="935" customFormat="false" ht="15.75" hidden="false" customHeight="false" outlineLevel="0" collapsed="false">
      <c r="A935" s="51"/>
      <c r="B935" s="51"/>
      <c r="C935" s="6"/>
      <c r="D935" s="49"/>
      <c r="E935" s="51"/>
      <c r="F935" s="6"/>
      <c r="G935" s="6"/>
      <c r="H935" s="6"/>
      <c r="I935" s="6"/>
      <c r="J935" s="6"/>
      <c r="K935" s="51"/>
      <c r="L935" s="51"/>
      <c r="M935" s="51"/>
      <c r="N935" s="51"/>
      <c r="O935" s="51"/>
      <c r="P935" s="51"/>
      <c r="Q935" s="51"/>
      <c r="R935" s="51"/>
      <c r="S935" s="51"/>
      <c r="T935" s="51"/>
      <c r="U935" s="51"/>
      <c r="V935" s="51"/>
      <c r="W935" s="51"/>
      <c r="X935" s="51"/>
      <c r="Y935" s="51"/>
      <c r="Z935" s="51"/>
      <c r="AA935" s="51"/>
      <c r="AB935" s="51"/>
    </row>
    <row r="936" customFormat="false" ht="15.75" hidden="false" customHeight="false" outlineLevel="0" collapsed="false">
      <c r="A936" s="51"/>
      <c r="B936" s="51"/>
      <c r="C936" s="6"/>
      <c r="D936" s="49"/>
      <c r="E936" s="51"/>
      <c r="F936" s="6"/>
      <c r="G936" s="6"/>
      <c r="H936" s="6"/>
      <c r="I936" s="6"/>
      <c r="J936" s="6"/>
      <c r="K936" s="51"/>
      <c r="L936" s="51"/>
      <c r="M936" s="51"/>
      <c r="N936" s="51"/>
      <c r="O936" s="51"/>
      <c r="P936" s="51"/>
      <c r="Q936" s="51"/>
      <c r="R936" s="51"/>
      <c r="S936" s="51"/>
      <c r="T936" s="51"/>
      <c r="U936" s="51"/>
      <c r="V936" s="51"/>
      <c r="W936" s="51"/>
      <c r="X936" s="51"/>
      <c r="Y936" s="51"/>
      <c r="Z936" s="51"/>
      <c r="AA936" s="51"/>
      <c r="AB936" s="51"/>
    </row>
    <row r="937" customFormat="false" ht="15.75" hidden="false" customHeight="false" outlineLevel="0" collapsed="false">
      <c r="A937" s="51"/>
      <c r="B937" s="51"/>
      <c r="C937" s="6"/>
      <c r="D937" s="49"/>
      <c r="E937" s="51"/>
      <c r="F937" s="6"/>
      <c r="G937" s="6"/>
      <c r="H937" s="6"/>
      <c r="I937" s="6"/>
      <c r="J937" s="6"/>
      <c r="K937" s="51"/>
      <c r="L937" s="51"/>
      <c r="M937" s="51"/>
      <c r="N937" s="51"/>
      <c r="O937" s="51"/>
      <c r="P937" s="51"/>
      <c r="Q937" s="51"/>
      <c r="R937" s="51"/>
      <c r="S937" s="51"/>
      <c r="T937" s="51"/>
      <c r="U937" s="51"/>
      <c r="V937" s="51"/>
      <c r="W937" s="51"/>
      <c r="X937" s="51"/>
      <c r="Y937" s="51"/>
      <c r="Z937" s="51"/>
      <c r="AA937" s="51"/>
      <c r="AB937" s="51"/>
    </row>
    <row r="938" customFormat="false" ht="15.75" hidden="false" customHeight="false" outlineLevel="0" collapsed="false">
      <c r="A938" s="51"/>
      <c r="B938" s="51"/>
      <c r="C938" s="6"/>
      <c r="D938" s="49"/>
      <c r="E938" s="51"/>
      <c r="F938" s="6"/>
      <c r="G938" s="6"/>
      <c r="H938" s="6"/>
      <c r="I938" s="6"/>
      <c r="J938" s="6"/>
      <c r="K938" s="51"/>
      <c r="L938" s="51"/>
      <c r="M938" s="51"/>
      <c r="N938" s="51"/>
      <c r="O938" s="51"/>
      <c r="P938" s="51"/>
      <c r="Q938" s="51"/>
      <c r="R938" s="51"/>
      <c r="S938" s="51"/>
      <c r="T938" s="51"/>
      <c r="U938" s="51"/>
      <c r="V938" s="51"/>
      <c r="W938" s="51"/>
      <c r="X938" s="51"/>
      <c r="Y938" s="51"/>
      <c r="Z938" s="51"/>
      <c r="AA938" s="51"/>
      <c r="AB938" s="51"/>
    </row>
    <row r="939" customFormat="false" ht="15.75" hidden="false" customHeight="false" outlineLevel="0" collapsed="false">
      <c r="A939" s="51"/>
      <c r="B939" s="51"/>
      <c r="C939" s="6"/>
      <c r="D939" s="49"/>
      <c r="E939" s="51"/>
      <c r="F939" s="6"/>
      <c r="G939" s="6"/>
      <c r="H939" s="6"/>
      <c r="I939" s="6"/>
      <c r="J939" s="6"/>
      <c r="K939" s="51"/>
      <c r="L939" s="51"/>
      <c r="M939" s="51"/>
      <c r="N939" s="51"/>
      <c r="O939" s="51"/>
      <c r="P939" s="51"/>
      <c r="Q939" s="51"/>
      <c r="R939" s="51"/>
      <c r="S939" s="51"/>
      <c r="T939" s="51"/>
      <c r="U939" s="51"/>
      <c r="V939" s="51"/>
      <c r="W939" s="51"/>
      <c r="X939" s="51"/>
      <c r="Y939" s="51"/>
      <c r="Z939" s="51"/>
      <c r="AA939" s="51"/>
      <c r="AB939" s="51"/>
    </row>
    <row r="940" customFormat="false" ht="15.75" hidden="false" customHeight="false" outlineLevel="0" collapsed="false">
      <c r="A940" s="51"/>
      <c r="B940" s="51"/>
      <c r="C940" s="6"/>
      <c r="D940" s="49"/>
      <c r="E940" s="51"/>
      <c r="F940" s="6"/>
      <c r="G940" s="6"/>
      <c r="H940" s="6"/>
      <c r="I940" s="6"/>
      <c r="J940" s="6"/>
      <c r="K940" s="51"/>
      <c r="L940" s="51"/>
      <c r="M940" s="51"/>
      <c r="N940" s="51"/>
      <c r="O940" s="51"/>
      <c r="P940" s="51"/>
      <c r="Q940" s="51"/>
      <c r="R940" s="51"/>
      <c r="S940" s="51"/>
      <c r="T940" s="51"/>
      <c r="U940" s="51"/>
      <c r="V940" s="51"/>
      <c r="W940" s="51"/>
      <c r="X940" s="51"/>
      <c r="Y940" s="51"/>
      <c r="Z940" s="51"/>
      <c r="AA940" s="51"/>
      <c r="AB940" s="51"/>
    </row>
    <row r="941" customFormat="false" ht="15.75" hidden="false" customHeight="false" outlineLevel="0" collapsed="false">
      <c r="A941" s="51"/>
      <c r="B941" s="51"/>
      <c r="C941" s="6"/>
      <c r="D941" s="49"/>
      <c r="E941" s="51"/>
      <c r="F941" s="6"/>
      <c r="G941" s="6"/>
      <c r="H941" s="6"/>
      <c r="I941" s="6"/>
      <c r="J941" s="6"/>
      <c r="K941" s="51"/>
      <c r="L941" s="51"/>
      <c r="M941" s="51"/>
      <c r="N941" s="51"/>
      <c r="O941" s="51"/>
      <c r="P941" s="51"/>
      <c r="Q941" s="51"/>
      <c r="R941" s="51"/>
      <c r="S941" s="51"/>
      <c r="T941" s="51"/>
      <c r="U941" s="51"/>
      <c r="V941" s="51"/>
      <c r="W941" s="51"/>
      <c r="X941" s="51"/>
      <c r="Y941" s="51"/>
      <c r="Z941" s="51"/>
      <c r="AA941" s="51"/>
      <c r="AB941" s="51"/>
    </row>
    <row r="942" customFormat="false" ht="15.75" hidden="false" customHeight="false" outlineLevel="0" collapsed="false">
      <c r="A942" s="51"/>
      <c r="B942" s="51"/>
      <c r="C942" s="6"/>
      <c r="D942" s="49"/>
      <c r="E942" s="51"/>
      <c r="F942" s="6"/>
      <c r="G942" s="6"/>
      <c r="H942" s="6"/>
      <c r="I942" s="6"/>
      <c r="J942" s="6"/>
      <c r="K942" s="51"/>
      <c r="L942" s="51"/>
      <c r="M942" s="51"/>
      <c r="N942" s="51"/>
      <c r="O942" s="51"/>
      <c r="P942" s="51"/>
      <c r="Q942" s="51"/>
      <c r="R942" s="51"/>
      <c r="S942" s="51"/>
      <c r="T942" s="51"/>
      <c r="U942" s="51"/>
      <c r="V942" s="51"/>
      <c r="W942" s="51"/>
      <c r="X942" s="51"/>
      <c r="Y942" s="51"/>
      <c r="Z942" s="51"/>
      <c r="AA942" s="51"/>
      <c r="AB942" s="51"/>
    </row>
    <row r="943" customFormat="false" ht="15.75" hidden="false" customHeight="false" outlineLevel="0" collapsed="false">
      <c r="A943" s="51"/>
      <c r="B943" s="51"/>
      <c r="C943" s="6"/>
      <c r="D943" s="49"/>
      <c r="E943" s="51"/>
      <c r="F943" s="6"/>
      <c r="G943" s="6"/>
      <c r="H943" s="6"/>
      <c r="I943" s="6"/>
      <c r="J943" s="6"/>
      <c r="K943" s="51"/>
      <c r="L943" s="51"/>
      <c r="M943" s="51"/>
      <c r="N943" s="51"/>
      <c r="O943" s="51"/>
      <c r="P943" s="51"/>
      <c r="Q943" s="51"/>
      <c r="R943" s="51"/>
      <c r="S943" s="51"/>
      <c r="T943" s="51"/>
      <c r="U943" s="51"/>
      <c r="V943" s="51"/>
      <c r="W943" s="51"/>
      <c r="X943" s="51"/>
      <c r="Y943" s="51"/>
      <c r="Z943" s="51"/>
      <c r="AA943" s="51"/>
      <c r="AB943" s="51"/>
    </row>
    <row r="944" customFormat="false" ht="15.75" hidden="false" customHeight="false" outlineLevel="0" collapsed="false">
      <c r="A944" s="51"/>
      <c r="B944" s="51"/>
      <c r="C944" s="6"/>
      <c r="D944" s="49"/>
      <c r="E944" s="51"/>
      <c r="F944" s="6"/>
      <c r="G944" s="6"/>
      <c r="H944" s="6"/>
      <c r="I944" s="6"/>
      <c r="J944" s="6"/>
      <c r="K944" s="51"/>
      <c r="L944" s="51"/>
      <c r="M944" s="51"/>
      <c r="N944" s="51"/>
      <c r="O944" s="51"/>
      <c r="P944" s="51"/>
      <c r="Q944" s="51"/>
      <c r="R944" s="51"/>
      <c r="S944" s="51"/>
      <c r="T944" s="51"/>
      <c r="U944" s="51"/>
      <c r="V944" s="51"/>
      <c r="W944" s="51"/>
      <c r="X944" s="51"/>
      <c r="Y944" s="51"/>
      <c r="Z944" s="51"/>
      <c r="AA944" s="51"/>
      <c r="AB944" s="51"/>
    </row>
    <row r="945" customFormat="false" ht="15.75" hidden="false" customHeight="false" outlineLevel="0" collapsed="false">
      <c r="A945" s="51"/>
      <c r="B945" s="51"/>
      <c r="C945" s="6"/>
      <c r="D945" s="49"/>
      <c r="E945" s="51"/>
      <c r="F945" s="6"/>
      <c r="G945" s="6"/>
      <c r="H945" s="6"/>
      <c r="I945" s="6"/>
      <c r="J945" s="6"/>
      <c r="K945" s="51"/>
      <c r="L945" s="51"/>
      <c r="M945" s="51"/>
      <c r="N945" s="51"/>
      <c r="O945" s="51"/>
      <c r="P945" s="51"/>
      <c r="Q945" s="51"/>
      <c r="R945" s="51"/>
      <c r="S945" s="51"/>
      <c r="T945" s="51"/>
      <c r="U945" s="51"/>
      <c r="V945" s="51"/>
      <c r="W945" s="51"/>
      <c r="X945" s="51"/>
      <c r="Y945" s="51"/>
      <c r="Z945" s="51"/>
      <c r="AA945" s="51"/>
      <c r="AB945" s="51"/>
    </row>
    <row r="946" customFormat="false" ht="15.75" hidden="false" customHeight="false" outlineLevel="0" collapsed="false">
      <c r="A946" s="51"/>
      <c r="B946" s="51"/>
      <c r="C946" s="6"/>
      <c r="D946" s="49"/>
      <c r="E946" s="51"/>
      <c r="F946" s="6"/>
      <c r="G946" s="6"/>
      <c r="H946" s="6"/>
      <c r="I946" s="6"/>
      <c r="J946" s="6"/>
      <c r="K946" s="51"/>
      <c r="L946" s="51"/>
      <c r="M946" s="51"/>
      <c r="N946" s="51"/>
      <c r="O946" s="51"/>
      <c r="P946" s="51"/>
      <c r="Q946" s="51"/>
      <c r="R946" s="51"/>
      <c r="S946" s="51"/>
      <c r="T946" s="51"/>
      <c r="U946" s="51"/>
      <c r="V946" s="51"/>
      <c r="W946" s="51"/>
      <c r="X946" s="51"/>
      <c r="Y946" s="51"/>
      <c r="Z946" s="51"/>
      <c r="AA946" s="51"/>
      <c r="AB946" s="51"/>
    </row>
    <row r="947" customFormat="false" ht="15.75" hidden="false" customHeight="false" outlineLevel="0" collapsed="false">
      <c r="A947" s="51"/>
      <c r="B947" s="51"/>
      <c r="C947" s="6"/>
      <c r="D947" s="49"/>
      <c r="E947" s="51"/>
      <c r="F947" s="6"/>
      <c r="G947" s="6"/>
      <c r="H947" s="6"/>
      <c r="I947" s="6"/>
      <c r="J947" s="6"/>
      <c r="K947" s="51"/>
      <c r="L947" s="51"/>
      <c r="M947" s="51"/>
      <c r="N947" s="51"/>
      <c r="O947" s="51"/>
      <c r="P947" s="51"/>
      <c r="Q947" s="51"/>
      <c r="R947" s="51"/>
      <c r="S947" s="51"/>
      <c r="T947" s="51"/>
      <c r="U947" s="51"/>
      <c r="V947" s="51"/>
      <c r="W947" s="51"/>
      <c r="X947" s="51"/>
      <c r="Y947" s="51"/>
      <c r="Z947" s="51"/>
      <c r="AA947" s="51"/>
      <c r="AB947" s="51"/>
    </row>
    <row r="948" customFormat="false" ht="15.75" hidden="false" customHeight="false" outlineLevel="0" collapsed="false">
      <c r="A948" s="51"/>
      <c r="B948" s="51"/>
      <c r="C948" s="6"/>
      <c r="D948" s="49"/>
      <c r="E948" s="51"/>
      <c r="F948" s="6"/>
      <c r="G948" s="6"/>
      <c r="H948" s="6"/>
      <c r="I948" s="6"/>
      <c r="J948" s="6"/>
      <c r="K948" s="51"/>
      <c r="L948" s="51"/>
      <c r="M948" s="51"/>
      <c r="N948" s="51"/>
      <c r="O948" s="51"/>
      <c r="P948" s="51"/>
      <c r="Q948" s="51"/>
      <c r="R948" s="51"/>
      <c r="S948" s="51"/>
      <c r="T948" s="51"/>
      <c r="U948" s="51"/>
      <c r="V948" s="51"/>
      <c r="W948" s="51"/>
      <c r="X948" s="51"/>
      <c r="Y948" s="51"/>
      <c r="Z948" s="51"/>
      <c r="AA948" s="51"/>
      <c r="AB948" s="51"/>
    </row>
    <row r="949" customFormat="false" ht="15.75" hidden="false" customHeight="false" outlineLevel="0" collapsed="false">
      <c r="A949" s="51"/>
      <c r="B949" s="51"/>
      <c r="C949" s="6"/>
      <c r="D949" s="49"/>
      <c r="E949" s="51"/>
      <c r="F949" s="6"/>
      <c r="G949" s="6"/>
      <c r="H949" s="6"/>
      <c r="I949" s="6"/>
      <c r="J949" s="6"/>
      <c r="K949" s="51"/>
      <c r="L949" s="51"/>
      <c r="M949" s="51"/>
      <c r="N949" s="51"/>
      <c r="O949" s="51"/>
      <c r="P949" s="51"/>
      <c r="Q949" s="51"/>
      <c r="R949" s="51"/>
      <c r="S949" s="51"/>
      <c r="T949" s="51"/>
      <c r="U949" s="51"/>
      <c r="V949" s="51"/>
      <c r="W949" s="51"/>
      <c r="X949" s="51"/>
      <c r="Y949" s="51"/>
      <c r="Z949" s="51"/>
      <c r="AA949" s="51"/>
      <c r="AB949" s="51"/>
    </row>
    <row r="950" customFormat="false" ht="15.75" hidden="false" customHeight="false" outlineLevel="0" collapsed="false">
      <c r="A950" s="51"/>
      <c r="B950" s="51"/>
      <c r="C950" s="6"/>
      <c r="D950" s="49"/>
      <c r="E950" s="51"/>
      <c r="F950" s="6"/>
      <c r="G950" s="6"/>
      <c r="H950" s="6"/>
      <c r="I950" s="6"/>
      <c r="J950" s="6"/>
      <c r="K950" s="51"/>
      <c r="L950" s="51"/>
      <c r="M950" s="51"/>
      <c r="N950" s="51"/>
      <c r="O950" s="51"/>
      <c r="P950" s="51"/>
      <c r="Q950" s="51"/>
      <c r="R950" s="51"/>
      <c r="S950" s="51"/>
      <c r="T950" s="51"/>
      <c r="U950" s="51"/>
      <c r="V950" s="51"/>
      <c r="W950" s="51"/>
      <c r="X950" s="51"/>
      <c r="Y950" s="51"/>
      <c r="Z950" s="51"/>
      <c r="AA950" s="51"/>
      <c r="AB950" s="51"/>
    </row>
    <row r="951" customFormat="false" ht="15.75" hidden="false" customHeight="false" outlineLevel="0" collapsed="false">
      <c r="A951" s="51"/>
      <c r="B951" s="51"/>
      <c r="C951" s="6"/>
      <c r="D951" s="49"/>
      <c r="E951" s="51"/>
      <c r="F951" s="6"/>
      <c r="G951" s="6"/>
      <c r="H951" s="6"/>
      <c r="I951" s="6"/>
      <c r="J951" s="6"/>
      <c r="K951" s="51"/>
      <c r="L951" s="51"/>
      <c r="M951" s="51"/>
      <c r="N951" s="51"/>
      <c r="O951" s="51"/>
      <c r="P951" s="51"/>
      <c r="Q951" s="51"/>
      <c r="R951" s="51"/>
      <c r="S951" s="51"/>
      <c r="T951" s="51"/>
      <c r="U951" s="51"/>
      <c r="V951" s="51"/>
      <c r="W951" s="51"/>
      <c r="X951" s="51"/>
      <c r="Y951" s="51"/>
      <c r="Z951" s="51"/>
      <c r="AA951" s="51"/>
      <c r="AB951" s="51"/>
    </row>
    <row r="952" customFormat="false" ht="15.75" hidden="false" customHeight="false" outlineLevel="0" collapsed="false">
      <c r="A952" s="51"/>
      <c r="B952" s="51"/>
      <c r="C952" s="6"/>
      <c r="D952" s="49"/>
      <c r="E952" s="51"/>
      <c r="F952" s="6"/>
      <c r="G952" s="6"/>
      <c r="H952" s="6"/>
      <c r="I952" s="6"/>
      <c r="J952" s="6"/>
      <c r="K952" s="51"/>
      <c r="L952" s="51"/>
      <c r="M952" s="51"/>
      <c r="N952" s="51"/>
      <c r="O952" s="51"/>
      <c r="P952" s="51"/>
      <c r="Q952" s="51"/>
      <c r="R952" s="51"/>
      <c r="S952" s="51"/>
      <c r="T952" s="51"/>
      <c r="U952" s="51"/>
      <c r="V952" s="51"/>
      <c r="W952" s="51"/>
      <c r="X952" s="51"/>
      <c r="Y952" s="51"/>
      <c r="Z952" s="51"/>
      <c r="AA952" s="51"/>
      <c r="AB952" s="51"/>
    </row>
    <row r="953" customFormat="false" ht="15.75" hidden="false" customHeight="false" outlineLevel="0" collapsed="false">
      <c r="A953" s="51"/>
      <c r="B953" s="51"/>
      <c r="C953" s="6"/>
      <c r="D953" s="49"/>
      <c r="E953" s="51"/>
      <c r="F953" s="6"/>
      <c r="G953" s="6"/>
      <c r="H953" s="6"/>
      <c r="I953" s="6"/>
      <c r="J953" s="6"/>
      <c r="K953" s="51"/>
      <c r="L953" s="51"/>
      <c r="M953" s="51"/>
      <c r="N953" s="51"/>
      <c r="O953" s="51"/>
      <c r="P953" s="51"/>
      <c r="Q953" s="51"/>
      <c r="R953" s="51"/>
      <c r="S953" s="51"/>
      <c r="T953" s="51"/>
      <c r="U953" s="51"/>
      <c r="V953" s="51"/>
      <c r="W953" s="51"/>
      <c r="X953" s="51"/>
      <c r="Y953" s="51"/>
      <c r="Z953" s="51"/>
      <c r="AA953" s="51"/>
      <c r="AB953" s="51"/>
    </row>
    <row r="954" customFormat="false" ht="15.75" hidden="false" customHeight="false" outlineLevel="0" collapsed="false">
      <c r="A954" s="51"/>
      <c r="B954" s="51"/>
      <c r="C954" s="6"/>
      <c r="D954" s="49"/>
      <c r="E954" s="51"/>
      <c r="F954" s="6"/>
      <c r="G954" s="6"/>
      <c r="H954" s="6"/>
      <c r="I954" s="6"/>
      <c r="J954" s="6"/>
      <c r="K954" s="51"/>
      <c r="L954" s="51"/>
      <c r="M954" s="51"/>
      <c r="N954" s="51"/>
      <c r="O954" s="51"/>
      <c r="P954" s="51"/>
      <c r="Q954" s="51"/>
      <c r="R954" s="51"/>
      <c r="S954" s="51"/>
      <c r="T954" s="51"/>
      <c r="U954" s="51"/>
      <c r="V954" s="51"/>
      <c r="W954" s="51"/>
      <c r="X954" s="51"/>
      <c r="Y954" s="51"/>
      <c r="Z954" s="51"/>
      <c r="AA954" s="51"/>
      <c r="AB954" s="51"/>
    </row>
    <row r="955" customFormat="false" ht="15.75" hidden="false" customHeight="false" outlineLevel="0" collapsed="false">
      <c r="A955" s="51"/>
      <c r="B955" s="51"/>
      <c r="C955" s="6"/>
      <c r="D955" s="49"/>
      <c r="E955" s="51"/>
      <c r="F955" s="6"/>
      <c r="G955" s="6"/>
      <c r="H955" s="6"/>
      <c r="I955" s="6"/>
      <c r="J955" s="6"/>
      <c r="K955" s="51"/>
      <c r="L955" s="51"/>
      <c r="M955" s="51"/>
      <c r="N955" s="51"/>
      <c r="O955" s="51"/>
      <c r="P955" s="51"/>
      <c r="Q955" s="51"/>
      <c r="R955" s="51"/>
      <c r="S955" s="51"/>
      <c r="T955" s="51"/>
      <c r="U955" s="51"/>
      <c r="V955" s="51"/>
      <c r="W955" s="51"/>
      <c r="X955" s="51"/>
      <c r="Y955" s="51"/>
      <c r="Z955" s="51"/>
      <c r="AA955" s="51"/>
      <c r="AB955" s="51"/>
    </row>
    <row r="956" customFormat="false" ht="15.75" hidden="false" customHeight="false" outlineLevel="0" collapsed="false">
      <c r="A956" s="51"/>
      <c r="B956" s="51"/>
      <c r="C956" s="6"/>
      <c r="D956" s="49"/>
      <c r="E956" s="51"/>
      <c r="F956" s="6"/>
      <c r="G956" s="6"/>
      <c r="H956" s="6"/>
      <c r="I956" s="6"/>
      <c r="J956" s="6"/>
      <c r="K956" s="51"/>
      <c r="L956" s="51"/>
      <c r="M956" s="51"/>
      <c r="N956" s="51"/>
      <c r="O956" s="51"/>
      <c r="P956" s="51"/>
      <c r="Q956" s="51"/>
      <c r="R956" s="51"/>
      <c r="S956" s="51"/>
      <c r="T956" s="51"/>
      <c r="U956" s="51"/>
      <c r="V956" s="51"/>
      <c r="W956" s="51"/>
      <c r="X956" s="51"/>
      <c r="Y956" s="51"/>
      <c r="Z956" s="51"/>
      <c r="AA956" s="51"/>
      <c r="AB956" s="51"/>
    </row>
    <row r="957" customFormat="false" ht="15.75" hidden="false" customHeight="false" outlineLevel="0" collapsed="false">
      <c r="A957" s="51"/>
      <c r="B957" s="51"/>
      <c r="C957" s="6"/>
      <c r="D957" s="49"/>
      <c r="E957" s="51"/>
      <c r="F957" s="6"/>
      <c r="G957" s="6"/>
      <c r="H957" s="6"/>
      <c r="I957" s="6"/>
      <c r="J957" s="6"/>
      <c r="K957" s="51"/>
      <c r="L957" s="51"/>
      <c r="M957" s="51"/>
      <c r="N957" s="51"/>
      <c r="O957" s="51"/>
      <c r="P957" s="51"/>
      <c r="Q957" s="51"/>
      <c r="R957" s="51"/>
      <c r="S957" s="51"/>
      <c r="T957" s="51"/>
      <c r="U957" s="51"/>
      <c r="V957" s="51"/>
      <c r="W957" s="51"/>
      <c r="X957" s="51"/>
      <c r="Y957" s="51"/>
      <c r="Z957" s="51"/>
      <c r="AA957" s="51"/>
      <c r="AB957" s="51"/>
    </row>
    <row r="958" customFormat="false" ht="15.75" hidden="false" customHeight="false" outlineLevel="0" collapsed="false">
      <c r="A958" s="51"/>
      <c r="B958" s="51"/>
      <c r="C958" s="6"/>
      <c r="D958" s="49"/>
      <c r="E958" s="51"/>
      <c r="F958" s="6"/>
      <c r="G958" s="6"/>
      <c r="H958" s="6"/>
      <c r="I958" s="6"/>
      <c r="J958" s="6"/>
      <c r="K958" s="51"/>
      <c r="L958" s="51"/>
      <c r="M958" s="51"/>
      <c r="N958" s="51"/>
      <c r="O958" s="51"/>
      <c r="P958" s="51"/>
      <c r="Q958" s="51"/>
      <c r="R958" s="51"/>
      <c r="S958" s="51"/>
      <c r="T958" s="51"/>
      <c r="U958" s="51"/>
      <c r="V958" s="51"/>
      <c r="W958" s="51"/>
      <c r="X958" s="51"/>
      <c r="Y958" s="51"/>
      <c r="Z958" s="51"/>
      <c r="AA958" s="51"/>
      <c r="AB958" s="51"/>
    </row>
    <row r="959" customFormat="false" ht="15.75" hidden="false" customHeight="false" outlineLevel="0" collapsed="false">
      <c r="A959" s="51"/>
      <c r="B959" s="51"/>
      <c r="C959" s="6"/>
      <c r="D959" s="49"/>
      <c r="E959" s="51"/>
      <c r="F959" s="6"/>
      <c r="G959" s="6"/>
      <c r="H959" s="6"/>
      <c r="I959" s="6"/>
      <c r="J959" s="6"/>
      <c r="K959" s="51"/>
      <c r="L959" s="51"/>
      <c r="M959" s="51"/>
      <c r="N959" s="51"/>
      <c r="O959" s="51"/>
      <c r="P959" s="51"/>
      <c r="Q959" s="51"/>
      <c r="R959" s="51"/>
      <c r="S959" s="51"/>
      <c r="T959" s="51"/>
      <c r="U959" s="51"/>
      <c r="V959" s="51"/>
      <c r="W959" s="51"/>
      <c r="X959" s="51"/>
      <c r="Y959" s="51"/>
      <c r="Z959" s="51"/>
      <c r="AA959" s="51"/>
      <c r="AB959" s="51"/>
    </row>
    <row r="960" customFormat="false" ht="15.75" hidden="false" customHeight="false" outlineLevel="0" collapsed="false">
      <c r="A960" s="51"/>
      <c r="B960" s="51"/>
      <c r="C960" s="6"/>
      <c r="D960" s="49"/>
      <c r="E960" s="51"/>
      <c r="F960" s="6"/>
      <c r="G960" s="6"/>
      <c r="H960" s="6"/>
      <c r="I960" s="6"/>
      <c r="J960" s="6"/>
      <c r="K960" s="51"/>
      <c r="L960" s="51"/>
      <c r="M960" s="51"/>
      <c r="N960" s="51"/>
      <c r="O960" s="51"/>
      <c r="P960" s="51"/>
      <c r="Q960" s="51"/>
      <c r="R960" s="51"/>
      <c r="S960" s="51"/>
      <c r="T960" s="51"/>
      <c r="U960" s="51"/>
      <c r="V960" s="51"/>
      <c r="W960" s="51"/>
      <c r="X960" s="51"/>
      <c r="Y960" s="51"/>
      <c r="Z960" s="51"/>
      <c r="AA960" s="51"/>
      <c r="AB960" s="51"/>
    </row>
    <row r="961" customFormat="false" ht="15.75" hidden="false" customHeight="false" outlineLevel="0" collapsed="false">
      <c r="A961" s="51"/>
      <c r="B961" s="51"/>
      <c r="C961" s="6"/>
      <c r="D961" s="49"/>
      <c r="E961" s="51"/>
      <c r="F961" s="6"/>
      <c r="G961" s="6"/>
      <c r="H961" s="6"/>
      <c r="I961" s="6"/>
      <c r="J961" s="6"/>
      <c r="K961" s="51"/>
      <c r="L961" s="51"/>
      <c r="M961" s="51"/>
      <c r="N961" s="51"/>
      <c r="O961" s="51"/>
      <c r="P961" s="51"/>
      <c r="Q961" s="51"/>
      <c r="R961" s="51"/>
      <c r="S961" s="51"/>
      <c r="T961" s="51"/>
      <c r="U961" s="51"/>
      <c r="V961" s="51"/>
      <c r="W961" s="51"/>
      <c r="X961" s="51"/>
      <c r="Y961" s="51"/>
      <c r="Z961" s="51"/>
      <c r="AA961" s="51"/>
      <c r="AB961" s="51"/>
    </row>
    <row r="962" customFormat="false" ht="15.75" hidden="false" customHeight="false" outlineLevel="0" collapsed="false">
      <c r="A962" s="51"/>
      <c r="B962" s="51"/>
      <c r="C962" s="6"/>
      <c r="D962" s="49"/>
      <c r="E962" s="51"/>
      <c r="F962" s="6"/>
      <c r="G962" s="6"/>
      <c r="H962" s="6"/>
      <c r="I962" s="6"/>
      <c r="J962" s="6"/>
      <c r="K962" s="51"/>
      <c r="L962" s="51"/>
      <c r="M962" s="51"/>
      <c r="N962" s="51"/>
      <c r="O962" s="51"/>
      <c r="P962" s="51"/>
      <c r="Q962" s="51"/>
      <c r="R962" s="51"/>
      <c r="S962" s="51"/>
      <c r="T962" s="51"/>
      <c r="U962" s="51"/>
      <c r="V962" s="51"/>
      <c r="W962" s="51"/>
      <c r="X962" s="51"/>
      <c r="Y962" s="51"/>
      <c r="Z962" s="51"/>
      <c r="AA962" s="51"/>
      <c r="AB962" s="51"/>
    </row>
    <row r="963" customFormat="false" ht="15.75" hidden="false" customHeight="false" outlineLevel="0" collapsed="false">
      <c r="A963" s="51"/>
      <c r="B963" s="51"/>
      <c r="C963" s="6"/>
      <c r="D963" s="49"/>
      <c r="E963" s="51"/>
      <c r="F963" s="6"/>
      <c r="G963" s="6"/>
      <c r="H963" s="6"/>
      <c r="I963" s="6"/>
      <c r="J963" s="6"/>
      <c r="K963" s="51"/>
      <c r="L963" s="51"/>
      <c r="M963" s="51"/>
      <c r="N963" s="51"/>
      <c r="O963" s="51"/>
      <c r="P963" s="51"/>
      <c r="Q963" s="51"/>
      <c r="R963" s="51"/>
      <c r="S963" s="51"/>
      <c r="T963" s="51"/>
      <c r="U963" s="51"/>
      <c r="V963" s="51"/>
      <c r="W963" s="51"/>
      <c r="X963" s="51"/>
      <c r="Y963" s="51"/>
      <c r="Z963" s="51"/>
      <c r="AA963" s="51"/>
      <c r="AB963" s="51"/>
    </row>
    <row r="964" customFormat="false" ht="15.75" hidden="false" customHeight="false" outlineLevel="0" collapsed="false">
      <c r="A964" s="51"/>
      <c r="B964" s="51"/>
      <c r="C964" s="6"/>
      <c r="D964" s="49"/>
      <c r="E964" s="51"/>
      <c r="F964" s="6"/>
      <c r="G964" s="6"/>
      <c r="H964" s="6"/>
      <c r="I964" s="6"/>
      <c r="J964" s="6"/>
      <c r="K964" s="51"/>
      <c r="L964" s="51"/>
      <c r="M964" s="51"/>
      <c r="N964" s="51"/>
      <c r="O964" s="51"/>
      <c r="P964" s="51"/>
      <c r="Q964" s="51"/>
      <c r="R964" s="51"/>
      <c r="S964" s="51"/>
      <c r="T964" s="51"/>
      <c r="U964" s="51"/>
      <c r="V964" s="51"/>
      <c r="W964" s="51"/>
      <c r="X964" s="51"/>
      <c r="Y964" s="51"/>
      <c r="Z964" s="51"/>
      <c r="AA964" s="51"/>
      <c r="AB964" s="51"/>
    </row>
    <row r="965" customFormat="false" ht="15.75" hidden="false" customHeight="false" outlineLevel="0" collapsed="false">
      <c r="A965" s="51"/>
      <c r="B965" s="51"/>
      <c r="C965" s="6"/>
      <c r="D965" s="49"/>
      <c r="E965" s="51"/>
      <c r="F965" s="6"/>
      <c r="G965" s="6"/>
      <c r="H965" s="6"/>
      <c r="I965" s="6"/>
      <c r="J965" s="6"/>
      <c r="K965" s="51"/>
      <c r="L965" s="51"/>
      <c r="M965" s="51"/>
      <c r="N965" s="51"/>
      <c r="O965" s="51"/>
      <c r="P965" s="51"/>
      <c r="Q965" s="51"/>
      <c r="R965" s="51"/>
      <c r="S965" s="51"/>
      <c r="T965" s="51"/>
      <c r="U965" s="51"/>
      <c r="V965" s="51"/>
      <c r="W965" s="51"/>
      <c r="X965" s="51"/>
      <c r="Y965" s="51"/>
      <c r="Z965" s="51"/>
      <c r="AA965" s="51"/>
      <c r="AB965" s="51"/>
    </row>
    <row r="966" customFormat="false" ht="15.75" hidden="false" customHeight="false" outlineLevel="0" collapsed="false">
      <c r="A966" s="51"/>
      <c r="B966" s="51"/>
      <c r="C966" s="6"/>
      <c r="D966" s="49"/>
      <c r="E966" s="51"/>
      <c r="F966" s="6"/>
      <c r="G966" s="6"/>
      <c r="H966" s="6"/>
      <c r="I966" s="6"/>
      <c r="J966" s="6"/>
      <c r="K966" s="51"/>
      <c r="L966" s="51"/>
      <c r="M966" s="51"/>
      <c r="N966" s="51"/>
      <c r="O966" s="51"/>
      <c r="P966" s="51"/>
      <c r="Q966" s="51"/>
      <c r="R966" s="51"/>
      <c r="S966" s="51"/>
      <c r="T966" s="51"/>
      <c r="U966" s="51"/>
      <c r="V966" s="51"/>
      <c r="W966" s="51"/>
      <c r="X966" s="51"/>
      <c r="Y966" s="51"/>
      <c r="Z966" s="51"/>
      <c r="AA966" s="51"/>
      <c r="AB966" s="51"/>
    </row>
    <row r="967" customFormat="false" ht="15.75" hidden="false" customHeight="false" outlineLevel="0" collapsed="false">
      <c r="A967" s="51"/>
      <c r="B967" s="51"/>
      <c r="C967" s="6"/>
      <c r="D967" s="49"/>
      <c r="E967" s="51"/>
      <c r="F967" s="6"/>
      <c r="G967" s="6"/>
      <c r="H967" s="6"/>
      <c r="I967" s="6"/>
      <c r="J967" s="6"/>
      <c r="K967" s="51"/>
      <c r="L967" s="51"/>
      <c r="M967" s="51"/>
      <c r="N967" s="51"/>
      <c r="O967" s="51"/>
      <c r="P967" s="51"/>
      <c r="Q967" s="51"/>
      <c r="R967" s="51"/>
      <c r="S967" s="51"/>
      <c r="T967" s="51"/>
      <c r="U967" s="51"/>
      <c r="V967" s="51"/>
      <c r="W967" s="51"/>
      <c r="X967" s="51"/>
      <c r="Y967" s="51"/>
      <c r="Z967" s="51"/>
      <c r="AA967" s="51"/>
      <c r="AB967" s="51"/>
    </row>
    <row r="968" customFormat="false" ht="15.75" hidden="false" customHeight="false" outlineLevel="0" collapsed="false">
      <c r="A968" s="51"/>
      <c r="B968" s="51"/>
      <c r="C968" s="6"/>
      <c r="D968" s="49"/>
      <c r="E968" s="51"/>
      <c r="F968" s="6"/>
      <c r="G968" s="6"/>
      <c r="H968" s="6"/>
      <c r="I968" s="6"/>
      <c r="J968" s="6"/>
      <c r="K968" s="51"/>
      <c r="L968" s="51"/>
      <c r="M968" s="51"/>
      <c r="N968" s="51"/>
      <c r="O968" s="51"/>
      <c r="P968" s="51"/>
      <c r="Q968" s="51"/>
      <c r="R968" s="51"/>
      <c r="S968" s="51"/>
      <c r="T968" s="51"/>
      <c r="U968" s="51"/>
      <c r="V968" s="51"/>
      <c r="W968" s="51"/>
      <c r="X968" s="51"/>
      <c r="Y968" s="51"/>
      <c r="Z968" s="51"/>
      <c r="AA968" s="51"/>
      <c r="AB968" s="51"/>
    </row>
    <row r="969" customFormat="false" ht="15.75" hidden="false" customHeight="false" outlineLevel="0" collapsed="false">
      <c r="A969" s="51"/>
      <c r="B969" s="51"/>
      <c r="C969" s="6"/>
      <c r="D969" s="49"/>
      <c r="E969" s="51"/>
      <c r="F969" s="6"/>
      <c r="G969" s="6"/>
      <c r="H969" s="6"/>
      <c r="I969" s="6"/>
      <c r="J969" s="6"/>
      <c r="K969" s="51"/>
      <c r="L969" s="51"/>
      <c r="M969" s="51"/>
      <c r="N969" s="51"/>
      <c r="O969" s="51"/>
      <c r="P969" s="51"/>
      <c r="Q969" s="51"/>
      <c r="R969" s="51"/>
      <c r="S969" s="51"/>
      <c r="T969" s="51"/>
      <c r="U969" s="51"/>
      <c r="V969" s="51"/>
      <c r="W969" s="51"/>
      <c r="X969" s="51"/>
      <c r="Y969" s="51"/>
      <c r="Z969" s="51"/>
      <c r="AA969" s="51"/>
      <c r="AB969" s="51"/>
    </row>
    <row r="970" customFormat="false" ht="15.75" hidden="false" customHeight="false" outlineLevel="0" collapsed="false">
      <c r="A970" s="51"/>
      <c r="B970" s="51"/>
      <c r="C970" s="6"/>
      <c r="D970" s="49"/>
      <c r="E970" s="51"/>
      <c r="F970" s="6"/>
      <c r="G970" s="6"/>
      <c r="H970" s="6"/>
      <c r="I970" s="6"/>
      <c r="J970" s="6"/>
      <c r="K970" s="51"/>
      <c r="L970" s="51"/>
      <c r="M970" s="51"/>
      <c r="N970" s="51"/>
      <c r="O970" s="51"/>
      <c r="P970" s="51"/>
      <c r="Q970" s="51"/>
      <c r="R970" s="51"/>
      <c r="S970" s="51"/>
      <c r="T970" s="51"/>
      <c r="U970" s="51"/>
      <c r="V970" s="51"/>
      <c r="W970" s="51"/>
      <c r="X970" s="51"/>
      <c r="Y970" s="51"/>
      <c r="Z970" s="51"/>
      <c r="AA970" s="51"/>
      <c r="AB970" s="51"/>
    </row>
    <row r="971" customFormat="false" ht="15.75" hidden="false" customHeight="false" outlineLevel="0" collapsed="false">
      <c r="A971" s="51"/>
      <c r="B971" s="51"/>
      <c r="C971" s="6"/>
      <c r="D971" s="49"/>
      <c r="E971" s="51"/>
      <c r="F971" s="6"/>
      <c r="G971" s="6"/>
      <c r="H971" s="6"/>
      <c r="I971" s="6"/>
      <c r="J971" s="6"/>
      <c r="K971" s="51"/>
      <c r="L971" s="51"/>
      <c r="M971" s="51"/>
      <c r="N971" s="51"/>
      <c r="O971" s="51"/>
      <c r="P971" s="51"/>
      <c r="Q971" s="51"/>
      <c r="R971" s="51"/>
      <c r="S971" s="51"/>
      <c r="T971" s="51"/>
      <c r="U971" s="51"/>
      <c r="V971" s="51"/>
      <c r="W971" s="51"/>
      <c r="X971" s="51"/>
      <c r="Y971" s="51"/>
      <c r="Z971" s="51"/>
      <c r="AA971" s="51"/>
      <c r="AB971" s="51"/>
    </row>
    <row r="972" customFormat="false" ht="15.75" hidden="false" customHeight="false" outlineLevel="0" collapsed="false">
      <c r="A972" s="51"/>
      <c r="B972" s="51"/>
      <c r="C972" s="6"/>
      <c r="D972" s="49"/>
      <c r="E972" s="51"/>
      <c r="F972" s="6"/>
      <c r="G972" s="6"/>
      <c r="H972" s="6"/>
      <c r="I972" s="6"/>
      <c r="J972" s="6"/>
      <c r="K972" s="51"/>
      <c r="L972" s="51"/>
      <c r="M972" s="51"/>
      <c r="N972" s="51"/>
      <c r="O972" s="51"/>
      <c r="P972" s="51"/>
      <c r="Q972" s="51"/>
      <c r="R972" s="51"/>
      <c r="S972" s="51"/>
      <c r="T972" s="51"/>
      <c r="U972" s="51"/>
      <c r="V972" s="51"/>
      <c r="W972" s="51"/>
      <c r="X972" s="51"/>
      <c r="Y972" s="51"/>
      <c r="Z972" s="51"/>
      <c r="AA972" s="51"/>
      <c r="AB972" s="51"/>
    </row>
    <row r="973" customFormat="false" ht="15.75" hidden="false" customHeight="false" outlineLevel="0" collapsed="false">
      <c r="A973" s="51"/>
      <c r="B973" s="51"/>
      <c r="C973" s="6"/>
      <c r="D973" s="49"/>
      <c r="E973" s="51"/>
      <c r="F973" s="6"/>
      <c r="G973" s="6"/>
      <c r="H973" s="6"/>
      <c r="I973" s="6"/>
      <c r="J973" s="6"/>
      <c r="K973" s="51"/>
      <c r="L973" s="51"/>
      <c r="M973" s="51"/>
      <c r="N973" s="51"/>
      <c r="O973" s="51"/>
      <c r="P973" s="51"/>
      <c r="Q973" s="51"/>
      <c r="R973" s="51"/>
      <c r="S973" s="51"/>
      <c r="T973" s="51"/>
      <c r="U973" s="51"/>
      <c r="V973" s="51"/>
      <c r="W973" s="51"/>
      <c r="X973" s="51"/>
      <c r="Y973" s="51"/>
      <c r="Z973" s="51"/>
      <c r="AA973" s="51"/>
      <c r="AB973" s="51"/>
    </row>
    <row r="974" customFormat="false" ht="15.75" hidden="false" customHeight="false" outlineLevel="0" collapsed="false">
      <c r="A974" s="51"/>
      <c r="B974" s="51"/>
      <c r="C974" s="6"/>
      <c r="D974" s="49"/>
      <c r="E974" s="51"/>
      <c r="F974" s="6"/>
      <c r="G974" s="6"/>
      <c r="H974" s="6"/>
      <c r="I974" s="6"/>
      <c r="J974" s="6"/>
      <c r="K974" s="51"/>
      <c r="L974" s="51"/>
      <c r="M974" s="51"/>
      <c r="N974" s="51"/>
      <c r="O974" s="51"/>
      <c r="P974" s="51"/>
      <c r="Q974" s="51"/>
      <c r="R974" s="51"/>
      <c r="S974" s="51"/>
      <c r="T974" s="51"/>
      <c r="U974" s="51"/>
      <c r="V974" s="51"/>
      <c r="W974" s="51"/>
      <c r="X974" s="51"/>
      <c r="Y974" s="51"/>
      <c r="Z974" s="51"/>
      <c r="AA974" s="51"/>
      <c r="AB974" s="51"/>
    </row>
    <row r="975" customFormat="false" ht="15.75" hidden="false" customHeight="false" outlineLevel="0" collapsed="false">
      <c r="A975" s="51"/>
      <c r="B975" s="51"/>
      <c r="C975" s="6"/>
      <c r="D975" s="49"/>
      <c r="E975" s="51"/>
      <c r="F975" s="6"/>
      <c r="G975" s="6"/>
      <c r="H975" s="6"/>
      <c r="I975" s="6"/>
      <c r="J975" s="6"/>
      <c r="K975" s="51"/>
      <c r="L975" s="51"/>
      <c r="M975" s="51"/>
      <c r="N975" s="51"/>
      <c r="O975" s="51"/>
      <c r="P975" s="51"/>
      <c r="Q975" s="51"/>
      <c r="R975" s="51"/>
      <c r="S975" s="51"/>
      <c r="T975" s="51"/>
      <c r="U975" s="51"/>
      <c r="V975" s="51"/>
      <c r="W975" s="51"/>
      <c r="X975" s="51"/>
      <c r="Y975" s="51"/>
      <c r="Z975" s="51"/>
      <c r="AA975" s="51"/>
      <c r="AB975" s="51"/>
    </row>
    <row r="976" customFormat="false" ht="15.75" hidden="false" customHeight="false" outlineLevel="0" collapsed="false">
      <c r="A976" s="51"/>
      <c r="B976" s="51"/>
      <c r="C976" s="6"/>
      <c r="D976" s="49"/>
      <c r="E976" s="51"/>
      <c r="F976" s="6"/>
      <c r="G976" s="6"/>
      <c r="H976" s="6"/>
      <c r="I976" s="6"/>
      <c r="J976" s="6"/>
      <c r="K976" s="51"/>
      <c r="L976" s="51"/>
      <c r="M976" s="51"/>
      <c r="N976" s="51"/>
      <c r="O976" s="51"/>
      <c r="P976" s="51"/>
      <c r="Q976" s="51"/>
      <c r="R976" s="51"/>
      <c r="S976" s="51"/>
      <c r="T976" s="51"/>
      <c r="U976" s="51"/>
      <c r="V976" s="51"/>
      <c r="W976" s="51"/>
      <c r="X976" s="51"/>
      <c r="Y976" s="51"/>
      <c r="Z976" s="51"/>
      <c r="AA976" s="51"/>
      <c r="AB976" s="51"/>
    </row>
    <row r="977" customFormat="false" ht="15.75" hidden="false" customHeight="false" outlineLevel="0" collapsed="false">
      <c r="A977" s="51"/>
      <c r="B977" s="51"/>
      <c r="C977" s="6"/>
      <c r="D977" s="49"/>
      <c r="E977" s="51"/>
      <c r="F977" s="6"/>
      <c r="G977" s="6"/>
      <c r="H977" s="6"/>
      <c r="I977" s="6"/>
      <c r="J977" s="6"/>
      <c r="K977" s="51"/>
      <c r="L977" s="51"/>
      <c r="M977" s="51"/>
      <c r="N977" s="51"/>
      <c r="O977" s="51"/>
      <c r="P977" s="51"/>
      <c r="Q977" s="51"/>
      <c r="R977" s="51"/>
      <c r="S977" s="51"/>
      <c r="T977" s="51"/>
      <c r="U977" s="51"/>
      <c r="V977" s="51"/>
      <c r="W977" s="51"/>
      <c r="X977" s="51"/>
      <c r="Y977" s="51"/>
      <c r="Z977" s="51"/>
      <c r="AA977" s="51"/>
      <c r="AB977" s="51"/>
    </row>
    <row r="978" customFormat="false" ht="15.75" hidden="false" customHeight="false" outlineLevel="0" collapsed="false">
      <c r="A978" s="51"/>
      <c r="B978" s="51"/>
      <c r="C978" s="6"/>
      <c r="D978" s="49"/>
      <c r="E978" s="51"/>
      <c r="F978" s="6"/>
      <c r="G978" s="6"/>
      <c r="H978" s="6"/>
      <c r="I978" s="6"/>
      <c r="J978" s="6"/>
      <c r="K978" s="51"/>
      <c r="L978" s="51"/>
      <c r="M978" s="51"/>
      <c r="N978" s="51"/>
      <c r="O978" s="51"/>
      <c r="P978" s="51"/>
      <c r="Q978" s="51"/>
      <c r="R978" s="51"/>
      <c r="S978" s="51"/>
      <c r="T978" s="51"/>
      <c r="U978" s="51"/>
      <c r="V978" s="51"/>
      <c r="W978" s="51"/>
      <c r="X978" s="51"/>
      <c r="Y978" s="51"/>
      <c r="Z978" s="51"/>
      <c r="AA978" s="51"/>
      <c r="AB978" s="51"/>
    </row>
    <row r="979" customFormat="false" ht="15.75" hidden="false" customHeight="false" outlineLevel="0" collapsed="false">
      <c r="A979" s="51"/>
      <c r="B979" s="51"/>
      <c r="C979" s="6"/>
      <c r="D979" s="49"/>
      <c r="E979" s="51"/>
      <c r="F979" s="6"/>
      <c r="G979" s="6"/>
      <c r="H979" s="6"/>
      <c r="I979" s="6"/>
      <c r="J979" s="6"/>
      <c r="K979" s="51"/>
      <c r="L979" s="51"/>
      <c r="M979" s="51"/>
      <c r="N979" s="51"/>
      <c r="O979" s="51"/>
      <c r="P979" s="51"/>
      <c r="Q979" s="51"/>
      <c r="R979" s="51"/>
      <c r="S979" s="51"/>
      <c r="T979" s="51"/>
      <c r="U979" s="51"/>
      <c r="V979" s="51"/>
      <c r="W979" s="51"/>
      <c r="X979" s="51"/>
      <c r="Y979" s="51"/>
      <c r="Z979" s="51"/>
      <c r="AA979" s="51"/>
      <c r="AB979" s="51"/>
    </row>
    <row r="980" customFormat="false" ht="15.75" hidden="false" customHeight="false" outlineLevel="0" collapsed="false">
      <c r="A980" s="51"/>
      <c r="B980" s="51"/>
      <c r="C980" s="6"/>
      <c r="D980" s="49"/>
      <c r="E980" s="51"/>
      <c r="F980" s="6"/>
      <c r="G980" s="6"/>
      <c r="H980" s="6"/>
      <c r="I980" s="6"/>
      <c r="J980" s="6"/>
      <c r="K980" s="51"/>
      <c r="L980" s="51"/>
      <c r="M980" s="51"/>
      <c r="N980" s="51"/>
      <c r="O980" s="51"/>
      <c r="P980" s="51"/>
      <c r="Q980" s="51"/>
      <c r="R980" s="51"/>
      <c r="S980" s="51"/>
      <c r="T980" s="51"/>
      <c r="U980" s="51"/>
      <c r="V980" s="51"/>
      <c r="W980" s="51"/>
      <c r="X980" s="51"/>
      <c r="Y980" s="51"/>
      <c r="Z980" s="51"/>
      <c r="AA980" s="51"/>
      <c r="AB980" s="51"/>
    </row>
    <row r="981" customFormat="false" ht="15.75" hidden="false" customHeight="false" outlineLevel="0" collapsed="false">
      <c r="A981" s="51"/>
      <c r="B981" s="51"/>
      <c r="C981" s="6"/>
      <c r="D981" s="49"/>
      <c r="E981" s="51"/>
      <c r="F981" s="6"/>
      <c r="G981" s="6"/>
      <c r="H981" s="6"/>
      <c r="I981" s="6"/>
      <c r="J981" s="6"/>
      <c r="K981" s="51"/>
      <c r="L981" s="51"/>
      <c r="M981" s="51"/>
      <c r="N981" s="51"/>
      <c r="O981" s="51"/>
      <c r="P981" s="51"/>
      <c r="Q981" s="51"/>
      <c r="R981" s="51"/>
      <c r="S981" s="51"/>
      <c r="T981" s="51"/>
      <c r="U981" s="51"/>
      <c r="V981" s="51"/>
      <c r="W981" s="51"/>
      <c r="X981" s="51"/>
      <c r="Y981" s="51"/>
      <c r="Z981" s="51"/>
      <c r="AA981" s="51"/>
      <c r="AB981" s="51"/>
    </row>
    <row r="982" customFormat="false" ht="15.75" hidden="false" customHeight="false" outlineLevel="0" collapsed="false">
      <c r="A982" s="51"/>
      <c r="B982" s="51"/>
      <c r="C982" s="6"/>
      <c r="D982" s="49"/>
      <c r="E982" s="51"/>
      <c r="F982" s="6"/>
      <c r="G982" s="6"/>
      <c r="H982" s="6"/>
      <c r="I982" s="6"/>
      <c r="J982" s="6"/>
      <c r="K982" s="51"/>
      <c r="L982" s="51"/>
      <c r="M982" s="51"/>
      <c r="N982" s="51"/>
      <c r="O982" s="51"/>
      <c r="P982" s="51"/>
      <c r="Q982" s="51"/>
      <c r="R982" s="51"/>
      <c r="S982" s="51"/>
      <c r="T982" s="51"/>
      <c r="U982" s="51"/>
      <c r="V982" s="51"/>
      <c r="W982" s="51"/>
      <c r="X982" s="51"/>
      <c r="Y982" s="51"/>
      <c r="Z982" s="51"/>
      <c r="AA982" s="51"/>
      <c r="AB982" s="51"/>
    </row>
    <row r="983" customFormat="false" ht="15.75" hidden="false" customHeight="false" outlineLevel="0" collapsed="false">
      <c r="A983" s="51"/>
      <c r="B983" s="51"/>
      <c r="C983" s="6"/>
      <c r="D983" s="49"/>
      <c r="E983" s="51"/>
      <c r="F983" s="6"/>
      <c r="G983" s="6"/>
      <c r="H983" s="6"/>
      <c r="I983" s="6"/>
      <c r="J983" s="6"/>
      <c r="K983" s="51"/>
      <c r="L983" s="51"/>
      <c r="M983" s="51"/>
      <c r="N983" s="51"/>
      <c r="O983" s="51"/>
      <c r="P983" s="51"/>
      <c r="Q983" s="51"/>
      <c r="R983" s="51"/>
      <c r="S983" s="51"/>
      <c r="T983" s="51"/>
      <c r="U983" s="51"/>
      <c r="V983" s="51"/>
      <c r="W983" s="51"/>
      <c r="X983" s="51"/>
      <c r="Y983" s="51"/>
      <c r="Z983" s="51"/>
      <c r="AA983" s="51"/>
      <c r="AB983" s="51"/>
    </row>
    <row r="984" customFormat="false" ht="15.75" hidden="false" customHeight="false" outlineLevel="0" collapsed="false">
      <c r="A984" s="51"/>
      <c r="B984" s="51"/>
      <c r="C984" s="6"/>
      <c r="D984" s="49"/>
      <c r="E984" s="51"/>
      <c r="F984" s="6"/>
      <c r="G984" s="6"/>
      <c r="H984" s="6"/>
      <c r="I984" s="6"/>
      <c r="J984" s="6"/>
      <c r="K984" s="51"/>
      <c r="L984" s="51"/>
      <c r="M984" s="51"/>
      <c r="N984" s="51"/>
      <c r="O984" s="51"/>
      <c r="P984" s="51"/>
      <c r="Q984" s="51"/>
      <c r="R984" s="51"/>
      <c r="S984" s="51"/>
      <c r="T984" s="51"/>
      <c r="U984" s="51"/>
      <c r="V984" s="51"/>
      <c r="W984" s="51"/>
      <c r="X984" s="51"/>
      <c r="Y984" s="51"/>
      <c r="Z984" s="51"/>
      <c r="AA984" s="51"/>
      <c r="AB984" s="51"/>
    </row>
    <row r="985" customFormat="false" ht="15.75" hidden="false" customHeight="false" outlineLevel="0" collapsed="false">
      <c r="A985" s="51"/>
      <c r="B985" s="51"/>
      <c r="C985" s="6"/>
      <c r="D985" s="49"/>
      <c r="E985" s="51"/>
      <c r="F985" s="6"/>
      <c r="G985" s="6"/>
      <c r="H985" s="6"/>
      <c r="I985" s="6"/>
      <c r="J985" s="6"/>
      <c r="K985" s="51"/>
      <c r="L985" s="51"/>
      <c r="M985" s="51"/>
      <c r="N985" s="51"/>
      <c r="O985" s="51"/>
      <c r="P985" s="51"/>
      <c r="Q985" s="51"/>
      <c r="R985" s="51"/>
      <c r="S985" s="51"/>
      <c r="T985" s="51"/>
      <c r="U985" s="51"/>
      <c r="V985" s="51"/>
      <c r="W985" s="51"/>
      <c r="X985" s="51"/>
      <c r="Y985" s="51"/>
      <c r="Z985" s="51"/>
      <c r="AA985" s="51"/>
      <c r="AB985" s="51"/>
    </row>
    <row r="986" customFormat="false" ht="15.75" hidden="false" customHeight="false" outlineLevel="0" collapsed="false">
      <c r="A986" s="51"/>
      <c r="B986" s="51"/>
      <c r="C986" s="6"/>
      <c r="D986" s="49"/>
      <c r="E986" s="51"/>
      <c r="F986" s="6"/>
      <c r="G986" s="6"/>
      <c r="H986" s="6"/>
      <c r="I986" s="6"/>
      <c r="J986" s="6"/>
      <c r="K986" s="51"/>
      <c r="L986" s="51"/>
      <c r="M986" s="51"/>
      <c r="N986" s="51"/>
      <c r="O986" s="51"/>
      <c r="P986" s="51"/>
      <c r="Q986" s="51"/>
      <c r="R986" s="51"/>
      <c r="S986" s="51"/>
      <c r="T986" s="51"/>
      <c r="U986" s="51"/>
      <c r="V986" s="51"/>
      <c r="W986" s="51"/>
      <c r="X986" s="51"/>
      <c r="Y986" s="51"/>
      <c r="Z986" s="51"/>
      <c r="AA986" s="51"/>
      <c r="AB986" s="51"/>
    </row>
    <row r="987" customFormat="false" ht="15.75" hidden="false" customHeight="false" outlineLevel="0" collapsed="false">
      <c r="A987" s="51"/>
      <c r="B987" s="51"/>
      <c r="C987" s="6"/>
      <c r="D987" s="49"/>
      <c r="E987" s="51"/>
      <c r="F987" s="6"/>
      <c r="G987" s="6"/>
      <c r="H987" s="6"/>
      <c r="I987" s="6"/>
      <c r="J987" s="6"/>
      <c r="K987" s="51"/>
      <c r="L987" s="51"/>
      <c r="M987" s="51"/>
      <c r="N987" s="51"/>
      <c r="O987" s="51"/>
      <c r="P987" s="51"/>
      <c r="Q987" s="51"/>
      <c r="R987" s="51"/>
      <c r="S987" s="51"/>
      <c r="T987" s="51"/>
      <c r="U987" s="51"/>
      <c r="V987" s="51"/>
      <c r="W987" s="51"/>
      <c r="X987" s="51"/>
      <c r="Y987" s="51"/>
      <c r="Z987" s="51"/>
      <c r="AA987" s="51"/>
      <c r="AB987" s="51"/>
    </row>
    <row r="988" customFormat="false" ht="15.75" hidden="false" customHeight="false" outlineLevel="0" collapsed="false">
      <c r="A988" s="51"/>
      <c r="B988" s="51"/>
      <c r="C988" s="6"/>
      <c r="D988" s="49"/>
      <c r="E988" s="51"/>
      <c r="F988" s="6"/>
      <c r="G988" s="6"/>
      <c r="H988" s="6"/>
      <c r="I988" s="6"/>
      <c r="J988" s="6"/>
      <c r="K988" s="51"/>
      <c r="L988" s="51"/>
      <c r="M988" s="51"/>
      <c r="N988" s="51"/>
      <c r="O988" s="51"/>
      <c r="P988" s="51"/>
      <c r="Q988" s="51"/>
      <c r="R988" s="51"/>
      <c r="S988" s="51"/>
      <c r="T988" s="51"/>
      <c r="U988" s="51"/>
      <c r="V988" s="51"/>
      <c r="W988" s="51"/>
      <c r="X988" s="51"/>
      <c r="Y988" s="51"/>
      <c r="Z988" s="51"/>
      <c r="AA988" s="51"/>
      <c r="AB988" s="51"/>
    </row>
    <row r="989" customFormat="false" ht="15.75" hidden="false" customHeight="false" outlineLevel="0" collapsed="false">
      <c r="A989" s="51"/>
      <c r="B989" s="51"/>
      <c r="C989" s="6"/>
      <c r="D989" s="49"/>
      <c r="E989" s="51"/>
      <c r="F989" s="6"/>
      <c r="G989" s="6"/>
      <c r="H989" s="6"/>
      <c r="I989" s="6"/>
      <c r="J989" s="6"/>
      <c r="K989" s="51"/>
      <c r="L989" s="51"/>
      <c r="M989" s="51"/>
      <c r="N989" s="51"/>
      <c r="O989" s="51"/>
      <c r="P989" s="51"/>
      <c r="Q989" s="51"/>
      <c r="R989" s="51"/>
      <c r="S989" s="51"/>
      <c r="T989" s="51"/>
      <c r="U989" s="51"/>
      <c r="V989" s="51"/>
      <c r="W989" s="51"/>
      <c r="X989" s="51"/>
      <c r="Y989" s="51"/>
      <c r="Z989" s="51"/>
      <c r="AA989" s="51"/>
      <c r="AB989" s="51"/>
    </row>
    <row r="990" customFormat="false" ht="15.75" hidden="false" customHeight="false" outlineLevel="0" collapsed="false">
      <c r="A990" s="51"/>
      <c r="B990" s="51"/>
      <c r="C990" s="6"/>
      <c r="D990" s="49"/>
      <c r="E990" s="51"/>
      <c r="F990" s="6"/>
      <c r="G990" s="6"/>
      <c r="H990" s="6"/>
      <c r="I990" s="6"/>
      <c r="J990" s="6"/>
      <c r="K990" s="51"/>
      <c r="L990" s="51"/>
      <c r="M990" s="51"/>
      <c r="N990" s="51"/>
      <c r="O990" s="51"/>
      <c r="P990" s="51"/>
      <c r="Q990" s="51"/>
      <c r="R990" s="51"/>
      <c r="S990" s="51"/>
      <c r="T990" s="51"/>
      <c r="U990" s="51"/>
      <c r="V990" s="51"/>
      <c r="W990" s="51"/>
      <c r="X990" s="51"/>
      <c r="Y990" s="51"/>
      <c r="Z990" s="51"/>
      <c r="AA990" s="51"/>
      <c r="AB990" s="51"/>
    </row>
    <row r="991" customFormat="false" ht="15.75" hidden="false" customHeight="false" outlineLevel="0" collapsed="false">
      <c r="A991" s="51"/>
      <c r="B991" s="51"/>
      <c r="C991" s="6"/>
      <c r="D991" s="49"/>
      <c r="E991" s="51"/>
      <c r="F991" s="6"/>
      <c r="G991" s="6"/>
      <c r="H991" s="6"/>
      <c r="I991" s="6"/>
      <c r="J991" s="6"/>
      <c r="K991" s="51"/>
      <c r="L991" s="51"/>
      <c r="M991" s="51"/>
      <c r="N991" s="51"/>
      <c r="O991" s="51"/>
      <c r="P991" s="51"/>
      <c r="Q991" s="51"/>
      <c r="R991" s="51"/>
      <c r="S991" s="51"/>
      <c r="T991" s="51"/>
      <c r="U991" s="51"/>
      <c r="V991" s="51"/>
      <c r="W991" s="51"/>
      <c r="X991" s="51"/>
      <c r="Y991" s="51"/>
      <c r="Z991" s="51"/>
      <c r="AA991" s="51"/>
      <c r="AB991" s="51"/>
    </row>
    <row r="992" customFormat="false" ht="15.75" hidden="false" customHeight="false" outlineLevel="0" collapsed="false">
      <c r="A992" s="51"/>
      <c r="B992" s="51"/>
      <c r="C992" s="6"/>
      <c r="D992" s="49"/>
      <c r="E992" s="51"/>
      <c r="F992" s="6"/>
      <c r="G992" s="6"/>
      <c r="H992" s="6"/>
      <c r="I992" s="6"/>
      <c r="J992" s="6"/>
      <c r="K992" s="51"/>
      <c r="L992" s="51"/>
      <c r="M992" s="51"/>
      <c r="N992" s="51"/>
      <c r="O992" s="51"/>
      <c r="P992" s="51"/>
      <c r="Q992" s="51"/>
      <c r="R992" s="51"/>
      <c r="S992" s="51"/>
      <c r="T992" s="51"/>
      <c r="U992" s="51"/>
      <c r="V992" s="51"/>
      <c r="W992" s="51"/>
      <c r="X992" s="51"/>
      <c r="Y992" s="51"/>
      <c r="Z992" s="51"/>
      <c r="AA992" s="51"/>
      <c r="AB992" s="51"/>
    </row>
    <row r="993" customFormat="false" ht="15.75" hidden="false" customHeight="false" outlineLevel="0" collapsed="false">
      <c r="A993" s="51"/>
      <c r="B993" s="51"/>
      <c r="C993" s="6"/>
      <c r="D993" s="49"/>
      <c r="E993" s="51"/>
      <c r="F993" s="6"/>
      <c r="G993" s="6"/>
      <c r="H993" s="6"/>
      <c r="I993" s="6"/>
      <c r="J993" s="6"/>
      <c r="K993" s="51"/>
      <c r="L993" s="51"/>
      <c r="M993" s="51"/>
      <c r="N993" s="51"/>
      <c r="O993" s="51"/>
      <c r="P993" s="51"/>
      <c r="Q993" s="51"/>
      <c r="R993" s="51"/>
      <c r="S993" s="51"/>
      <c r="T993" s="51"/>
      <c r="U993" s="51"/>
      <c r="V993" s="51"/>
      <c r="W993" s="51"/>
      <c r="X993" s="51"/>
      <c r="Y993" s="51"/>
      <c r="Z993" s="51"/>
      <c r="AA993" s="51"/>
      <c r="AB993" s="51"/>
    </row>
    <row r="994" customFormat="false" ht="15.75" hidden="false" customHeight="false" outlineLevel="0" collapsed="false">
      <c r="A994" s="51"/>
      <c r="B994" s="51"/>
      <c r="C994" s="6"/>
      <c r="D994" s="49"/>
      <c r="E994" s="51"/>
      <c r="F994" s="6"/>
      <c r="G994" s="6"/>
      <c r="H994" s="6"/>
      <c r="I994" s="6"/>
      <c r="J994" s="6"/>
      <c r="K994" s="51"/>
      <c r="L994" s="51"/>
      <c r="M994" s="51"/>
      <c r="N994" s="51"/>
      <c r="O994" s="51"/>
      <c r="P994" s="51"/>
      <c r="Q994" s="51"/>
      <c r="R994" s="51"/>
      <c r="S994" s="51"/>
      <c r="T994" s="51"/>
      <c r="U994" s="51"/>
      <c r="V994" s="51"/>
      <c r="W994" s="51"/>
      <c r="X994" s="51"/>
      <c r="Y994" s="51"/>
      <c r="Z994" s="51"/>
      <c r="AA994" s="51"/>
      <c r="AB994" s="51"/>
    </row>
    <row r="995" customFormat="false" ht="15.75" hidden="false" customHeight="false" outlineLevel="0" collapsed="false">
      <c r="A995" s="51"/>
      <c r="B995" s="51"/>
      <c r="C995" s="6"/>
      <c r="D995" s="49"/>
      <c r="E995" s="51"/>
      <c r="F995" s="6"/>
      <c r="G995" s="6"/>
      <c r="H995" s="6"/>
      <c r="I995" s="6"/>
      <c r="J995" s="6"/>
      <c r="K995" s="51"/>
      <c r="L995" s="51"/>
      <c r="M995" s="51"/>
      <c r="N995" s="51"/>
      <c r="O995" s="51"/>
      <c r="P995" s="51"/>
      <c r="Q995" s="51"/>
      <c r="R995" s="51"/>
      <c r="S995" s="51"/>
      <c r="T995" s="51"/>
      <c r="U995" s="51"/>
      <c r="V995" s="51"/>
      <c r="W995" s="51"/>
      <c r="X995" s="51"/>
      <c r="Y995" s="51"/>
      <c r="Z995" s="51"/>
      <c r="AA995" s="51"/>
      <c r="AB995" s="51"/>
    </row>
    <row r="996" customFormat="false" ht="15.75" hidden="false" customHeight="false" outlineLevel="0" collapsed="false">
      <c r="A996" s="51"/>
      <c r="B996" s="51"/>
      <c r="C996" s="6"/>
      <c r="D996" s="49"/>
      <c r="E996" s="51"/>
      <c r="F996" s="6"/>
      <c r="G996" s="6"/>
      <c r="H996" s="6"/>
      <c r="I996" s="6"/>
      <c r="J996" s="6"/>
      <c r="K996" s="51"/>
      <c r="L996" s="51"/>
      <c r="M996" s="51"/>
      <c r="N996" s="51"/>
      <c r="O996" s="51"/>
      <c r="P996" s="51"/>
      <c r="Q996" s="51"/>
      <c r="R996" s="51"/>
      <c r="S996" s="51"/>
      <c r="T996" s="51"/>
      <c r="U996" s="51"/>
      <c r="V996" s="51"/>
      <c r="W996" s="51"/>
      <c r="X996" s="51"/>
      <c r="Y996" s="51"/>
      <c r="Z996" s="51"/>
      <c r="AA996" s="51"/>
      <c r="AB996" s="51"/>
    </row>
    <row r="997" customFormat="false" ht="15.75" hidden="false" customHeight="false" outlineLevel="0" collapsed="false">
      <c r="A997" s="51"/>
      <c r="B997" s="51"/>
      <c r="C997" s="6"/>
      <c r="D997" s="49"/>
      <c r="E997" s="51"/>
      <c r="F997" s="6"/>
      <c r="G997" s="6"/>
      <c r="H997" s="6"/>
      <c r="I997" s="6"/>
      <c r="J997" s="6"/>
      <c r="K997" s="51"/>
      <c r="L997" s="51"/>
      <c r="M997" s="51"/>
      <c r="N997" s="51"/>
      <c r="O997" s="51"/>
      <c r="P997" s="51"/>
      <c r="Q997" s="51"/>
      <c r="R997" s="51"/>
      <c r="S997" s="51"/>
      <c r="T997" s="51"/>
      <c r="U997" s="51"/>
      <c r="V997" s="51"/>
      <c r="W997" s="51"/>
      <c r="X997" s="51"/>
      <c r="Y997" s="51"/>
      <c r="Z997" s="51"/>
      <c r="AA997" s="51"/>
      <c r="AB997" s="51"/>
    </row>
    <row r="998" customFormat="false" ht="15.75" hidden="false" customHeight="false" outlineLevel="0" collapsed="false">
      <c r="A998" s="51"/>
      <c r="B998" s="51"/>
      <c r="C998" s="6"/>
      <c r="D998" s="49"/>
      <c r="E998" s="51"/>
      <c r="F998" s="6"/>
      <c r="G998" s="6"/>
      <c r="H998" s="6"/>
      <c r="I998" s="6"/>
      <c r="J998" s="6"/>
      <c r="K998" s="51"/>
      <c r="L998" s="51"/>
      <c r="M998" s="51"/>
      <c r="N998" s="51"/>
      <c r="O998" s="51"/>
      <c r="P998" s="51"/>
      <c r="Q998" s="51"/>
      <c r="R998" s="51"/>
      <c r="S998" s="51"/>
      <c r="T998" s="51"/>
      <c r="U998" s="51"/>
      <c r="V998" s="51"/>
      <c r="W998" s="51"/>
      <c r="X998" s="51"/>
      <c r="Y998" s="51"/>
      <c r="Z998" s="51"/>
      <c r="AA998" s="51"/>
      <c r="AB998" s="51"/>
    </row>
    <row r="999" customFormat="false" ht="15.75" hidden="false" customHeight="false" outlineLevel="0" collapsed="false">
      <c r="A999" s="51"/>
      <c r="B999" s="51"/>
      <c r="C999" s="6"/>
      <c r="D999" s="49"/>
      <c r="E999" s="51"/>
      <c r="F999" s="6"/>
      <c r="G999" s="6"/>
      <c r="H999" s="6"/>
      <c r="I999" s="6"/>
      <c r="J999" s="6"/>
      <c r="K999" s="51"/>
      <c r="L999" s="51"/>
      <c r="M999" s="51"/>
      <c r="N999" s="51"/>
      <c r="O999" s="51"/>
      <c r="P999" s="51"/>
      <c r="Q999" s="51"/>
      <c r="R999" s="51"/>
      <c r="S999" s="51"/>
      <c r="T999" s="51"/>
      <c r="U999" s="51"/>
      <c r="V999" s="51"/>
      <c r="W999" s="51"/>
      <c r="X999" s="51"/>
      <c r="Y999" s="51"/>
      <c r="Z999" s="51"/>
      <c r="AA999" s="51"/>
      <c r="AB999" s="51"/>
    </row>
    <row r="1000" customFormat="false" ht="15.75" hidden="false" customHeight="false" outlineLevel="0" collapsed="false">
      <c r="A1000" s="51"/>
      <c r="B1000" s="51"/>
      <c r="C1000" s="6"/>
      <c r="D1000" s="49"/>
      <c r="E1000" s="51"/>
      <c r="F1000" s="6"/>
      <c r="G1000" s="6"/>
      <c r="H1000" s="6"/>
      <c r="I1000" s="6"/>
      <c r="J1000" s="6"/>
      <c r="K1000" s="51"/>
      <c r="L1000" s="51"/>
      <c r="M1000" s="51"/>
      <c r="N1000" s="51"/>
      <c r="O1000" s="51"/>
      <c r="P1000" s="51"/>
      <c r="Q1000" s="51"/>
      <c r="R1000" s="51"/>
      <c r="S1000" s="51"/>
      <c r="T1000" s="51"/>
      <c r="U1000" s="51"/>
      <c r="V1000" s="51"/>
      <c r="W1000" s="51"/>
      <c r="X1000" s="51"/>
      <c r="Y1000" s="51"/>
      <c r="Z1000" s="51"/>
      <c r="AA1000" s="51"/>
      <c r="AB1000" s="51"/>
    </row>
    <row r="1001" customFormat="false" ht="15.75" hidden="false" customHeight="false" outlineLevel="0" collapsed="false">
      <c r="A1001" s="51"/>
      <c r="B1001" s="51"/>
      <c r="C1001" s="6"/>
      <c r="D1001" s="49"/>
      <c r="E1001" s="51"/>
      <c r="F1001" s="6"/>
      <c r="G1001" s="6"/>
      <c r="H1001" s="6"/>
      <c r="I1001" s="6"/>
      <c r="J1001" s="6"/>
      <c r="K1001" s="51"/>
      <c r="L1001" s="51"/>
      <c r="M1001" s="51"/>
      <c r="N1001" s="51"/>
      <c r="O1001" s="51"/>
      <c r="P1001" s="51"/>
      <c r="Q1001" s="51"/>
      <c r="R1001" s="51"/>
      <c r="S1001" s="51"/>
      <c r="T1001" s="51"/>
      <c r="U1001" s="51"/>
      <c r="V1001" s="51"/>
      <c r="W1001" s="51"/>
      <c r="X1001" s="51"/>
      <c r="Y1001" s="51"/>
      <c r="Z1001" s="51"/>
      <c r="AA1001" s="51"/>
      <c r="AB1001" s="51"/>
    </row>
    <row r="1002" customFormat="false" ht="15.75" hidden="false" customHeight="false" outlineLevel="0" collapsed="false">
      <c r="A1002" s="51"/>
      <c r="B1002" s="51"/>
      <c r="C1002" s="6"/>
      <c r="D1002" s="49"/>
      <c r="E1002" s="51"/>
      <c r="F1002" s="6"/>
      <c r="G1002" s="6"/>
      <c r="H1002" s="6"/>
      <c r="I1002" s="6"/>
      <c r="J1002" s="6"/>
      <c r="K1002" s="51"/>
      <c r="L1002" s="51"/>
      <c r="M1002" s="51"/>
      <c r="N1002" s="51"/>
      <c r="O1002" s="51"/>
      <c r="P1002" s="51"/>
      <c r="Q1002" s="51"/>
      <c r="R1002" s="51"/>
      <c r="S1002" s="51"/>
      <c r="T1002" s="51"/>
      <c r="U1002" s="51"/>
      <c r="V1002" s="51"/>
      <c r="W1002" s="51"/>
      <c r="X1002" s="51"/>
      <c r="Y1002" s="51"/>
      <c r="Z1002" s="51"/>
      <c r="AA1002" s="51"/>
      <c r="AB1002" s="51"/>
    </row>
  </sheetData>
  <mergeCells count="66">
    <mergeCell ref="A2:A5"/>
    <mergeCell ref="B2:B5"/>
    <mergeCell ref="A7:A10"/>
    <mergeCell ref="B7:B10"/>
    <mergeCell ref="A12:A15"/>
    <mergeCell ref="B12:B15"/>
    <mergeCell ref="A17:A20"/>
    <mergeCell ref="B17:B20"/>
    <mergeCell ref="A22:A25"/>
    <mergeCell ref="B22:B25"/>
    <mergeCell ref="A27:A30"/>
    <mergeCell ref="B27:B30"/>
    <mergeCell ref="A32:A35"/>
    <mergeCell ref="B32:B35"/>
    <mergeCell ref="A37:A40"/>
    <mergeCell ref="B37:B40"/>
    <mergeCell ref="A42:A45"/>
    <mergeCell ref="B42:B45"/>
    <mergeCell ref="A47:A50"/>
    <mergeCell ref="B47:B50"/>
    <mergeCell ref="A52:A55"/>
    <mergeCell ref="B52:B55"/>
    <mergeCell ref="A57:A60"/>
    <mergeCell ref="B57:B60"/>
    <mergeCell ref="A62:A65"/>
    <mergeCell ref="B62:B65"/>
    <mergeCell ref="A67:A70"/>
    <mergeCell ref="B67:B70"/>
    <mergeCell ref="A72:A75"/>
    <mergeCell ref="B72:B75"/>
    <mergeCell ref="A77:A80"/>
    <mergeCell ref="B77:B80"/>
    <mergeCell ref="A82:A85"/>
    <mergeCell ref="B82:B85"/>
    <mergeCell ref="A87:A90"/>
    <mergeCell ref="B87:B90"/>
    <mergeCell ref="A92:A95"/>
    <mergeCell ref="B92:B95"/>
    <mergeCell ref="A97:A100"/>
    <mergeCell ref="B97:B100"/>
    <mergeCell ref="A102:A105"/>
    <mergeCell ref="B102:B105"/>
    <mergeCell ref="A107:A110"/>
    <mergeCell ref="B107:B110"/>
    <mergeCell ref="A112:A115"/>
    <mergeCell ref="B112:B115"/>
    <mergeCell ref="A117:A120"/>
    <mergeCell ref="B117:B120"/>
    <mergeCell ref="A122:A125"/>
    <mergeCell ref="B122:B125"/>
    <mergeCell ref="A127:A130"/>
    <mergeCell ref="B127:B130"/>
    <mergeCell ref="A132:A135"/>
    <mergeCell ref="B132:B135"/>
    <mergeCell ref="A137:A140"/>
    <mergeCell ref="B137:B140"/>
    <mergeCell ref="A142:A145"/>
    <mergeCell ref="B142:B145"/>
    <mergeCell ref="A147:A150"/>
    <mergeCell ref="B147:B150"/>
    <mergeCell ref="A152:A155"/>
    <mergeCell ref="B152:B155"/>
    <mergeCell ref="A157:A160"/>
    <mergeCell ref="B157:B160"/>
    <mergeCell ref="A162:A165"/>
    <mergeCell ref="B162:B165"/>
  </mergeCells>
  <conditionalFormatting sqref="E12:E15 E17:E20 E22:E25 E27:E50 E52:E165">
    <cfRule type="colorScale" priority="2">
      <colorScale>
        <cfvo type="formula" val="0"/>
        <cfvo type="formula" val="1"/>
        <color rgb="FFFFFFFF"/>
        <color rgb="FFE67C73"/>
      </colorScale>
    </cfRule>
  </conditionalFormatting>
  <conditionalFormatting sqref="E2:E1002">
    <cfRule type="colorScale" priority="3">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F2:J1002" type="list">
      <formula1>"1,2,3,4,5"</formula1>
      <formula2>0</formula2>
    </dataValidation>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type="list">
      <formula1>"5W1H,Base,CoT,tldr"</formula1>
      <formula2>0</formula2>
    </dataValidation>
  </dataValidations>
  <hyperlinks>
    <hyperlink ref="A2" r:id="rId2" display="https://www.berria.eus/ekonomia/urte-eta-erdiko-kartzela-zigorra-eta-30000-euroko-kalte-ordainak-zorroza-gestion-enpresan-hil-zen-langileagatik_2124960_102.html"/>
    <hyperlink ref="A7" r:id="rId3" display="https://www.berria.eus/kirola/hirutik-hiru-jaka-mariezkurrenarentzat_2117677_102.html"/>
    <hyperlink ref="A12" r:id="rId4" display="https://www.berria.eus/bizigiro/larreen-eta-larrabereen-balioaz_2126273_102.html"/>
    <hyperlink ref="A17" r:id="rId5" display="https://www.berria.eus/kirola/olatua-hartuta-parisera_2121856_102.html"/>
    <hyperlink ref="A22" r:id="rId6" display="https://www.berria.eus/bizigiro/badago-ezkutuan-dagoen-sektore-bat-sarietatik-kanpo-idazten-ari-dena_2119644_102.html"/>
    <hyperlink ref="A27" r:id="rId7" display="https://www.berria.eus/bizigiro/istorioak-irudien-bidez-kontatzen-ditut-oso-hizkuntza-unibertsala-da_2121576_102.html"/>
    <hyperlink ref="A32" r:id="rId8" display="https://www.berria.eus/euskal-herria/etxeko-atxiloaldia-ezarri-diote-labioko-hiltzaileari_2124515_102.html"/>
    <hyperlink ref="A37" r:id="rId9" display="https://www.berria.eus/ekonomia/sektore-eolikoa-eta-milaka-lanpostu-desagertzeko-arriskuaz-ohartarazi-du-elak_233844_102.html"/>
    <hyperlink ref="A42" r:id="rId10" display="https://www.berria.eus/kultura/mikroipuinak-txikiak-baina-ez-hutsalak_2121931_102.html"/>
    <hyperlink ref="A47" r:id="rId11" display="https://www.berria.eus/euskal-herria/guardia-zibilak-dio-europako-speed-laborategi-handiena-aurkitu-duela-euskal-herrian_2125543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07" t="s">
        <v>271</v>
      </c>
      <c r="B1" s="108"/>
      <c r="C1" s="108"/>
      <c r="D1" s="108"/>
      <c r="E1" s="108"/>
      <c r="F1" s="108"/>
      <c r="G1" s="108"/>
      <c r="H1" s="108"/>
      <c r="I1" s="108"/>
      <c r="J1" s="108"/>
      <c r="K1" s="108"/>
      <c r="L1" s="108"/>
      <c r="M1" s="108"/>
      <c r="N1" s="108"/>
      <c r="O1" s="108"/>
      <c r="P1" s="108"/>
      <c r="Q1" s="108"/>
      <c r="R1" s="108"/>
      <c r="S1" s="108"/>
      <c r="T1" s="108"/>
      <c r="U1" s="108"/>
      <c r="V1" s="108"/>
      <c r="W1" s="108"/>
      <c r="X1" s="108"/>
      <c r="Y1" s="108"/>
      <c r="Z1" s="108"/>
    </row>
    <row r="2" customFormat="false" ht="15.75" hidden="false" customHeight="false" outlineLevel="0" collapsed="false">
      <c r="A2" s="3" t="s">
        <v>18</v>
      </c>
      <c r="B2" s="9" t="s">
        <v>272</v>
      </c>
      <c r="C2" s="9"/>
      <c r="D2" s="9"/>
      <c r="E2" s="9"/>
      <c r="F2" s="9"/>
      <c r="G2" s="9"/>
      <c r="H2" s="9"/>
      <c r="I2" s="9"/>
      <c r="J2" s="9"/>
      <c r="K2" s="9"/>
      <c r="L2" s="9"/>
      <c r="M2" s="9"/>
      <c r="N2" s="9"/>
      <c r="O2" s="9"/>
      <c r="P2" s="9"/>
      <c r="Q2" s="9"/>
      <c r="R2" s="9"/>
      <c r="S2" s="9"/>
      <c r="T2" s="9"/>
      <c r="U2" s="9"/>
      <c r="V2" s="9"/>
      <c r="W2" s="9"/>
      <c r="X2" s="9"/>
      <c r="Y2" s="9"/>
      <c r="Z2" s="9"/>
    </row>
    <row r="3" customFormat="false" ht="15.75" hidden="false" customHeight="false" outlineLevel="0" collapsed="false">
      <c r="A3" s="3" t="s">
        <v>19</v>
      </c>
      <c r="B3" s="9" t="s">
        <v>273</v>
      </c>
      <c r="C3" s="9"/>
      <c r="D3" s="9"/>
      <c r="E3" s="9"/>
      <c r="F3" s="9"/>
      <c r="G3" s="9"/>
      <c r="H3" s="9"/>
      <c r="I3" s="9"/>
      <c r="J3" s="9"/>
      <c r="K3" s="9"/>
      <c r="L3" s="9"/>
      <c r="M3" s="9"/>
      <c r="N3" s="9"/>
      <c r="O3" s="9"/>
      <c r="P3" s="9"/>
      <c r="Q3" s="9"/>
      <c r="R3" s="9"/>
      <c r="S3" s="9"/>
      <c r="T3" s="9"/>
      <c r="U3" s="9"/>
      <c r="V3" s="9"/>
      <c r="W3" s="9"/>
      <c r="X3" s="9"/>
      <c r="Y3" s="9"/>
      <c r="Z3" s="9"/>
    </row>
    <row r="4" customFormat="false" ht="15.75" hidden="false" customHeight="false" outlineLevel="0" collapsed="false">
      <c r="A4" s="3" t="s">
        <v>8</v>
      </c>
      <c r="B4" s="9" t="s">
        <v>274</v>
      </c>
      <c r="C4" s="9"/>
      <c r="D4" s="9"/>
      <c r="E4" s="9"/>
      <c r="F4" s="9"/>
      <c r="G4" s="9"/>
      <c r="H4" s="9"/>
      <c r="I4" s="9"/>
      <c r="J4" s="9"/>
      <c r="K4" s="9"/>
      <c r="L4" s="9"/>
      <c r="M4" s="9"/>
      <c r="N4" s="9"/>
      <c r="O4" s="9"/>
      <c r="P4" s="9"/>
      <c r="Q4" s="9"/>
      <c r="R4" s="9"/>
      <c r="S4" s="9"/>
      <c r="T4" s="9"/>
      <c r="U4" s="9"/>
      <c r="V4" s="9"/>
      <c r="W4" s="9"/>
      <c r="X4" s="9"/>
      <c r="Y4" s="9"/>
      <c r="Z4" s="9"/>
    </row>
    <row r="5" customFormat="false" ht="15.75" hidden="false" customHeight="false" outlineLevel="0" collapsed="false">
      <c r="A5" s="3" t="s">
        <v>20</v>
      </c>
      <c r="B5" s="9" t="s">
        <v>275</v>
      </c>
      <c r="C5" s="9"/>
      <c r="D5" s="9"/>
      <c r="E5" s="9"/>
      <c r="F5" s="9"/>
      <c r="G5" s="9"/>
      <c r="H5" s="9"/>
      <c r="I5" s="9"/>
      <c r="J5" s="9"/>
      <c r="K5" s="9"/>
      <c r="L5" s="9"/>
      <c r="M5" s="9"/>
      <c r="N5" s="9"/>
      <c r="O5" s="9"/>
      <c r="P5" s="9"/>
      <c r="Q5" s="9"/>
      <c r="R5" s="9"/>
      <c r="S5" s="9"/>
      <c r="T5" s="9"/>
      <c r="U5" s="9"/>
      <c r="V5" s="9"/>
      <c r="W5" s="9"/>
      <c r="X5" s="9"/>
      <c r="Y5" s="9"/>
      <c r="Z5" s="9"/>
    </row>
    <row r="6" customFormat="false" ht="15.75" hidden="false" customHeight="false" outlineLevel="0" collapsed="false">
      <c r="A6" s="107" t="s">
        <v>276</v>
      </c>
      <c r="B6" s="108"/>
      <c r="C6" s="108"/>
      <c r="D6" s="108"/>
      <c r="E6" s="108"/>
      <c r="F6" s="108"/>
      <c r="G6" s="108"/>
      <c r="H6" s="108"/>
      <c r="I6" s="108"/>
      <c r="J6" s="108"/>
      <c r="K6" s="108"/>
      <c r="L6" s="108"/>
      <c r="M6" s="108"/>
      <c r="N6" s="108"/>
      <c r="O6" s="108"/>
      <c r="P6" s="108"/>
      <c r="Q6" s="108"/>
      <c r="R6" s="108"/>
      <c r="S6" s="108"/>
      <c r="T6" s="108"/>
      <c r="U6" s="108"/>
      <c r="V6" s="108"/>
      <c r="W6" s="108"/>
      <c r="X6" s="108"/>
      <c r="Y6" s="108"/>
      <c r="Z6" s="108"/>
    </row>
    <row r="7" customFormat="false" ht="15.75" hidden="false" customHeight="false" outlineLevel="0" collapsed="false">
      <c r="A7" s="3" t="s">
        <v>16</v>
      </c>
      <c r="B7" s="9" t="s">
        <v>277</v>
      </c>
      <c r="C7" s="9"/>
      <c r="D7" s="9"/>
      <c r="E7" s="9"/>
      <c r="F7" s="9"/>
      <c r="G7" s="9"/>
      <c r="H7" s="9"/>
      <c r="I7" s="9"/>
      <c r="J7" s="9"/>
      <c r="K7" s="9"/>
      <c r="L7" s="9"/>
      <c r="M7" s="9"/>
      <c r="N7" s="9"/>
      <c r="O7" s="9"/>
      <c r="P7" s="9"/>
      <c r="Q7" s="9"/>
      <c r="R7" s="9"/>
      <c r="S7" s="9"/>
      <c r="T7" s="9"/>
      <c r="U7" s="9"/>
      <c r="V7" s="9"/>
      <c r="W7" s="9"/>
      <c r="X7" s="9"/>
      <c r="Y7" s="9"/>
      <c r="Z7" s="9"/>
    </row>
    <row r="8" customFormat="false" ht="15.75" hidden="false" customHeight="false" outlineLevel="0" collapsed="false">
      <c r="A8" s="3" t="s">
        <v>278</v>
      </c>
      <c r="B8" s="9" t="s">
        <v>279</v>
      </c>
      <c r="C8" s="9"/>
      <c r="D8" s="9"/>
      <c r="E8" s="9"/>
      <c r="F8" s="9"/>
      <c r="G8" s="9"/>
      <c r="H8" s="9"/>
      <c r="I8" s="9"/>
      <c r="J8" s="9"/>
      <c r="K8" s="9"/>
      <c r="L8" s="9"/>
      <c r="M8" s="9"/>
      <c r="N8" s="9"/>
      <c r="O8" s="9"/>
      <c r="P8" s="9"/>
      <c r="Q8" s="9"/>
      <c r="R8" s="9"/>
      <c r="S8" s="9"/>
      <c r="T8" s="9"/>
      <c r="U8" s="9"/>
      <c r="V8" s="9"/>
      <c r="W8" s="9"/>
      <c r="X8" s="9"/>
      <c r="Y8" s="9"/>
      <c r="Z8" s="9"/>
    </row>
    <row r="9" customFormat="false" ht="15.75" hidden="false" customHeight="false" outlineLevel="0" collapsed="false">
      <c r="A9" s="3" t="s">
        <v>280</v>
      </c>
      <c r="B9" s="9" t="s">
        <v>281</v>
      </c>
      <c r="C9" s="9"/>
      <c r="D9" s="9"/>
      <c r="E9" s="9"/>
      <c r="F9" s="9"/>
      <c r="G9" s="9"/>
      <c r="H9" s="9"/>
      <c r="I9" s="9"/>
      <c r="J9" s="9"/>
      <c r="K9" s="9"/>
      <c r="L9" s="9"/>
      <c r="M9" s="9"/>
      <c r="N9" s="9"/>
      <c r="O9" s="9"/>
      <c r="P9" s="9"/>
      <c r="Q9" s="9"/>
      <c r="R9" s="9"/>
      <c r="S9" s="9"/>
      <c r="T9" s="9"/>
      <c r="U9" s="9"/>
      <c r="V9" s="9"/>
      <c r="W9" s="9"/>
      <c r="X9" s="9"/>
      <c r="Y9" s="9"/>
      <c r="Z9" s="9"/>
    </row>
    <row r="10" customFormat="false" ht="15.75" hidden="false" customHeight="false" outlineLevel="0" collapsed="false">
      <c r="A10" s="3" t="s">
        <v>282</v>
      </c>
      <c r="B10" s="9" t="s">
        <v>283</v>
      </c>
      <c r="C10" s="9"/>
      <c r="D10" s="9"/>
      <c r="E10" s="9"/>
      <c r="F10" s="9"/>
      <c r="G10" s="9"/>
      <c r="H10" s="9"/>
      <c r="I10" s="9"/>
      <c r="J10" s="9"/>
      <c r="K10" s="9"/>
      <c r="L10" s="9"/>
      <c r="M10" s="9"/>
      <c r="N10" s="9"/>
      <c r="O10" s="9"/>
      <c r="P10" s="9"/>
      <c r="Q10" s="9"/>
      <c r="R10" s="9"/>
      <c r="S10" s="9"/>
      <c r="T10" s="9"/>
      <c r="U10" s="9"/>
      <c r="V10" s="9"/>
      <c r="W10" s="9"/>
      <c r="X10" s="9"/>
      <c r="Y10" s="9"/>
      <c r="Z10" s="9"/>
    </row>
    <row r="11" customFormat="false" ht="15.75" hidden="false" customHeight="false" outlineLevel="0" collapsed="false">
      <c r="A11" s="3" t="s">
        <v>33</v>
      </c>
      <c r="B11" s="9" t="s">
        <v>284</v>
      </c>
      <c r="C11" s="9"/>
      <c r="D11" s="9"/>
      <c r="E11" s="9"/>
      <c r="F11" s="9"/>
      <c r="G11" s="9"/>
      <c r="H11" s="9"/>
      <c r="I11" s="9"/>
      <c r="J11" s="9"/>
      <c r="K11" s="9"/>
      <c r="L11" s="9"/>
      <c r="M11" s="9"/>
      <c r="N11" s="9"/>
      <c r="O11" s="9"/>
      <c r="P11" s="9"/>
      <c r="Q11" s="9"/>
      <c r="R11" s="9"/>
      <c r="S11" s="9"/>
      <c r="T11" s="9"/>
      <c r="U11" s="9"/>
      <c r="V11" s="9"/>
      <c r="W11" s="9"/>
      <c r="X11" s="9"/>
      <c r="Y11" s="9"/>
      <c r="Z11" s="9"/>
    </row>
    <row r="12" customFormat="false" ht="15.75" hidden="false" customHeight="false" outlineLevel="0" collapsed="false">
      <c r="A12" s="107" t="s">
        <v>285</v>
      </c>
      <c r="B12" s="108"/>
      <c r="C12" s="108"/>
      <c r="D12" s="108"/>
      <c r="E12" s="108"/>
      <c r="F12" s="108"/>
      <c r="G12" s="108"/>
      <c r="H12" s="108"/>
      <c r="I12" s="108"/>
      <c r="J12" s="108"/>
      <c r="K12" s="108"/>
      <c r="L12" s="108"/>
      <c r="M12" s="108"/>
      <c r="N12" s="108"/>
      <c r="O12" s="108"/>
      <c r="P12" s="108"/>
      <c r="Q12" s="108"/>
      <c r="R12" s="108"/>
      <c r="S12" s="108"/>
      <c r="T12" s="108"/>
      <c r="U12" s="108"/>
      <c r="V12" s="108"/>
      <c r="W12" s="108"/>
      <c r="X12" s="108"/>
      <c r="Y12" s="108"/>
      <c r="Z12" s="108"/>
    </row>
    <row r="13" customFormat="false" ht="15.75" hidden="false" customHeight="false" outlineLevel="0" collapsed="false">
      <c r="A13" s="3" t="s">
        <v>4</v>
      </c>
      <c r="B13" s="9" t="s">
        <v>286</v>
      </c>
      <c r="C13" s="9"/>
      <c r="D13" s="9"/>
      <c r="E13" s="9"/>
      <c r="F13" s="9"/>
      <c r="G13" s="9"/>
      <c r="H13" s="9"/>
      <c r="I13" s="9"/>
      <c r="J13" s="9"/>
      <c r="K13" s="9"/>
      <c r="L13" s="9"/>
      <c r="M13" s="9"/>
      <c r="N13" s="9"/>
      <c r="O13" s="9"/>
      <c r="P13" s="9"/>
      <c r="Q13" s="9"/>
      <c r="R13" s="9"/>
      <c r="S13" s="9"/>
      <c r="T13" s="9"/>
      <c r="U13" s="9"/>
      <c r="V13" s="9"/>
      <c r="W13" s="9"/>
      <c r="X13" s="9"/>
      <c r="Y13" s="9"/>
      <c r="Z13" s="9"/>
    </row>
    <row r="14" customFormat="false" ht="15.75" hidden="false" customHeight="false" outlineLevel="0" collapsed="false">
      <c r="A14" s="2" t="s">
        <v>5</v>
      </c>
      <c r="B14" s="9" t="s">
        <v>287</v>
      </c>
      <c r="C14" s="9"/>
      <c r="D14" s="9"/>
      <c r="E14" s="9"/>
      <c r="F14" s="9"/>
      <c r="G14" s="9"/>
      <c r="H14" s="9"/>
      <c r="I14" s="9"/>
      <c r="J14" s="9"/>
      <c r="K14" s="9"/>
      <c r="L14" s="9"/>
      <c r="M14" s="9"/>
      <c r="N14" s="9"/>
      <c r="O14" s="9"/>
      <c r="P14" s="9"/>
      <c r="Q14" s="9"/>
      <c r="R14" s="9"/>
      <c r="S14" s="9"/>
      <c r="T14" s="9"/>
      <c r="U14" s="9"/>
      <c r="V14" s="9"/>
      <c r="W14" s="9"/>
      <c r="X14" s="9"/>
      <c r="Y14" s="9"/>
      <c r="Z14" s="9"/>
    </row>
    <row r="15" customFormat="false" ht="15.75" hidden="false" customHeight="false" outlineLevel="0" collapsed="false">
      <c r="A15" s="2" t="s">
        <v>6</v>
      </c>
      <c r="B15" s="9" t="s">
        <v>288</v>
      </c>
      <c r="C15" s="9"/>
      <c r="D15" s="9"/>
      <c r="E15" s="9"/>
      <c r="F15" s="9"/>
      <c r="G15" s="9"/>
      <c r="H15" s="9"/>
      <c r="I15" s="9"/>
      <c r="J15" s="9"/>
      <c r="K15" s="9"/>
      <c r="L15" s="9"/>
      <c r="M15" s="9"/>
      <c r="N15" s="9"/>
      <c r="O15" s="9"/>
      <c r="P15" s="9"/>
      <c r="Q15" s="9"/>
      <c r="R15" s="9"/>
      <c r="S15" s="9"/>
      <c r="T15" s="9"/>
      <c r="U15" s="9"/>
      <c r="V15" s="9"/>
      <c r="W15" s="9"/>
      <c r="X15" s="9"/>
      <c r="Y15" s="9"/>
      <c r="Z15" s="9"/>
    </row>
    <row r="16" customFormat="false" ht="15.75" hidden="false" customHeight="false" outlineLevel="0" collapsed="false">
      <c r="A16" s="2" t="s">
        <v>7</v>
      </c>
      <c r="B16" s="9" t="s">
        <v>289</v>
      </c>
      <c r="C16" s="9"/>
      <c r="D16" s="9"/>
      <c r="E16" s="9"/>
      <c r="F16" s="9"/>
      <c r="G16" s="9"/>
      <c r="H16" s="9"/>
      <c r="I16" s="9"/>
      <c r="J16" s="9"/>
      <c r="K16" s="9"/>
      <c r="L16" s="9"/>
      <c r="M16" s="9"/>
      <c r="N16" s="9"/>
      <c r="O16" s="9"/>
      <c r="P16" s="9"/>
      <c r="Q16" s="9"/>
      <c r="R16" s="9"/>
      <c r="S16" s="9"/>
      <c r="T16" s="9"/>
      <c r="U16" s="9"/>
      <c r="V16" s="9"/>
      <c r="W16" s="9"/>
      <c r="X16" s="9"/>
      <c r="Y16" s="9"/>
      <c r="Z16" s="9"/>
    </row>
    <row r="17" customFormat="false" ht="15.75" hidden="false" customHeight="false" outlineLevel="0" collapsed="false">
      <c r="A17" s="2" t="s">
        <v>8</v>
      </c>
      <c r="B17" s="9" t="s">
        <v>290</v>
      </c>
      <c r="C17" s="9"/>
      <c r="D17" s="9"/>
      <c r="E17" s="9"/>
      <c r="F17" s="9"/>
      <c r="G17" s="9"/>
      <c r="H17" s="9"/>
      <c r="I17" s="9"/>
      <c r="J17" s="9"/>
      <c r="K17" s="9"/>
      <c r="L17" s="9"/>
      <c r="M17" s="9"/>
      <c r="N17" s="9"/>
      <c r="O17" s="9"/>
      <c r="P17" s="9"/>
      <c r="Q17" s="9"/>
      <c r="R17" s="9"/>
      <c r="S17" s="9"/>
      <c r="T17" s="9"/>
      <c r="U17" s="9"/>
      <c r="V17" s="9"/>
      <c r="W17" s="9"/>
      <c r="X17" s="9"/>
      <c r="Y17" s="9"/>
      <c r="Z17" s="9"/>
    </row>
    <row r="18" customFormat="false" ht="15.75" hidden="false" customHeight="false" outlineLevel="0" collapsed="false">
      <c r="A18" s="107" t="s">
        <v>291</v>
      </c>
      <c r="B18" s="108"/>
      <c r="C18" s="108"/>
      <c r="D18" s="108"/>
      <c r="E18" s="108"/>
      <c r="F18" s="108"/>
      <c r="G18" s="108"/>
      <c r="H18" s="108"/>
      <c r="I18" s="108"/>
      <c r="J18" s="108"/>
      <c r="K18" s="108"/>
      <c r="L18" s="108"/>
      <c r="M18" s="108"/>
      <c r="N18" s="108"/>
      <c r="O18" s="108"/>
      <c r="P18" s="108"/>
      <c r="Q18" s="108"/>
      <c r="R18" s="108"/>
      <c r="S18" s="108"/>
      <c r="T18" s="108"/>
      <c r="U18" s="108"/>
      <c r="V18" s="108"/>
      <c r="W18" s="108"/>
      <c r="X18" s="108"/>
      <c r="Y18" s="108"/>
      <c r="Z18" s="108"/>
    </row>
    <row r="19" customFormat="false" ht="15.75" hidden="false" customHeight="false" outlineLevel="0" collapsed="false">
      <c r="A19" s="109" t="s">
        <v>292</v>
      </c>
      <c r="B19" s="9" t="s">
        <v>293</v>
      </c>
      <c r="C19" s="9"/>
      <c r="D19" s="9"/>
      <c r="E19" s="9"/>
      <c r="F19" s="9"/>
      <c r="G19" s="9"/>
      <c r="H19" s="9"/>
      <c r="I19" s="9"/>
      <c r="J19" s="9"/>
      <c r="K19" s="9"/>
      <c r="L19" s="9"/>
      <c r="M19" s="9"/>
      <c r="N19" s="9"/>
      <c r="O19" s="9"/>
      <c r="P19" s="9"/>
      <c r="Q19" s="9"/>
      <c r="R19" s="9"/>
      <c r="S19" s="9"/>
      <c r="T19" s="9"/>
      <c r="U19" s="9"/>
      <c r="V19" s="9"/>
      <c r="W19" s="9"/>
      <c r="X19" s="9"/>
      <c r="Y19" s="9"/>
      <c r="Z19" s="9"/>
    </row>
    <row r="20" customFormat="false" ht="15.75" hidden="false" customHeight="false" outlineLevel="0" collapsed="false">
      <c r="A20" s="110" t="s">
        <v>292</v>
      </c>
      <c r="B20" s="9" t="s">
        <v>294</v>
      </c>
      <c r="C20" s="9"/>
      <c r="D20" s="9"/>
      <c r="E20" s="9"/>
      <c r="F20" s="9"/>
      <c r="G20" s="9"/>
      <c r="H20" s="9"/>
      <c r="I20" s="9"/>
      <c r="J20" s="9"/>
      <c r="K20" s="9"/>
      <c r="L20" s="9"/>
      <c r="M20" s="9"/>
      <c r="N20" s="9"/>
      <c r="O20" s="9"/>
      <c r="P20" s="9"/>
      <c r="Q20" s="9"/>
      <c r="R20" s="9"/>
      <c r="S20" s="9"/>
      <c r="T20" s="9"/>
      <c r="U20" s="9"/>
      <c r="V20" s="9"/>
      <c r="W20" s="9"/>
      <c r="X20" s="9"/>
      <c r="Y20" s="9"/>
      <c r="Z20" s="9"/>
    </row>
    <row r="21" customFormat="false" ht="15.75" hidden="false" customHeight="false" outlineLevel="0" collapsed="false">
      <c r="A21" s="111" t="s">
        <v>292</v>
      </c>
      <c r="B21" s="9" t="s">
        <v>295</v>
      </c>
      <c r="C21" s="9"/>
      <c r="D21" s="9"/>
      <c r="E21" s="9"/>
      <c r="F21" s="9"/>
      <c r="G21" s="9"/>
      <c r="H21" s="9"/>
      <c r="I21" s="9"/>
      <c r="J21" s="9"/>
      <c r="K21" s="9"/>
      <c r="L21" s="9"/>
      <c r="M21" s="9"/>
      <c r="N21" s="9"/>
      <c r="O21" s="9"/>
      <c r="P21" s="9"/>
      <c r="Q21" s="9"/>
      <c r="R21" s="9"/>
      <c r="S21" s="9"/>
      <c r="T21" s="9"/>
      <c r="U21" s="9"/>
      <c r="V21" s="9"/>
      <c r="W21" s="9"/>
      <c r="X21" s="9"/>
      <c r="Y21" s="9"/>
      <c r="Z21" s="9"/>
    </row>
    <row r="22" customFormat="false" ht="15.75" hidden="false" customHeight="false" outlineLevel="0" collapsed="false">
      <c r="A22" s="112" t="s">
        <v>296</v>
      </c>
      <c r="B22" s="9"/>
      <c r="C22" s="9"/>
      <c r="D22" s="9"/>
      <c r="E22" s="9"/>
      <c r="F22" s="9"/>
      <c r="G22" s="9"/>
      <c r="H22" s="9"/>
      <c r="I22" s="9"/>
      <c r="J22" s="9"/>
      <c r="K22" s="9"/>
      <c r="L22" s="9"/>
      <c r="M22" s="9"/>
      <c r="N22" s="9"/>
      <c r="O22" s="9"/>
      <c r="P22" s="9"/>
      <c r="Q22" s="9"/>
      <c r="R22" s="9"/>
      <c r="S22" s="9"/>
      <c r="T22" s="9"/>
      <c r="U22" s="9"/>
      <c r="V22" s="9"/>
      <c r="W22" s="9"/>
      <c r="X22" s="9"/>
      <c r="Y22" s="9"/>
      <c r="Z22" s="9"/>
    </row>
    <row r="23" customFormat="false" ht="15.75" hidden="false" customHeight="false" outlineLevel="0" collapsed="false">
      <c r="A23" s="113" t="s">
        <v>297</v>
      </c>
      <c r="B23" s="9"/>
      <c r="C23" s="9"/>
      <c r="D23" s="9"/>
      <c r="E23" s="9"/>
      <c r="F23" s="9"/>
      <c r="G23" s="9"/>
      <c r="H23" s="9"/>
      <c r="I23" s="9"/>
      <c r="J23" s="9"/>
      <c r="K23" s="9"/>
      <c r="L23" s="9"/>
      <c r="M23" s="9"/>
      <c r="N23" s="9"/>
      <c r="O23" s="9"/>
      <c r="P23" s="9"/>
      <c r="Q23" s="9"/>
      <c r="R23" s="9"/>
      <c r="S23" s="9"/>
      <c r="T23" s="9"/>
      <c r="U23" s="9"/>
      <c r="V23" s="9"/>
      <c r="W23" s="9"/>
      <c r="X23" s="9"/>
      <c r="Y23" s="9"/>
      <c r="Z23" s="9"/>
    </row>
    <row r="24" customFormat="false" ht="15.75" hidden="false" customHeight="false" outlineLevel="0" collapsed="false">
      <c r="A24" s="114" t="s">
        <v>298</v>
      </c>
      <c r="B24" s="9"/>
      <c r="C24" s="9"/>
      <c r="D24" s="9"/>
      <c r="E24" s="9"/>
      <c r="F24" s="9"/>
      <c r="G24" s="9"/>
      <c r="H24" s="9"/>
      <c r="I24" s="9"/>
      <c r="J24" s="9"/>
      <c r="K24" s="9"/>
      <c r="L24" s="9"/>
      <c r="M24" s="9"/>
      <c r="N24" s="9"/>
      <c r="O24" s="9"/>
      <c r="P24" s="9"/>
      <c r="Q24" s="9"/>
      <c r="R24" s="9"/>
      <c r="S24" s="9"/>
      <c r="T24" s="9"/>
      <c r="U24" s="9"/>
      <c r="V24" s="9"/>
      <c r="W24" s="9"/>
      <c r="X24" s="9"/>
      <c r="Y24" s="9"/>
      <c r="Z24" s="9"/>
    </row>
    <row r="25" customFormat="false" ht="15.75" hidden="false" customHeight="false" outlineLevel="0" collapsed="false">
      <c r="A25" s="115" t="s">
        <v>299</v>
      </c>
      <c r="B25" s="9"/>
      <c r="C25" s="9"/>
      <c r="D25" s="9"/>
      <c r="E25" s="9"/>
      <c r="F25" s="9"/>
      <c r="G25" s="9"/>
      <c r="H25" s="9"/>
      <c r="I25" s="9"/>
      <c r="J25" s="9"/>
      <c r="K25" s="9"/>
      <c r="L25" s="9"/>
      <c r="M25" s="9"/>
      <c r="N25" s="9"/>
      <c r="O25" s="9"/>
      <c r="P25" s="9"/>
      <c r="Q25" s="9"/>
      <c r="R25" s="9"/>
      <c r="S25" s="9"/>
      <c r="T25" s="9"/>
      <c r="U25" s="9"/>
      <c r="V25" s="9"/>
      <c r="W25" s="9"/>
      <c r="X25" s="9"/>
      <c r="Y25" s="9"/>
      <c r="Z25" s="9"/>
    </row>
    <row r="26" customFormat="false" ht="15.75" hidden="false" customHeight="false" outlineLevel="0" collapsed="false">
      <c r="A26" s="116" t="s">
        <v>300</v>
      </c>
      <c r="B26" s="9"/>
      <c r="C26" s="9"/>
      <c r="D26" s="9"/>
      <c r="E26" s="9"/>
      <c r="F26" s="9"/>
      <c r="G26" s="9"/>
      <c r="H26" s="9"/>
      <c r="I26" s="9"/>
      <c r="J26" s="9"/>
      <c r="K26" s="9"/>
      <c r="L26" s="9"/>
      <c r="M26" s="9"/>
      <c r="N26" s="9"/>
      <c r="O26" s="9"/>
      <c r="P26" s="9"/>
      <c r="Q26" s="9"/>
      <c r="R26" s="9"/>
      <c r="S26" s="9"/>
      <c r="T26" s="9"/>
      <c r="U26" s="9"/>
      <c r="V26" s="9"/>
      <c r="W26" s="9"/>
      <c r="X26" s="9"/>
      <c r="Y26" s="9"/>
      <c r="Z26" s="9"/>
    </row>
    <row r="27" customFormat="false" ht="15.75" hidden="false" customHeight="false" outlineLevel="0" collapsed="false">
      <c r="A27" s="117" t="s">
        <v>301</v>
      </c>
      <c r="B27" s="9"/>
      <c r="C27" s="9"/>
      <c r="D27" s="9"/>
      <c r="E27" s="9"/>
      <c r="F27" s="9"/>
      <c r="G27" s="9"/>
      <c r="H27" s="9"/>
      <c r="I27" s="9"/>
      <c r="J27" s="9"/>
      <c r="K27" s="9"/>
      <c r="L27" s="9"/>
      <c r="M27" s="9"/>
      <c r="N27" s="9"/>
      <c r="O27" s="9"/>
      <c r="P27" s="9"/>
      <c r="Q27" s="9"/>
      <c r="R27" s="9"/>
      <c r="S27" s="9"/>
      <c r="T27" s="9"/>
      <c r="U27" s="9"/>
      <c r="V27" s="9"/>
      <c r="W27" s="9"/>
      <c r="X27" s="9"/>
      <c r="Y27" s="9"/>
      <c r="Z27" s="9"/>
    </row>
    <row r="28" customFormat="false" ht="15.75" hidden="false" customHeight="false" outlineLevel="0" collapsed="false">
      <c r="A28" s="9"/>
      <c r="B28" s="9"/>
      <c r="C28" s="9"/>
      <c r="D28" s="9"/>
      <c r="E28" s="9"/>
      <c r="F28" s="9"/>
      <c r="G28" s="9"/>
      <c r="H28" s="9"/>
      <c r="I28" s="9"/>
      <c r="J28" s="9"/>
      <c r="K28" s="9"/>
      <c r="L28" s="9"/>
      <c r="M28" s="9"/>
      <c r="N28" s="9"/>
      <c r="O28" s="9"/>
      <c r="P28" s="9"/>
      <c r="Q28" s="9"/>
      <c r="R28" s="9"/>
      <c r="S28" s="9"/>
      <c r="T28" s="9"/>
      <c r="U28" s="9"/>
      <c r="V28" s="9"/>
      <c r="W28" s="9"/>
      <c r="X28" s="9"/>
      <c r="Y28" s="9"/>
      <c r="Z28" s="9"/>
    </row>
    <row r="29" customFormat="false" ht="15.75" hidden="false" customHeight="false" outlineLevel="0" collapsed="false">
      <c r="A29" s="9"/>
      <c r="B29" s="9"/>
      <c r="C29" s="9"/>
      <c r="D29" s="9"/>
      <c r="E29" s="9"/>
      <c r="F29" s="9"/>
      <c r="G29" s="9"/>
      <c r="H29" s="9"/>
      <c r="I29" s="9"/>
      <c r="J29" s="9"/>
      <c r="K29" s="9"/>
      <c r="L29" s="9"/>
      <c r="M29" s="9"/>
      <c r="N29" s="9"/>
      <c r="O29" s="9"/>
      <c r="P29" s="9"/>
      <c r="Q29" s="9"/>
      <c r="R29" s="9"/>
      <c r="S29" s="9"/>
      <c r="T29" s="9"/>
      <c r="U29" s="9"/>
      <c r="V29" s="9"/>
      <c r="W29" s="9"/>
      <c r="X29" s="9"/>
      <c r="Y29" s="9"/>
      <c r="Z29" s="9"/>
    </row>
    <row r="30" customFormat="false" ht="15.75" hidden="false" customHeight="false" outlineLevel="0" collapsed="false">
      <c r="A30" s="9"/>
      <c r="B30" s="9"/>
      <c r="C30" s="9"/>
      <c r="D30" s="9"/>
      <c r="E30" s="9"/>
      <c r="F30" s="9"/>
      <c r="G30" s="9"/>
      <c r="H30" s="9"/>
      <c r="I30" s="9"/>
      <c r="J30" s="9"/>
      <c r="K30" s="9"/>
      <c r="L30" s="9"/>
      <c r="M30" s="9"/>
      <c r="N30" s="9"/>
      <c r="O30" s="9"/>
      <c r="P30" s="9"/>
      <c r="Q30" s="9"/>
      <c r="R30" s="9"/>
      <c r="S30" s="9"/>
      <c r="T30" s="9"/>
      <c r="U30" s="9"/>
      <c r="V30" s="9"/>
      <c r="W30" s="9"/>
      <c r="X30" s="9"/>
      <c r="Y30" s="9"/>
      <c r="Z30" s="9"/>
    </row>
    <row r="31" customFormat="false" ht="15.75" hidden="false" customHeight="false" outlineLevel="0" collapsed="false">
      <c r="A31" s="9"/>
      <c r="B31" s="9"/>
      <c r="C31" s="9"/>
      <c r="D31" s="9"/>
      <c r="E31" s="9"/>
      <c r="F31" s="9"/>
      <c r="G31" s="9"/>
      <c r="H31" s="9"/>
      <c r="I31" s="9"/>
      <c r="J31" s="9"/>
      <c r="K31" s="9"/>
      <c r="L31" s="9"/>
      <c r="M31" s="9"/>
      <c r="N31" s="9"/>
      <c r="O31" s="9"/>
      <c r="P31" s="9"/>
      <c r="Q31" s="9"/>
      <c r="R31" s="9"/>
      <c r="S31" s="9"/>
      <c r="T31" s="9"/>
      <c r="U31" s="9"/>
      <c r="V31" s="9"/>
      <c r="W31" s="9"/>
      <c r="X31" s="9"/>
      <c r="Y31" s="9"/>
      <c r="Z31" s="9"/>
    </row>
    <row r="32" customFormat="false" ht="15.75" hidden="false" customHeight="false" outlineLevel="0" collapsed="false">
      <c r="A32" s="9"/>
      <c r="B32" s="9"/>
      <c r="C32" s="9"/>
      <c r="D32" s="9"/>
      <c r="E32" s="9"/>
      <c r="F32" s="9"/>
      <c r="G32" s="9"/>
      <c r="H32" s="9"/>
      <c r="I32" s="9"/>
      <c r="J32" s="9"/>
      <c r="K32" s="9"/>
      <c r="L32" s="9"/>
      <c r="M32" s="9"/>
      <c r="N32" s="9"/>
      <c r="O32" s="9"/>
      <c r="P32" s="9"/>
      <c r="Q32" s="9"/>
      <c r="R32" s="9"/>
      <c r="S32" s="9"/>
      <c r="T32" s="9"/>
      <c r="U32" s="9"/>
      <c r="V32" s="9"/>
      <c r="W32" s="9"/>
      <c r="X32" s="9"/>
      <c r="Y32" s="9"/>
      <c r="Z32" s="9"/>
    </row>
    <row r="33" customFormat="false" ht="15.75" hidden="false" customHeight="false" outlineLevel="0" collapsed="false">
      <c r="A33" s="9"/>
      <c r="B33" s="9"/>
      <c r="C33" s="9"/>
      <c r="D33" s="9"/>
      <c r="E33" s="9"/>
      <c r="F33" s="9"/>
      <c r="G33" s="9"/>
      <c r="H33" s="9"/>
      <c r="I33" s="9"/>
      <c r="J33" s="9"/>
      <c r="K33" s="9"/>
      <c r="L33" s="9"/>
      <c r="M33" s="9"/>
      <c r="N33" s="9"/>
      <c r="O33" s="9"/>
      <c r="P33" s="9"/>
      <c r="Q33" s="9"/>
      <c r="R33" s="9"/>
      <c r="S33" s="9"/>
      <c r="T33" s="9"/>
      <c r="U33" s="9"/>
      <c r="V33" s="9"/>
      <c r="W33" s="9"/>
      <c r="X33" s="9"/>
      <c r="Y33" s="9"/>
      <c r="Z33" s="9"/>
    </row>
    <row r="34" customFormat="false" ht="15.75" hidden="false" customHeight="false" outlineLevel="0" collapsed="false">
      <c r="A34" s="9"/>
      <c r="B34" s="9"/>
      <c r="C34" s="9"/>
      <c r="D34" s="9"/>
      <c r="E34" s="9"/>
      <c r="F34" s="9"/>
      <c r="G34" s="9"/>
      <c r="H34" s="9"/>
      <c r="I34" s="9"/>
      <c r="J34" s="9"/>
      <c r="K34" s="9"/>
      <c r="L34" s="9"/>
      <c r="M34" s="9"/>
      <c r="N34" s="9"/>
      <c r="O34" s="9"/>
      <c r="P34" s="9"/>
      <c r="Q34" s="9"/>
      <c r="R34" s="9"/>
      <c r="S34" s="9"/>
      <c r="T34" s="9"/>
      <c r="U34" s="9"/>
      <c r="V34" s="9"/>
      <c r="W34" s="9"/>
      <c r="X34" s="9"/>
      <c r="Y34" s="9"/>
      <c r="Z34" s="9"/>
    </row>
    <row r="35" customFormat="false" ht="15.75" hidden="false" customHeight="false" outlineLevel="0" collapsed="false">
      <c r="A35" s="9"/>
      <c r="B35" s="9"/>
      <c r="C35" s="9"/>
      <c r="D35" s="9"/>
      <c r="E35" s="9"/>
      <c r="F35" s="9"/>
      <c r="G35" s="9"/>
      <c r="H35" s="9"/>
      <c r="I35" s="9"/>
      <c r="J35" s="9"/>
      <c r="K35" s="9"/>
      <c r="L35" s="9"/>
      <c r="M35" s="9"/>
      <c r="N35" s="9"/>
      <c r="O35" s="9"/>
      <c r="P35" s="9"/>
      <c r="Q35" s="9"/>
      <c r="R35" s="9"/>
      <c r="S35" s="9"/>
      <c r="T35" s="9"/>
      <c r="U35" s="9"/>
      <c r="V35" s="9"/>
      <c r="W35" s="9"/>
      <c r="X35" s="9"/>
      <c r="Y35" s="9"/>
      <c r="Z35" s="9"/>
    </row>
    <row r="36" customFormat="false" ht="15.75" hidden="false" customHeight="false" outlineLevel="0" collapsed="false">
      <c r="A36" s="9"/>
      <c r="B36" s="9"/>
      <c r="C36" s="9"/>
      <c r="D36" s="9"/>
      <c r="E36" s="9"/>
      <c r="F36" s="9"/>
      <c r="G36" s="9"/>
      <c r="H36" s="9"/>
      <c r="I36" s="9"/>
      <c r="J36" s="9"/>
      <c r="K36" s="9"/>
      <c r="L36" s="9"/>
      <c r="M36" s="9"/>
      <c r="N36" s="9"/>
      <c r="O36" s="9"/>
      <c r="P36" s="9"/>
      <c r="Q36" s="9"/>
      <c r="R36" s="9"/>
      <c r="S36" s="9"/>
      <c r="T36" s="9"/>
      <c r="U36" s="9"/>
      <c r="V36" s="9"/>
      <c r="W36" s="9"/>
      <c r="X36" s="9"/>
      <c r="Y36" s="9"/>
      <c r="Z36" s="9"/>
    </row>
    <row r="37" customFormat="false" ht="15.75" hidden="false" customHeight="false" outlineLevel="0" collapsed="false">
      <c r="A37" s="9"/>
      <c r="B37" s="9"/>
      <c r="C37" s="9"/>
      <c r="D37" s="9"/>
      <c r="E37" s="9"/>
      <c r="F37" s="9"/>
      <c r="G37" s="9"/>
      <c r="H37" s="9"/>
      <c r="I37" s="9"/>
      <c r="J37" s="9"/>
      <c r="K37" s="9"/>
      <c r="L37" s="9"/>
      <c r="M37" s="9"/>
      <c r="N37" s="9"/>
      <c r="O37" s="9"/>
      <c r="P37" s="9"/>
      <c r="Q37" s="9"/>
      <c r="R37" s="9"/>
      <c r="S37" s="9"/>
      <c r="T37" s="9"/>
      <c r="U37" s="9"/>
      <c r="V37" s="9"/>
      <c r="W37" s="9"/>
      <c r="X37" s="9"/>
      <c r="Y37" s="9"/>
      <c r="Z37" s="9"/>
    </row>
    <row r="38" customFormat="false" ht="15.75" hidden="false" customHeight="false" outlineLevel="0" collapsed="false">
      <c r="A38" s="9"/>
      <c r="B38" s="9"/>
      <c r="C38" s="9"/>
      <c r="D38" s="9"/>
      <c r="E38" s="9"/>
      <c r="F38" s="9"/>
      <c r="G38" s="9"/>
      <c r="H38" s="9"/>
      <c r="I38" s="9"/>
      <c r="J38" s="9"/>
      <c r="K38" s="9"/>
      <c r="L38" s="9"/>
      <c r="M38" s="9"/>
      <c r="N38" s="9"/>
      <c r="O38" s="9"/>
      <c r="P38" s="9"/>
      <c r="Q38" s="9"/>
      <c r="R38" s="9"/>
      <c r="S38" s="9"/>
      <c r="T38" s="9"/>
      <c r="U38" s="9"/>
      <c r="V38" s="9"/>
      <c r="W38" s="9"/>
      <c r="X38" s="9"/>
      <c r="Y38" s="9"/>
      <c r="Z38" s="9"/>
    </row>
    <row r="39" customFormat="false" ht="15.75" hidden="false" customHeight="false" outlineLevel="0" collapsed="false">
      <c r="A39" s="9"/>
      <c r="B39" s="9"/>
      <c r="C39" s="9"/>
      <c r="D39" s="9"/>
      <c r="E39" s="9"/>
      <c r="F39" s="9"/>
      <c r="G39" s="9"/>
      <c r="H39" s="9"/>
      <c r="I39" s="9"/>
      <c r="J39" s="9"/>
      <c r="K39" s="9"/>
      <c r="L39" s="9"/>
      <c r="M39" s="9"/>
      <c r="N39" s="9"/>
      <c r="O39" s="9"/>
      <c r="P39" s="9"/>
      <c r="Q39" s="9"/>
      <c r="R39" s="9"/>
      <c r="S39" s="9"/>
      <c r="T39" s="9"/>
      <c r="U39" s="9"/>
      <c r="V39" s="9"/>
      <c r="W39" s="9"/>
      <c r="X39" s="9"/>
      <c r="Y39" s="9"/>
      <c r="Z39" s="9"/>
    </row>
    <row r="40" customFormat="false" ht="15.75" hidden="false" customHeight="false" outlineLevel="0" collapsed="false">
      <c r="A40" s="9"/>
      <c r="B40" s="9"/>
      <c r="C40" s="9"/>
      <c r="D40" s="9"/>
      <c r="E40" s="9"/>
      <c r="F40" s="9"/>
      <c r="G40" s="9"/>
      <c r="H40" s="9"/>
      <c r="I40" s="9"/>
      <c r="J40" s="9"/>
      <c r="K40" s="9"/>
      <c r="L40" s="9"/>
      <c r="M40" s="9"/>
      <c r="N40" s="9"/>
      <c r="O40" s="9"/>
      <c r="P40" s="9"/>
      <c r="Q40" s="9"/>
      <c r="R40" s="9"/>
      <c r="S40" s="9"/>
      <c r="T40" s="9"/>
      <c r="U40" s="9"/>
      <c r="V40" s="9"/>
      <c r="W40" s="9"/>
      <c r="X40" s="9"/>
      <c r="Y40" s="9"/>
      <c r="Z40" s="9"/>
    </row>
    <row r="41" customFormat="false" ht="15.75" hidden="false" customHeight="false" outlineLevel="0" collapsed="false">
      <c r="A41" s="9"/>
      <c r="B41" s="9"/>
      <c r="C41" s="9"/>
      <c r="D41" s="9"/>
      <c r="E41" s="9"/>
      <c r="F41" s="9"/>
      <c r="G41" s="9"/>
      <c r="H41" s="9"/>
      <c r="I41" s="9"/>
      <c r="J41" s="9"/>
      <c r="K41" s="9"/>
      <c r="L41" s="9"/>
      <c r="M41" s="9"/>
      <c r="N41" s="9"/>
      <c r="O41" s="9"/>
      <c r="P41" s="9"/>
      <c r="Q41" s="9"/>
      <c r="R41" s="9"/>
      <c r="S41" s="9"/>
      <c r="T41" s="9"/>
      <c r="U41" s="9"/>
      <c r="V41" s="9"/>
      <c r="W41" s="9"/>
      <c r="X41" s="9"/>
      <c r="Y41" s="9"/>
      <c r="Z41" s="9"/>
    </row>
    <row r="42" customFormat="false" ht="15.75" hidden="false" customHeight="false" outlineLevel="0" collapsed="false">
      <c r="A42" s="9"/>
      <c r="B42" s="9"/>
      <c r="C42" s="9"/>
      <c r="D42" s="9"/>
      <c r="E42" s="9"/>
      <c r="F42" s="9"/>
      <c r="G42" s="9"/>
      <c r="H42" s="9"/>
      <c r="I42" s="9"/>
      <c r="J42" s="9"/>
      <c r="K42" s="9"/>
      <c r="L42" s="9"/>
      <c r="M42" s="9"/>
      <c r="N42" s="9"/>
      <c r="O42" s="9"/>
      <c r="P42" s="9"/>
      <c r="Q42" s="9"/>
      <c r="R42" s="9"/>
      <c r="S42" s="9"/>
      <c r="T42" s="9"/>
      <c r="U42" s="9"/>
      <c r="V42" s="9"/>
      <c r="W42" s="9"/>
      <c r="X42" s="9"/>
      <c r="Y42" s="9"/>
      <c r="Z42" s="9"/>
    </row>
    <row r="43" customFormat="false" ht="15.75" hidden="false" customHeight="false" outlineLevel="0" collapsed="false">
      <c r="A43" s="9"/>
      <c r="B43" s="9"/>
      <c r="C43" s="9"/>
      <c r="D43" s="9"/>
      <c r="E43" s="9"/>
      <c r="F43" s="9"/>
      <c r="G43" s="9"/>
      <c r="H43" s="9"/>
      <c r="I43" s="9"/>
      <c r="J43" s="9"/>
      <c r="K43" s="9"/>
      <c r="L43" s="9"/>
      <c r="M43" s="9"/>
      <c r="N43" s="9"/>
      <c r="O43" s="9"/>
      <c r="P43" s="9"/>
      <c r="Q43" s="9"/>
      <c r="R43" s="9"/>
      <c r="S43" s="9"/>
      <c r="T43" s="9"/>
      <c r="U43" s="9"/>
      <c r="V43" s="9"/>
      <c r="W43" s="9"/>
      <c r="X43" s="9"/>
      <c r="Y43" s="9"/>
      <c r="Z43" s="9"/>
    </row>
    <row r="44" customFormat="false" ht="15.75" hidden="false" customHeight="false" outlineLevel="0" collapsed="false">
      <c r="A44" s="9"/>
      <c r="B44" s="9"/>
      <c r="C44" s="9"/>
      <c r="D44" s="9"/>
      <c r="E44" s="9"/>
      <c r="F44" s="9"/>
      <c r="G44" s="9"/>
      <c r="H44" s="9"/>
      <c r="I44" s="9"/>
      <c r="J44" s="9"/>
      <c r="K44" s="9"/>
      <c r="L44" s="9"/>
      <c r="M44" s="9"/>
      <c r="N44" s="9"/>
      <c r="O44" s="9"/>
      <c r="P44" s="9"/>
      <c r="Q44" s="9"/>
      <c r="R44" s="9"/>
      <c r="S44" s="9"/>
      <c r="T44" s="9"/>
      <c r="U44" s="9"/>
      <c r="V44" s="9"/>
      <c r="W44" s="9"/>
      <c r="X44" s="9"/>
      <c r="Y44" s="9"/>
      <c r="Z44" s="9"/>
    </row>
    <row r="45" customFormat="false" ht="15.75" hidden="false" customHeight="false" outlineLevel="0" collapsed="false">
      <c r="A45" s="9"/>
      <c r="B45" s="9"/>
      <c r="C45" s="9"/>
      <c r="D45" s="9"/>
      <c r="E45" s="9"/>
      <c r="F45" s="9"/>
      <c r="G45" s="9"/>
      <c r="H45" s="9"/>
      <c r="I45" s="9"/>
      <c r="J45" s="9"/>
      <c r="K45" s="9"/>
      <c r="L45" s="9"/>
      <c r="M45" s="9"/>
      <c r="N45" s="9"/>
      <c r="O45" s="9"/>
      <c r="P45" s="9"/>
      <c r="Q45" s="9"/>
      <c r="R45" s="9"/>
      <c r="S45" s="9"/>
      <c r="T45" s="9"/>
      <c r="U45" s="9"/>
      <c r="V45" s="9"/>
      <c r="W45" s="9"/>
      <c r="X45" s="9"/>
      <c r="Y45" s="9"/>
      <c r="Z45" s="9"/>
    </row>
    <row r="46" customFormat="false" ht="15.75" hidden="false" customHeight="false" outlineLevel="0" collapsed="false">
      <c r="A46" s="9"/>
      <c r="B46" s="9"/>
      <c r="C46" s="9"/>
      <c r="D46" s="9"/>
      <c r="E46" s="9"/>
      <c r="F46" s="9"/>
      <c r="G46" s="9"/>
      <c r="H46" s="9"/>
      <c r="I46" s="9"/>
      <c r="J46" s="9"/>
      <c r="K46" s="9"/>
      <c r="L46" s="9"/>
      <c r="M46" s="9"/>
      <c r="N46" s="9"/>
      <c r="O46" s="9"/>
      <c r="P46" s="9"/>
      <c r="Q46" s="9"/>
      <c r="R46" s="9"/>
      <c r="S46" s="9"/>
      <c r="T46" s="9"/>
      <c r="U46" s="9"/>
      <c r="V46" s="9"/>
      <c r="W46" s="9"/>
      <c r="X46" s="9"/>
      <c r="Y46" s="9"/>
      <c r="Z46" s="9"/>
    </row>
    <row r="47" customFormat="false" ht="15.75" hidden="false" customHeight="false" outlineLevel="0" collapsed="false">
      <c r="A47" s="9"/>
      <c r="B47" s="9"/>
      <c r="C47" s="9"/>
      <c r="D47" s="9"/>
      <c r="E47" s="9"/>
      <c r="F47" s="9"/>
      <c r="G47" s="9"/>
      <c r="H47" s="9"/>
      <c r="I47" s="9"/>
      <c r="J47" s="9"/>
      <c r="K47" s="9"/>
      <c r="L47" s="9"/>
      <c r="M47" s="9"/>
      <c r="N47" s="9"/>
      <c r="O47" s="9"/>
      <c r="P47" s="9"/>
      <c r="Q47" s="9"/>
      <c r="R47" s="9"/>
      <c r="S47" s="9"/>
      <c r="T47" s="9"/>
      <c r="U47" s="9"/>
      <c r="V47" s="9"/>
      <c r="W47" s="9"/>
      <c r="X47" s="9"/>
      <c r="Y47" s="9"/>
      <c r="Z47" s="9"/>
    </row>
    <row r="48" customFormat="false" ht="15.75" hidden="false" customHeight="false" outlineLevel="0" collapsed="false">
      <c r="A48" s="9"/>
      <c r="B48" s="9"/>
      <c r="C48" s="9"/>
      <c r="D48" s="9"/>
      <c r="E48" s="9"/>
      <c r="F48" s="9"/>
      <c r="G48" s="9"/>
      <c r="H48" s="9"/>
      <c r="I48" s="9"/>
      <c r="J48" s="9"/>
      <c r="K48" s="9"/>
      <c r="L48" s="9"/>
      <c r="M48" s="9"/>
      <c r="N48" s="9"/>
      <c r="O48" s="9"/>
      <c r="P48" s="9"/>
      <c r="Q48" s="9"/>
      <c r="R48" s="9"/>
      <c r="S48" s="9"/>
      <c r="T48" s="9"/>
      <c r="U48" s="9"/>
      <c r="V48" s="9"/>
      <c r="W48" s="9"/>
      <c r="X48" s="9"/>
      <c r="Y48" s="9"/>
      <c r="Z48" s="9"/>
    </row>
    <row r="49" customFormat="false" ht="15.75" hidden="false" customHeight="false" outlineLevel="0" collapsed="false">
      <c r="A49" s="9"/>
      <c r="B49" s="9"/>
      <c r="C49" s="9"/>
      <c r="D49" s="9"/>
      <c r="E49" s="9"/>
      <c r="F49" s="9"/>
      <c r="G49" s="9"/>
      <c r="H49" s="9"/>
      <c r="I49" s="9"/>
      <c r="J49" s="9"/>
      <c r="K49" s="9"/>
      <c r="L49" s="9"/>
      <c r="M49" s="9"/>
      <c r="N49" s="9"/>
      <c r="O49" s="9"/>
      <c r="P49" s="9"/>
      <c r="Q49" s="9"/>
      <c r="R49" s="9"/>
      <c r="S49" s="9"/>
      <c r="T49" s="9"/>
      <c r="U49" s="9"/>
      <c r="V49" s="9"/>
      <c r="W49" s="9"/>
      <c r="X49" s="9"/>
      <c r="Y49" s="9"/>
      <c r="Z49" s="9"/>
    </row>
    <row r="50" customFormat="false" ht="15.75" hidden="false" customHeight="false" outlineLevel="0" collapsed="false">
      <c r="A50" s="9"/>
      <c r="B50" s="9"/>
      <c r="C50" s="9"/>
      <c r="D50" s="9"/>
      <c r="E50" s="9"/>
      <c r="F50" s="9"/>
      <c r="G50" s="9"/>
      <c r="H50" s="9"/>
      <c r="I50" s="9"/>
      <c r="J50" s="9"/>
      <c r="K50" s="9"/>
      <c r="L50" s="9"/>
      <c r="M50" s="9"/>
      <c r="N50" s="9"/>
      <c r="O50" s="9"/>
      <c r="P50" s="9"/>
      <c r="Q50" s="9"/>
      <c r="R50" s="9"/>
      <c r="S50" s="9"/>
      <c r="T50" s="9"/>
      <c r="U50" s="9"/>
      <c r="V50" s="9"/>
      <c r="W50" s="9"/>
      <c r="X50" s="9"/>
      <c r="Y50" s="9"/>
      <c r="Z50" s="9"/>
    </row>
    <row r="51" customFormat="false" ht="15.75" hidden="false" customHeight="false" outlineLevel="0" collapsed="false">
      <c r="A51" s="9"/>
      <c r="B51" s="9"/>
      <c r="C51" s="9"/>
      <c r="D51" s="9"/>
      <c r="E51" s="9"/>
      <c r="F51" s="9"/>
      <c r="G51" s="9"/>
      <c r="H51" s="9"/>
      <c r="I51" s="9"/>
      <c r="J51" s="9"/>
      <c r="K51" s="9"/>
      <c r="L51" s="9"/>
      <c r="M51" s="9"/>
      <c r="N51" s="9"/>
      <c r="O51" s="9"/>
      <c r="P51" s="9"/>
      <c r="Q51" s="9"/>
      <c r="R51" s="9"/>
      <c r="S51" s="9"/>
      <c r="T51" s="9"/>
      <c r="U51" s="9"/>
      <c r="V51" s="9"/>
      <c r="W51" s="9"/>
      <c r="X51" s="9"/>
      <c r="Y51" s="9"/>
      <c r="Z51" s="9"/>
    </row>
    <row r="52" customFormat="false" ht="15.75" hidden="false" customHeight="false" outlineLevel="0" collapsed="false">
      <c r="A52" s="9"/>
      <c r="B52" s="9"/>
      <c r="C52" s="9"/>
      <c r="D52" s="9"/>
      <c r="E52" s="9"/>
      <c r="F52" s="9"/>
      <c r="G52" s="9"/>
      <c r="H52" s="9"/>
      <c r="I52" s="9"/>
      <c r="J52" s="9"/>
      <c r="K52" s="9"/>
      <c r="L52" s="9"/>
      <c r="M52" s="9"/>
      <c r="N52" s="9"/>
      <c r="O52" s="9"/>
      <c r="P52" s="9"/>
      <c r="Q52" s="9"/>
      <c r="R52" s="9"/>
      <c r="S52" s="9"/>
      <c r="T52" s="9"/>
      <c r="U52" s="9"/>
      <c r="V52" s="9"/>
      <c r="W52" s="9"/>
      <c r="X52" s="9"/>
      <c r="Y52" s="9"/>
      <c r="Z52" s="9"/>
    </row>
    <row r="53" customFormat="false" ht="15.75" hidden="false" customHeight="false" outlineLevel="0" collapsed="false">
      <c r="A53" s="9"/>
      <c r="B53" s="9"/>
      <c r="C53" s="9"/>
      <c r="D53" s="9"/>
      <c r="E53" s="9"/>
      <c r="F53" s="9"/>
      <c r="G53" s="9"/>
      <c r="H53" s="9"/>
      <c r="I53" s="9"/>
      <c r="J53" s="9"/>
      <c r="K53" s="9"/>
      <c r="L53" s="9"/>
      <c r="M53" s="9"/>
      <c r="N53" s="9"/>
      <c r="O53" s="9"/>
      <c r="P53" s="9"/>
      <c r="Q53" s="9"/>
      <c r="R53" s="9"/>
      <c r="S53" s="9"/>
      <c r="T53" s="9"/>
      <c r="U53" s="9"/>
      <c r="V53" s="9"/>
      <c r="W53" s="9"/>
      <c r="X53" s="9"/>
      <c r="Y53" s="9"/>
      <c r="Z53" s="9"/>
    </row>
    <row r="54" customFormat="false" ht="15.75" hidden="false" customHeight="false" outlineLevel="0" collapsed="false">
      <c r="A54" s="9"/>
      <c r="B54" s="9"/>
      <c r="C54" s="9"/>
      <c r="D54" s="9"/>
      <c r="E54" s="9"/>
      <c r="F54" s="9"/>
      <c r="G54" s="9"/>
      <c r="H54" s="9"/>
      <c r="I54" s="9"/>
      <c r="J54" s="9"/>
      <c r="K54" s="9"/>
      <c r="L54" s="9"/>
      <c r="M54" s="9"/>
      <c r="N54" s="9"/>
      <c r="O54" s="9"/>
      <c r="P54" s="9"/>
      <c r="Q54" s="9"/>
      <c r="R54" s="9"/>
      <c r="S54" s="9"/>
      <c r="T54" s="9"/>
      <c r="U54" s="9"/>
      <c r="V54" s="9"/>
      <c r="W54" s="9"/>
      <c r="X54" s="9"/>
      <c r="Y54" s="9"/>
      <c r="Z54" s="9"/>
    </row>
    <row r="55" customFormat="false" ht="15.75" hidden="false" customHeight="false" outlineLevel="0" collapsed="false">
      <c r="A55" s="9"/>
      <c r="B55" s="9"/>
      <c r="C55" s="9"/>
      <c r="D55" s="9"/>
      <c r="E55" s="9"/>
      <c r="F55" s="9"/>
      <c r="G55" s="9"/>
      <c r="H55" s="9"/>
      <c r="I55" s="9"/>
      <c r="J55" s="9"/>
      <c r="K55" s="9"/>
      <c r="L55" s="9"/>
      <c r="M55" s="9"/>
      <c r="N55" s="9"/>
      <c r="O55" s="9"/>
      <c r="P55" s="9"/>
      <c r="Q55" s="9"/>
      <c r="R55" s="9"/>
      <c r="S55" s="9"/>
      <c r="T55" s="9"/>
      <c r="U55" s="9"/>
      <c r="V55" s="9"/>
      <c r="W55" s="9"/>
      <c r="X55" s="9"/>
      <c r="Y55" s="9"/>
      <c r="Z55" s="9"/>
    </row>
    <row r="56" customFormat="false" ht="15.75" hidden="false" customHeight="false" outlineLevel="0" collapsed="false">
      <c r="A56" s="9"/>
      <c r="B56" s="9"/>
      <c r="C56" s="9"/>
      <c r="D56" s="9"/>
      <c r="E56" s="9"/>
      <c r="F56" s="9"/>
      <c r="G56" s="9"/>
      <c r="H56" s="9"/>
      <c r="I56" s="9"/>
      <c r="J56" s="9"/>
      <c r="K56" s="9"/>
      <c r="L56" s="9"/>
      <c r="M56" s="9"/>
      <c r="N56" s="9"/>
      <c r="O56" s="9"/>
      <c r="P56" s="9"/>
      <c r="Q56" s="9"/>
      <c r="R56" s="9"/>
      <c r="S56" s="9"/>
      <c r="T56" s="9"/>
      <c r="U56" s="9"/>
      <c r="V56" s="9"/>
      <c r="W56" s="9"/>
      <c r="X56" s="9"/>
      <c r="Y56" s="9"/>
      <c r="Z56" s="9"/>
    </row>
    <row r="57" customFormat="false" ht="15.75" hidden="false" customHeight="false" outlineLevel="0" collapsed="false">
      <c r="A57" s="9"/>
      <c r="B57" s="9"/>
      <c r="C57" s="9"/>
      <c r="D57" s="9"/>
      <c r="E57" s="9"/>
      <c r="F57" s="9"/>
      <c r="G57" s="9"/>
      <c r="H57" s="9"/>
      <c r="I57" s="9"/>
      <c r="J57" s="9"/>
      <c r="K57" s="9"/>
      <c r="L57" s="9"/>
      <c r="M57" s="9"/>
      <c r="N57" s="9"/>
      <c r="O57" s="9"/>
      <c r="P57" s="9"/>
      <c r="Q57" s="9"/>
      <c r="R57" s="9"/>
      <c r="S57" s="9"/>
      <c r="T57" s="9"/>
      <c r="U57" s="9"/>
      <c r="V57" s="9"/>
      <c r="W57" s="9"/>
      <c r="X57" s="9"/>
      <c r="Y57" s="9"/>
      <c r="Z57" s="9"/>
    </row>
    <row r="58" customFormat="false" ht="15.75" hidden="false" customHeight="false" outlineLevel="0" collapsed="false">
      <c r="A58" s="9"/>
      <c r="B58" s="9"/>
      <c r="C58" s="9"/>
      <c r="D58" s="9"/>
      <c r="E58" s="9"/>
      <c r="F58" s="9"/>
      <c r="G58" s="9"/>
      <c r="H58" s="9"/>
      <c r="I58" s="9"/>
      <c r="J58" s="9"/>
      <c r="K58" s="9"/>
      <c r="L58" s="9"/>
      <c r="M58" s="9"/>
      <c r="N58" s="9"/>
      <c r="O58" s="9"/>
      <c r="P58" s="9"/>
      <c r="Q58" s="9"/>
      <c r="R58" s="9"/>
      <c r="S58" s="9"/>
      <c r="T58" s="9"/>
      <c r="U58" s="9"/>
      <c r="V58" s="9"/>
      <c r="W58" s="9"/>
      <c r="X58" s="9"/>
      <c r="Y58" s="9"/>
      <c r="Z58" s="9"/>
    </row>
    <row r="59" customFormat="false" ht="15.75" hidden="false" customHeight="false" outlineLevel="0" collapsed="false">
      <c r="A59" s="9"/>
      <c r="B59" s="9"/>
      <c r="C59" s="9"/>
      <c r="D59" s="9"/>
      <c r="E59" s="9"/>
      <c r="F59" s="9"/>
      <c r="G59" s="9"/>
      <c r="H59" s="9"/>
      <c r="I59" s="9"/>
      <c r="J59" s="9"/>
      <c r="K59" s="9"/>
      <c r="L59" s="9"/>
      <c r="M59" s="9"/>
      <c r="N59" s="9"/>
      <c r="O59" s="9"/>
      <c r="P59" s="9"/>
      <c r="Q59" s="9"/>
      <c r="R59" s="9"/>
      <c r="S59" s="9"/>
      <c r="T59" s="9"/>
      <c r="U59" s="9"/>
      <c r="V59" s="9"/>
      <c r="W59" s="9"/>
      <c r="X59" s="9"/>
      <c r="Y59" s="9"/>
      <c r="Z59" s="9"/>
    </row>
    <row r="60" customFormat="false" ht="15.75" hidden="false" customHeight="false" outlineLevel="0" collapsed="false">
      <c r="A60" s="9"/>
      <c r="B60" s="9"/>
      <c r="C60" s="9"/>
      <c r="D60" s="9"/>
      <c r="E60" s="9"/>
      <c r="F60" s="9"/>
      <c r="G60" s="9"/>
      <c r="H60" s="9"/>
      <c r="I60" s="9"/>
      <c r="J60" s="9"/>
      <c r="K60" s="9"/>
      <c r="L60" s="9"/>
      <c r="M60" s="9"/>
      <c r="N60" s="9"/>
      <c r="O60" s="9"/>
      <c r="P60" s="9"/>
      <c r="Q60" s="9"/>
      <c r="R60" s="9"/>
      <c r="S60" s="9"/>
      <c r="T60" s="9"/>
      <c r="U60" s="9"/>
      <c r="V60" s="9"/>
      <c r="W60" s="9"/>
      <c r="X60" s="9"/>
      <c r="Y60" s="9"/>
      <c r="Z60" s="9"/>
    </row>
    <row r="61" customFormat="false" ht="15.75" hidden="false" customHeight="false" outlineLevel="0" collapsed="false">
      <c r="A61" s="9"/>
      <c r="B61" s="9"/>
      <c r="C61" s="9"/>
      <c r="D61" s="9"/>
      <c r="E61" s="9"/>
      <c r="F61" s="9"/>
      <c r="G61" s="9"/>
      <c r="H61" s="9"/>
      <c r="I61" s="9"/>
      <c r="J61" s="9"/>
      <c r="K61" s="9"/>
      <c r="L61" s="9"/>
      <c r="M61" s="9"/>
      <c r="N61" s="9"/>
      <c r="O61" s="9"/>
      <c r="P61" s="9"/>
      <c r="Q61" s="9"/>
      <c r="R61" s="9"/>
      <c r="S61" s="9"/>
      <c r="T61" s="9"/>
      <c r="U61" s="9"/>
      <c r="V61" s="9"/>
      <c r="W61" s="9"/>
      <c r="X61" s="9"/>
      <c r="Y61" s="9"/>
      <c r="Z61" s="9"/>
    </row>
    <row r="62" customFormat="false" ht="15.75" hidden="false" customHeight="false" outlineLevel="0" collapsed="false">
      <c r="A62" s="9"/>
      <c r="B62" s="9"/>
      <c r="C62" s="9"/>
      <c r="D62" s="9"/>
      <c r="E62" s="9"/>
      <c r="F62" s="9"/>
      <c r="G62" s="9"/>
      <c r="H62" s="9"/>
      <c r="I62" s="9"/>
      <c r="J62" s="9"/>
      <c r="K62" s="9"/>
      <c r="L62" s="9"/>
      <c r="M62" s="9"/>
      <c r="N62" s="9"/>
      <c r="O62" s="9"/>
      <c r="P62" s="9"/>
      <c r="Q62" s="9"/>
      <c r="R62" s="9"/>
      <c r="S62" s="9"/>
      <c r="T62" s="9"/>
      <c r="U62" s="9"/>
      <c r="V62" s="9"/>
      <c r="W62" s="9"/>
      <c r="X62" s="9"/>
      <c r="Y62" s="9"/>
      <c r="Z62" s="9"/>
    </row>
    <row r="63" customFormat="false" ht="15.75" hidden="false" customHeight="false" outlineLevel="0" collapsed="false">
      <c r="A63" s="9"/>
      <c r="B63" s="9"/>
      <c r="C63" s="9"/>
      <c r="D63" s="9"/>
      <c r="E63" s="9"/>
      <c r="F63" s="9"/>
      <c r="G63" s="9"/>
      <c r="H63" s="9"/>
      <c r="I63" s="9"/>
      <c r="J63" s="9"/>
      <c r="K63" s="9"/>
      <c r="L63" s="9"/>
      <c r="M63" s="9"/>
      <c r="N63" s="9"/>
      <c r="O63" s="9"/>
      <c r="P63" s="9"/>
      <c r="Q63" s="9"/>
      <c r="R63" s="9"/>
      <c r="S63" s="9"/>
      <c r="T63" s="9"/>
      <c r="U63" s="9"/>
      <c r="V63" s="9"/>
      <c r="W63" s="9"/>
      <c r="X63" s="9"/>
      <c r="Y63" s="9"/>
      <c r="Z63" s="9"/>
    </row>
    <row r="64" customFormat="false" ht="15.75" hidden="false" customHeight="false" outlineLevel="0" collapsed="false">
      <c r="A64" s="9"/>
      <c r="B64" s="9"/>
      <c r="C64" s="9"/>
      <c r="D64" s="9"/>
      <c r="E64" s="9"/>
      <c r="F64" s="9"/>
      <c r="G64" s="9"/>
      <c r="H64" s="9"/>
      <c r="I64" s="9"/>
      <c r="J64" s="9"/>
      <c r="K64" s="9"/>
      <c r="L64" s="9"/>
      <c r="M64" s="9"/>
      <c r="N64" s="9"/>
      <c r="O64" s="9"/>
      <c r="P64" s="9"/>
      <c r="Q64" s="9"/>
      <c r="R64" s="9"/>
      <c r="S64" s="9"/>
      <c r="T64" s="9"/>
      <c r="U64" s="9"/>
      <c r="V64" s="9"/>
      <c r="W64" s="9"/>
      <c r="X64" s="9"/>
      <c r="Y64" s="9"/>
      <c r="Z64" s="9"/>
    </row>
    <row r="65" customFormat="false" ht="15.75" hidden="false" customHeight="false" outlineLevel="0" collapsed="false">
      <c r="A65" s="9"/>
      <c r="B65" s="9"/>
      <c r="C65" s="9"/>
      <c r="D65" s="9"/>
      <c r="E65" s="9"/>
      <c r="F65" s="9"/>
      <c r="G65" s="9"/>
      <c r="H65" s="9"/>
      <c r="I65" s="9"/>
      <c r="J65" s="9"/>
      <c r="K65" s="9"/>
      <c r="L65" s="9"/>
      <c r="M65" s="9"/>
      <c r="N65" s="9"/>
      <c r="O65" s="9"/>
      <c r="P65" s="9"/>
      <c r="Q65" s="9"/>
      <c r="R65" s="9"/>
      <c r="S65" s="9"/>
      <c r="T65" s="9"/>
      <c r="U65" s="9"/>
      <c r="V65" s="9"/>
      <c r="W65" s="9"/>
      <c r="X65" s="9"/>
      <c r="Y65" s="9"/>
      <c r="Z65" s="9"/>
    </row>
    <row r="66" customFormat="false" ht="15.75" hidden="false" customHeight="false" outlineLevel="0" collapsed="false">
      <c r="A66" s="9"/>
      <c r="B66" s="9"/>
      <c r="C66" s="9"/>
      <c r="D66" s="9"/>
      <c r="E66" s="9"/>
      <c r="F66" s="9"/>
      <c r="G66" s="9"/>
      <c r="H66" s="9"/>
      <c r="I66" s="9"/>
      <c r="J66" s="9"/>
      <c r="K66" s="9"/>
      <c r="L66" s="9"/>
      <c r="M66" s="9"/>
      <c r="N66" s="9"/>
      <c r="O66" s="9"/>
      <c r="P66" s="9"/>
      <c r="Q66" s="9"/>
      <c r="R66" s="9"/>
      <c r="S66" s="9"/>
      <c r="T66" s="9"/>
      <c r="U66" s="9"/>
      <c r="V66" s="9"/>
      <c r="W66" s="9"/>
      <c r="X66" s="9"/>
      <c r="Y66" s="9"/>
      <c r="Z66" s="9"/>
    </row>
    <row r="67" customFormat="false" ht="15.75" hidden="false" customHeight="false" outlineLevel="0" collapsed="false">
      <c r="A67" s="9"/>
      <c r="B67" s="9"/>
      <c r="C67" s="9"/>
      <c r="D67" s="9"/>
      <c r="E67" s="9"/>
      <c r="F67" s="9"/>
      <c r="G67" s="9"/>
      <c r="H67" s="9"/>
      <c r="I67" s="9"/>
      <c r="J67" s="9"/>
      <c r="K67" s="9"/>
      <c r="L67" s="9"/>
      <c r="M67" s="9"/>
      <c r="N67" s="9"/>
      <c r="O67" s="9"/>
      <c r="P67" s="9"/>
      <c r="Q67" s="9"/>
      <c r="R67" s="9"/>
      <c r="S67" s="9"/>
      <c r="T67" s="9"/>
      <c r="U67" s="9"/>
      <c r="V67" s="9"/>
      <c r="W67" s="9"/>
      <c r="X67" s="9"/>
      <c r="Y67" s="9"/>
      <c r="Z67" s="9"/>
    </row>
    <row r="68" customFormat="false" ht="15.75" hidden="false" customHeight="false" outlineLevel="0" collapsed="false">
      <c r="A68" s="9"/>
      <c r="B68" s="9"/>
      <c r="C68" s="9"/>
      <c r="D68" s="9"/>
      <c r="E68" s="9"/>
      <c r="F68" s="9"/>
      <c r="G68" s="9"/>
      <c r="H68" s="9"/>
      <c r="I68" s="9"/>
      <c r="J68" s="9"/>
      <c r="K68" s="9"/>
      <c r="L68" s="9"/>
      <c r="M68" s="9"/>
      <c r="N68" s="9"/>
      <c r="O68" s="9"/>
      <c r="P68" s="9"/>
      <c r="Q68" s="9"/>
      <c r="R68" s="9"/>
      <c r="S68" s="9"/>
      <c r="T68" s="9"/>
      <c r="U68" s="9"/>
      <c r="V68" s="9"/>
      <c r="W68" s="9"/>
      <c r="X68" s="9"/>
      <c r="Y68" s="9"/>
      <c r="Z68" s="9"/>
    </row>
    <row r="69" customFormat="false" ht="15.75" hidden="false" customHeight="false" outlineLevel="0" collapsed="false">
      <c r="A69" s="9"/>
      <c r="B69" s="9"/>
      <c r="C69" s="9"/>
      <c r="D69" s="9"/>
      <c r="E69" s="9"/>
      <c r="F69" s="9"/>
      <c r="G69" s="9"/>
      <c r="H69" s="9"/>
      <c r="I69" s="9"/>
      <c r="J69" s="9"/>
      <c r="K69" s="9"/>
      <c r="L69" s="9"/>
      <c r="M69" s="9"/>
      <c r="N69" s="9"/>
      <c r="O69" s="9"/>
      <c r="P69" s="9"/>
      <c r="Q69" s="9"/>
      <c r="R69" s="9"/>
      <c r="S69" s="9"/>
      <c r="T69" s="9"/>
      <c r="U69" s="9"/>
      <c r="V69" s="9"/>
      <c r="W69" s="9"/>
      <c r="X69" s="9"/>
      <c r="Y69" s="9"/>
      <c r="Z69" s="9"/>
    </row>
    <row r="70" customFormat="false" ht="15.75" hidden="false" customHeight="false" outlineLevel="0" collapsed="false">
      <c r="A70" s="9"/>
      <c r="B70" s="9"/>
      <c r="C70" s="9"/>
      <c r="D70" s="9"/>
      <c r="E70" s="9"/>
      <c r="F70" s="9"/>
      <c r="G70" s="9"/>
      <c r="H70" s="9"/>
      <c r="I70" s="9"/>
      <c r="J70" s="9"/>
      <c r="K70" s="9"/>
      <c r="L70" s="9"/>
      <c r="M70" s="9"/>
      <c r="N70" s="9"/>
      <c r="O70" s="9"/>
      <c r="P70" s="9"/>
      <c r="Q70" s="9"/>
      <c r="R70" s="9"/>
      <c r="S70" s="9"/>
      <c r="T70" s="9"/>
      <c r="U70" s="9"/>
      <c r="V70" s="9"/>
      <c r="W70" s="9"/>
      <c r="X70" s="9"/>
      <c r="Y70" s="9"/>
      <c r="Z70" s="9"/>
    </row>
    <row r="71" customFormat="false" ht="15.75" hidden="false" customHeight="false" outlineLevel="0" collapsed="false">
      <c r="A71" s="9"/>
      <c r="B71" s="9"/>
      <c r="C71" s="9"/>
      <c r="D71" s="9"/>
      <c r="E71" s="9"/>
      <c r="F71" s="9"/>
      <c r="G71" s="9"/>
      <c r="H71" s="9"/>
      <c r="I71" s="9"/>
      <c r="J71" s="9"/>
      <c r="K71" s="9"/>
      <c r="L71" s="9"/>
      <c r="M71" s="9"/>
      <c r="N71" s="9"/>
      <c r="O71" s="9"/>
      <c r="P71" s="9"/>
      <c r="Q71" s="9"/>
      <c r="R71" s="9"/>
      <c r="S71" s="9"/>
      <c r="T71" s="9"/>
      <c r="U71" s="9"/>
      <c r="V71" s="9"/>
      <c r="W71" s="9"/>
      <c r="X71" s="9"/>
      <c r="Y71" s="9"/>
      <c r="Z71" s="9"/>
    </row>
    <row r="72" customFormat="false" ht="15.75" hidden="false" customHeight="false" outlineLevel="0" collapsed="false">
      <c r="A72" s="9"/>
      <c r="B72" s="9"/>
      <c r="C72" s="9"/>
      <c r="D72" s="9"/>
      <c r="E72" s="9"/>
      <c r="F72" s="9"/>
      <c r="G72" s="9"/>
      <c r="H72" s="9"/>
      <c r="I72" s="9"/>
      <c r="J72" s="9"/>
      <c r="K72" s="9"/>
      <c r="L72" s="9"/>
      <c r="M72" s="9"/>
      <c r="N72" s="9"/>
      <c r="O72" s="9"/>
      <c r="P72" s="9"/>
      <c r="Q72" s="9"/>
      <c r="R72" s="9"/>
      <c r="S72" s="9"/>
      <c r="T72" s="9"/>
      <c r="U72" s="9"/>
      <c r="V72" s="9"/>
      <c r="W72" s="9"/>
      <c r="X72" s="9"/>
      <c r="Y72" s="9"/>
      <c r="Z72" s="9"/>
    </row>
    <row r="73" customFormat="false" ht="15.75" hidden="false" customHeight="false" outlineLevel="0" collapsed="false">
      <c r="A73" s="9"/>
      <c r="B73" s="9"/>
      <c r="C73" s="9"/>
      <c r="D73" s="9"/>
      <c r="E73" s="9"/>
      <c r="F73" s="9"/>
      <c r="G73" s="9"/>
      <c r="H73" s="9"/>
      <c r="I73" s="9"/>
      <c r="J73" s="9"/>
      <c r="K73" s="9"/>
      <c r="L73" s="9"/>
      <c r="M73" s="9"/>
      <c r="N73" s="9"/>
      <c r="O73" s="9"/>
      <c r="P73" s="9"/>
      <c r="Q73" s="9"/>
      <c r="R73" s="9"/>
      <c r="S73" s="9"/>
      <c r="T73" s="9"/>
      <c r="U73" s="9"/>
      <c r="V73" s="9"/>
      <c r="W73" s="9"/>
      <c r="X73" s="9"/>
      <c r="Y73" s="9"/>
      <c r="Z73" s="9"/>
    </row>
    <row r="74" customFormat="false" ht="15.75" hidden="false" customHeight="false" outlineLevel="0" collapsed="false">
      <c r="A74" s="9"/>
      <c r="B74" s="9"/>
      <c r="C74" s="9"/>
      <c r="D74" s="9"/>
      <c r="E74" s="9"/>
      <c r="F74" s="9"/>
      <c r="G74" s="9"/>
      <c r="H74" s="9"/>
      <c r="I74" s="9"/>
      <c r="J74" s="9"/>
      <c r="K74" s="9"/>
      <c r="L74" s="9"/>
      <c r="M74" s="9"/>
      <c r="N74" s="9"/>
      <c r="O74" s="9"/>
      <c r="P74" s="9"/>
      <c r="Q74" s="9"/>
      <c r="R74" s="9"/>
      <c r="S74" s="9"/>
      <c r="T74" s="9"/>
      <c r="U74" s="9"/>
      <c r="V74" s="9"/>
      <c r="W74" s="9"/>
      <c r="X74" s="9"/>
      <c r="Y74" s="9"/>
      <c r="Z74" s="9"/>
    </row>
    <row r="75" customFormat="false" ht="15.75" hidden="false" customHeight="false" outlineLevel="0" collapsed="false">
      <c r="A75" s="9"/>
      <c r="B75" s="9"/>
      <c r="C75" s="9"/>
      <c r="D75" s="9"/>
      <c r="E75" s="9"/>
      <c r="F75" s="9"/>
      <c r="G75" s="9"/>
      <c r="H75" s="9"/>
      <c r="I75" s="9"/>
      <c r="J75" s="9"/>
      <c r="K75" s="9"/>
      <c r="L75" s="9"/>
      <c r="M75" s="9"/>
      <c r="N75" s="9"/>
      <c r="O75" s="9"/>
      <c r="P75" s="9"/>
      <c r="Q75" s="9"/>
      <c r="R75" s="9"/>
      <c r="S75" s="9"/>
      <c r="T75" s="9"/>
      <c r="U75" s="9"/>
      <c r="V75" s="9"/>
      <c r="W75" s="9"/>
      <c r="X75" s="9"/>
      <c r="Y75" s="9"/>
      <c r="Z75" s="9"/>
    </row>
    <row r="76" customFormat="false" ht="15.75" hidden="false" customHeight="false" outlineLevel="0" collapsed="false">
      <c r="A76" s="9"/>
      <c r="B76" s="9"/>
      <c r="C76" s="9"/>
      <c r="D76" s="9"/>
      <c r="E76" s="9"/>
      <c r="F76" s="9"/>
      <c r="G76" s="9"/>
      <c r="H76" s="9"/>
      <c r="I76" s="9"/>
      <c r="J76" s="9"/>
      <c r="K76" s="9"/>
      <c r="L76" s="9"/>
      <c r="M76" s="9"/>
      <c r="N76" s="9"/>
      <c r="O76" s="9"/>
      <c r="P76" s="9"/>
      <c r="Q76" s="9"/>
      <c r="R76" s="9"/>
      <c r="S76" s="9"/>
      <c r="T76" s="9"/>
      <c r="U76" s="9"/>
      <c r="V76" s="9"/>
      <c r="W76" s="9"/>
      <c r="X76" s="9"/>
      <c r="Y76" s="9"/>
      <c r="Z76" s="9"/>
    </row>
    <row r="77" customFormat="false" ht="15.75" hidden="false" customHeight="false" outlineLevel="0" collapsed="false">
      <c r="A77" s="9"/>
      <c r="B77" s="9"/>
      <c r="C77" s="9"/>
      <c r="D77" s="9"/>
      <c r="E77" s="9"/>
      <c r="F77" s="9"/>
      <c r="G77" s="9"/>
      <c r="H77" s="9"/>
      <c r="I77" s="9"/>
      <c r="J77" s="9"/>
      <c r="K77" s="9"/>
      <c r="L77" s="9"/>
      <c r="M77" s="9"/>
      <c r="N77" s="9"/>
      <c r="O77" s="9"/>
      <c r="P77" s="9"/>
      <c r="Q77" s="9"/>
      <c r="R77" s="9"/>
      <c r="S77" s="9"/>
      <c r="T77" s="9"/>
      <c r="U77" s="9"/>
      <c r="V77" s="9"/>
      <c r="W77" s="9"/>
      <c r="X77" s="9"/>
      <c r="Y77" s="9"/>
      <c r="Z77" s="9"/>
    </row>
    <row r="78" customFormat="false" ht="15.75" hidden="false" customHeight="false" outlineLevel="0" collapsed="false">
      <c r="A78" s="9"/>
      <c r="B78" s="9"/>
      <c r="C78" s="9"/>
      <c r="D78" s="9"/>
      <c r="E78" s="9"/>
      <c r="F78" s="9"/>
      <c r="G78" s="9"/>
      <c r="H78" s="9"/>
      <c r="I78" s="9"/>
      <c r="J78" s="9"/>
      <c r="K78" s="9"/>
      <c r="L78" s="9"/>
      <c r="M78" s="9"/>
      <c r="N78" s="9"/>
      <c r="O78" s="9"/>
      <c r="P78" s="9"/>
      <c r="Q78" s="9"/>
      <c r="R78" s="9"/>
      <c r="S78" s="9"/>
      <c r="T78" s="9"/>
      <c r="U78" s="9"/>
      <c r="V78" s="9"/>
      <c r="W78" s="9"/>
      <c r="X78" s="9"/>
      <c r="Y78" s="9"/>
      <c r="Z78" s="9"/>
    </row>
    <row r="79" customFormat="false" ht="15.75" hidden="false" customHeight="false" outlineLevel="0" collapsed="false">
      <c r="A79" s="9"/>
      <c r="B79" s="9"/>
      <c r="C79" s="9"/>
      <c r="D79" s="9"/>
      <c r="E79" s="9"/>
      <c r="F79" s="9"/>
      <c r="G79" s="9"/>
      <c r="H79" s="9"/>
      <c r="I79" s="9"/>
      <c r="J79" s="9"/>
      <c r="K79" s="9"/>
      <c r="L79" s="9"/>
      <c r="M79" s="9"/>
      <c r="N79" s="9"/>
      <c r="O79" s="9"/>
      <c r="P79" s="9"/>
      <c r="Q79" s="9"/>
      <c r="R79" s="9"/>
      <c r="S79" s="9"/>
      <c r="T79" s="9"/>
      <c r="U79" s="9"/>
      <c r="V79" s="9"/>
      <c r="W79" s="9"/>
      <c r="X79" s="9"/>
      <c r="Y79" s="9"/>
      <c r="Z79" s="9"/>
    </row>
    <row r="80" customFormat="false" ht="15.75" hidden="false" customHeight="false" outlineLevel="0" collapsed="false">
      <c r="A80" s="9"/>
      <c r="B80" s="9"/>
      <c r="C80" s="9"/>
      <c r="D80" s="9"/>
      <c r="E80" s="9"/>
      <c r="F80" s="9"/>
      <c r="G80" s="9"/>
      <c r="H80" s="9"/>
      <c r="I80" s="9"/>
      <c r="J80" s="9"/>
      <c r="K80" s="9"/>
      <c r="L80" s="9"/>
      <c r="M80" s="9"/>
      <c r="N80" s="9"/>
      <c r="O80" s="9"/>
      <c r="P80" s="9"/>
      <c r="Q80" s="9"/>
      <c r="R80" s="9"/>
      <c r="S80" s="9"/>
      <c r="T80" s="9"/>
      <c r="U80" s="9"/>
      <c r="V80" s="9"/>
      <c r="W80" s="9"/>
      <c r="X80" s="9"/>
      <c r="Y80" s="9"/>
      <c r="Z80" s="9"/>
    </row>
    <row r="81" customFormat="false" ht="15.75" hidden="false" customHeight="false" outlineLevel="0" collapsed="false">
      <c r="A81" s="9"/>
      <c r="B81" s="9"/>
      <c r="C81" s="9"/>
      <c r="D81" s="9"/>
      <c r="E81" s="9"/>
      <c r="F81" s="9"/>
      <c r="G81" s="9"/>
      <c r="H81" s="9"/>
      <c r="I81" s="9"/>
      <c r="J81" s="9"/>
      <c r="K81" s="9"/>
      <c r="L81" s="9"/>
      <c r="M81" s="9"/>
      <c r="N81" s="9"/>
      <c r="O81" s="9"/>
      <c r="P81" s="9"/>
      <c r="Q81" s="9"/>
      <c r="R81" s="9"/>
      <c r="S81" s="9"/>
      <c r="T81" s="9"/>
      <c r="U81" s="9"/>
      <c r="V81" s="9"/>
      <c r="W81" s="9"/>
      <c r="X81" s="9"/>
      <c r="Y81" s="9"/>
      <c r="Z81" s="9"/>
    </row>
    <row r="82" customFormat="false" ht="15.75" hidden="false" customHeight="false" outlineLevel="0" collapsed="false">
      <c r="A82" s="9"/>
      <c r="B82" s="9"/>
      <c r="C82" s="9"/>
      <c r="D82" s="9"/>
      <c r="E82" s="9"/>
      <c r="F82" s="9"/>
      <c r="G82" s="9"/>
      <c r="H82" s="9"/>
      <c r="I82" s="9"/>
      <c r="J82" s="9"/>
      <c r="K82" s="9"/>
      <c r="L82" s="9"/>
      <c r="M82" s="9"/>
      <c r="N82" s="9"/>
      <c r="O82" s="9"/>
      <c r="P82" s="9"/>
      <c r="Q82" s="9"/>
      <c r="R82" s="9"/>
      <c r="S82" s="9"/>
      <c r="T82" s="9"/>
      <c r="U82" s="9"/>
      <c r="V82" s="9"/>
      <c r="W82" s="9"/>
      <c r="X82" s="9"/>
      <c r="Y82" s="9"/>
      <c r="Z82" s="9"/>
    </row>
    <row r="83" customFormat="false" ht="15.75" hidden="false" customHeight="false" outlineLevel="0" collapsed="false">
      <c r="A83" s="9"/>
      <c r="B83" s="9"/>
      <c r="C83" s="9"/>
      <c r="D83" s="9"/>
      <c r="E83" s="9"/>
      <c r="F83" s="9"/>
      <c r="G83" s="9"/>
      <c r="H83" s="9"/>
      <c r="I83" s="9"/>
      <c r="J83" s="9"/>
      <c r="K83" s="9"/>
      <c r="L83" s="9"/>
      <c r="M83" s="9"/>
      <c r="N83" s="9"/>
      <c r="O83" s="9"/>
      <c r="P83" s="9"/>
      <c r="Q83" s="9"/>
      <c r="R83" s="9"/>
      <c r="S83" s="9"/>
      <c r="T83" s="9"/>
      <c r="U83" s="9"/>
      <c r="V83" s="9"/>
      <c r="W83" s="9"/>
      <c r="X83" s="9"/>
      <c r="Y83" s="9"/>
      <c r="Z83" s="9"/>
    </row>
    <row r="84" customFormat="false" ht="15.75" hidden="false" customHeight="false" outlineLevel="0" collapsed="false">
      <c r="A84" s="9"/>
      <c r="B84" s="9"/>
      <c r="C84" s="9"/>
      <c r="D84" s="9"/>
      <c r="E84" s="9"/>
      <c r="F84" s="9"/>
      <c r="G84" s="9"/>
      <c r="H84" s="9"/>
      <c r="I84" s="9"/>
      <c r="J84" s="9"/>
      <c r="K84" s="9"/>
      <c r="L84" s="9"/>
      <c r="M84" s="9"/>
      <c r="N84" s="9"/>
      <c r="O84" s="9"/>
      <c r="P84" s="9"/>
      <c r="Q84" s="9"/>
      <c r="R84" s="9"/>
      <c r="S84" s="9"/>
      <c r="T84" s="9"/>
      <c r="U84" s="9"/>
      <c r="V84" s="9"/>
      <c r="W84" s="9"/>
      <c r="X84" s="9"/>
      <c r="Y84" s="9"/>
      <c r="Z84" s="9"/>
    </row>
    <row r="85" customFormat="false" ht="15.75" hidden="false" customHeight="false" outlineLevel="0" collapsed="false">
      <c r="A85" s="9"/>
      <c r="B85" s="9"/>
      <c r="C85" s="9"/>
      <c r="D85" s="9"/>
      <c r="E85" s="9"/>
      <c r="F85" s="9"/>
      <c r="G85" s="9"/>
      <c r="H85" s="9"/>
      <c r="I85" s="9"/>
      <c r="J85" s="9"/>
      <c r="K85" s="9"/>
      <c r="L85" s="9"/>
      <c r="M85" s="9"/>
      <c r="N85" s="9"/>
      <c r="O85" s="9"/>
      <c r="P85" s="9"/>
      <c r="Q85" s="9"/>
      <c r="R85" s="9"/>
      <c r="S85" s="9"/>
      <c r="T85" s="9"/>
      <c r="U85" s="9"/>
      <c r="V85" s="9"/>
      <c r="W85" s="9"/>
      <c r="X85" s="9"/>
      <c r="Y85" s="9"/>
      <c r="Z85" s="9"/>
    </row>
    <row r="86" customFormat="false" ht="15.75" hidden="false" customHeight="false" outlineLevel="0" collapsed="false">
      <c r="A86" s="9"/>
      <c r="B86" s="9"/>
      <c r="C86" s="9"/>
      <c r="D86" s="9"/>
      <c r="E86" s="9"/>
      <c r="F86" s="9"/>
      <c r="G86" s="9"/>
      <c r="H86" s="9"/>
      <c r="I86" s="9"/>
      <c r="J86" s="9"/>
      <c r="K86" s="9"/>
      <c r="L86" s="9"/>
      <c r="M86" s="9"/>
      <c r="N86" s="9"/>
      <c r="O86" s="9"/>
      <c r="P86" s="9"/>
      <c r="Q86" s="9"/>
      <c r="R86" s="9"/>
      <c r="S86" s="9"/>
      <c r="T86" s="9"/>
      <c r="U86" s="9"/>
      <c r="V86" s="9"/>
      <c r="W86" s="9"/>
      <c r="X86" s="9"/>
      <c r="Y86" s="9"/>
      <c r="Z86" s="9"/>
    </row>
    <row r="87" customFormat="false" ht="15.75" hidden="false" customHeight="false" outlineLevel="0" collapsed="false">
      <c r="A87" s="9"/>
      <c r="B87" s="9"/>
      <c r="C87" s="9"/>
      <c r="D87" s="9"/>
      <c r="E87" s="9"/>
      <c r="F87" s="9"/>
      <c r="G87" s="9"/>
      <c r="H87" s="9"/>
      <c r="I87" s="9"/>
      <c r="J87" s="9"/>
      <c r="K87" s="9"/>
      <c r="L87" s="9"/>
      <c r="M87" s="9"/>
      <c r="N87" s="9"/>
      <c r="O87" s="9"/>
      <c r="P87" s="9"/>
      <c r="Q87" s="9"/>
      <c r="R87" s="9"/>
      <c r="S87" s="9"/>
      <c r="T87" s="9"/>
      <c r="U87" s="9"/>
      <c r="V87" s="9"/>
      <c r="W87" s="9"/>
      <c r="X87" s="9"/>
      <c r="Y87" s="9"/>
      <c r="Z87" s="9"/>
    </row>
    <row r="88" customFormat="false" ht="15.75" hidden="false" customHeight="false" outlineLevel="0" collapsed="false">
      <c r="A88" s="9"/>
      <c r="B88" s="9"/>
      <c r="C88" s="9"/>
      <c r="D88" s="9"/>
      <c r="E88" s="9"/>
      <c r="F88" s="9"/>
      <c r="G88" s="9"/>
      <c r="H88" s="9"/>
      <c r="I88" s="9"/>
      <c r="J88" s="9"/>
      <c r="K88" s="9"/>
      <c r="L88" s="9"/>
      <c r="M88" s="9"/>
      <c r="N88" s="9"/>
      <c r="O88" s="9"/>
      <c r="P88" s="9"/>
      <c r="Q88" s="9"/>
      <c r="R88" s="9"/>
      <c r="S88" s="9"/>
      <c r="T88" s="9"/>
      <c r="U88" s="9"/>
      <c r="V88" s="9"/>
      <c r="W88" s="9"/>
      <c r="X88" s="9"/>
      <c r="Y88" s="9"/>
      <c r="Z88" s="9"/>
    </row>
    <row r="89" customFormat="false" ht="15.75" hidden="false" customHeight="false" outlineLevel="0" collapsed="false">
      <c r="A89" s="9"/>
      <c r="B89" s="9"/>
      <c r="C89" s="9"/>
      <c r="D89" s="9"/>
      <c r="E89" s="9"/>
      <c r="F89" s="9"/>
      <c r="G89" s="9"/>
      <c r="H89" s="9"/>
      <c r="I89" s="9"/>
      <c r="J89" s="9"/>
      <c r="K89" s="9"/>
      <c r="L89" s="9"/>
      <c r="M89" s="9"/>
      <c r="N89" s="9"/>
      <c r="O89" s="9"/>
      <c r="P89" s="9"/>
      <c r="Q89" s="9"/>
      <c r="R89" s="9"/>
      <c r="S89" s="9"/>
      <c r="T89" s="9"/>
      <c r="U89" s="9"/>
      <c r="V89" s="9"/>
      <c r="W89" s="9"/>
      <c r="X89" s="9"/>
      <c r="Y89" s="9"/>
      <c r="Z89" s="9"/>
    </row>
    <row r="90" customFormat="false" ht="15.75" hidden="false" customHeight="false" outlineLevel="0" collapsed="false">
      <c r="A90" s="9"/>
      <c r="B90" s="9"/>
      <c r="C90" s="9"/>
      <c r="D90" s="9"/>
      <c r="E90" s="9"/>
      <c r="F90" s="9"/>
      <c r="G90" s="9"/>
      <c r="H90" s="9"/>
      <c r="I90" s="9"/>
      <c r="J90" s="9"/>
      <c r="K90" s="9"/>
      <c r="L90" s="9"/>
      <c r="M90" s="9"/>
      <c r="N90" s="9"/>
      <c r="O90" s="9"/>
      <c r="P90" s="9"/>
      <c r="Q90" s="9"/>
      <c r="R90" s="9"/>
      <c r="S90" s="9"/>
      <c r="T90" s="9"/>
      <c r="U90" s="9"/>
      <c r="V90" s="9"/>
      <c r="W90" s="9"/>
      <c r="X90" s="9"/>
      <c r="Y90" s="9"/>
      <c r="Z90" s="9"/>
    </row>
    <row r="91" customFormat="false" ht="15.75" hidden="false" customHeight="false" outlineLevel="0" collapsed="false">
      <c r="A91" s="9"/>
      <c r="B91" s="9"/>
      <c r="C91" s="9"/>
      <c r="D91" s="9"/>
      <c r="E91" s="9"/>
      <c r="F91" s="9"/>
      <c r="G91" s="9"/>
      <c r="H91" s="9"/>
      <c r="I91" s="9"/>
      <c r="J91" s="9"/>
      <c r="K91" s="9"/>
      <c r="L91" s="9"/>
      <c r="M91" s="9"/>
      <c r="N91" s="9"/>
      <c r="O91" s="9"/>
      <c r="P91" s="9"/>
      <c r="Q91" s="9"/>
      <c r="R91" s="9"/>
      <c r="S91" s="9"/>
      <c r="T91" s="9"/>
      <c r="U91" s="9"/>
      <c r="V91" s="9"/>
      <c r="W91" s="9"/>
      <c r="X91" s="9"/>
      <c r="Y91" s="9"/>
      <c r="Z91" s="9"/>
    </row>
    <row r="92" customFormat="false" ht="15.75" hidden="false" customHeight="false" outlineLevel="0" collapsed="false">
      <c r="A92" s="9"/>
      <c r="B92" s="9"/>
      <c r="C92" s="9"/>
      <c r="D92" s="9"/>
      <c r="E92" s="9"/>
      <c r="F92" s="9"/>
      <c r="G92" s="9"/>
      <c r="H92" s="9"/>
      <c r="I92" s="9"/>
      <c r="J92" s="9"/>
      <c r="K92" s="9"/>
      <c r="L92" s="9"/>
      <c r="M92" s="9"/>
      <c r="N92" s="9"/>
      <c r="O92" s="9"/>
      <c r="P92" s="9"/>
      <c r="Q92" s="9"/>
      <c r="R92" s="9"/>
      <c r="S92" s="9"/>
      <c r="T92" s="9"/>
      <c r="U92" s="9"/>
      <c r="V92" s="9"/>
      <c r="W92" s="9"/>
      <c r="X92" s="9"/>
      <c r="Y92" s="9"/>
      <c r="Z92" s="9"/>
    </row>
    <row r="93" customFormat="false" ht="15.75" hidden="false" customHeight="false" outlineLevel="0" collapsed="false">
      <c r="A93" s="9"/>
      <c r="B93" s="9"/>
      <c r="C93" s="9"/>
      <c r="D93" s="9"/>
      <c r="E93" s="9"/>
      <c r="F93" s="9"/>
      <c r="G93" s="9"/>
      <c r="H93" s="9"/>
      <c r="I93" s="9"/>
      <c r="J93" s="9"/>
      <c r="K93" s="9"/>
      <c r="L93" s="9"/>
      <c r="M93" s="9"/>
      <c r="N93" s="9"/>
      <c r="O93" s="9"/>
      <c r="P93" s="9"/>
      <c r="Q93" s="9"/>
      <c r="R93" s="9"/>
      <c r="S93" s="9"/>
      <c r="T93" s="9"/>
      <c r="U93" s="9"/>
      <c r="V93" s="9"/>
      <c r="W93" s="9"/>
      <c r="X93" s="9"/>
      <c r="Y93" s="9"/>
      <c r="Z93" s="9"/>
    </row>
    <row r="94" customFormat="false" ht="15.75" hidden="false" customHeight="false" outlineLevel="0" collapsed="false">
      <c r="A94" s="9"/>
      <c r="B94" s="9"/>
      <c r="C94" s="9"/>
      <c r="D94" s="9"/>
      <c r="E94" s="9"/>
      <c r="F94" s="9"/>
      <c r="G94" s="9"/>
      <c r="H94" s="9"/>
      <c r="I94" s="9"/>
      <c r="J94" s="9"/>
      <c r="K94" s="9"/>
      <c r="L94" s="9"/>
      <c r="M94" s="9"/>
      <c r="N94" s="9"/>
      <c r="O94" s="9"/>
      <c r="P94" s="9"/>
      <c r="Q94" s="9"/>
      <c r="R94" s="9"/>
      <c r="S94" s="9"/>
      <c r="T94" s="9"/>
      <c r="U94" s="9"/>
      <c r="V94" s="9"/>
      <c r="W94" s="9"/>
      <c r="X94" s="9"/>
      <c r="Y94" s="9"/>
      <c r="Z94" s="9"/>
    </row>
    <row r="95" customFormat="false" ht="15.75" hidden="false" customHeight="false" outlineLevel="0" collapsed="false">
      <c r="A95" s="9"/>
      <c r="B95" s="9"/>
      <c r="C95" s="9"/>
      <c r="D95" s="9"/>
      <c r="E95" s="9"/>
      <c r="F95" s="9"/>
      <c r="G95" s="9"/>
      <c r="H95" s="9"/>
      <c r="I95" s="9"/>
      <c r="J95" s="9"/>
      <c r="K95" s="9"/>
      <c r="L95" s="9"/>
      <c r="M95" s="9"/>
      <c r="N95" s="9"/>
      <c r="O95" s="9"/>
      <c r="P95" s="9"/>
      <c r="Q95" s="9"/>
      <c r="R95" s="9"/>
      <c r="S95" s="9"/>
      <c r="T95" s="9"/>
      <c r="U95" s="9"/>
      <c r="V95" s="9"/>
      <c r="W95" s="9"/>
      <c r="X95" s="9"/>
      <c r="Y95" s="9"/>
      <c r="Z95" s="9"/>
    </row>
    <row r="96" customFormat="false" ht="15.75" hidden="false" customHeight="false" outlineLevel="0" collapsed="false">
      <c r="A96" s="9"/>
      <c r="B96" s="9"/>
      <c r="C96" s="9"/>
      <c r="D96" s="9"/>
      <c r="E96" s="9"/>
      <c r="F96" s="9"/>
      <c r="G96" s="9"/>
      <c r="H96" s="9"/>
      <c r="I96" s="9"/>
      <c r="J96" s="9"/>
      <c r="K96" s="9"/>
      <c r="L96" s="9"/>
      <c r="M96" s="9"/>
      <c r="N96" s="9"/>
      <c r="O96" s="9"/>
      <c r="P96" s="9"/>
      <c r="Q96" s="9"/>
      <c r="R96" s="9"/>
      <c r="S96" s="9"/>
      <c r="T96" s="9"/>
      <c r="U96" s="9"/>
      <c r="V96" s="9"/>
      <c r="W96" s="9"/>
      <c r="X96" s="9"/>
      <c r="Y96" s="9"/>
      <c r="Z96" s="9"/>
    </row>
    <row r="97" customFormat="false" ht="15.75" hidden="false" customHeight="false" outlineLevel="0" collapsed="false">
      <c r="A97" s="9"/>
      <c r="B97" s="9"/>
      <c r="C97" s="9"/>
      <c r="D97" s="9"/>
      <c r="E97" s="9"/>
      <c r="F97" s="9"/>
      <c r="G97" s="9"/>
      <c r="H97" s="9"/>
      <c r="I97" s="9"/>
      <c r="J97" s="9"/>
      <c r="K97" s="9"/>
      <c r="L97" s="9"/>
      <c r="M97" s="9"/>
      <c r="N97" s="9"/>
      <c r="O97" s="9"/>
      <c r="P97" s="9"/>
      <c r="Q97" s="9"/>
      <c r="R97" s="9"/>
      <c r="S97" s="9"/>
      <c r="T97" s="9"/>
      <c r="U97" s="9"/>
      <c r="V97" s="9"/>
      <c r="W97" s="9"/>
      <c r="X97" s="9"/>
      <c r="Y97" s="9"/>
      <c r="Z97" s="9"/>
    </row>
    <row r="98" customFormat="false" ht="15.75" hidden="false" customHeight="false" outlineLevel="0" collapsed="false">
      <c r="A98" s="9"/>
      <c r="B98" s="9"/>
      <c r="C98" s="9"/>
      <c r="D98" s="9"/>
      <c r="E98" s="9"/>
      <c r="F98" s="9"/>
      <c r="G98" s="9"/>
      <c r="H98" s="9"/>
      <c r="I98" s="9"/>
      <c r="J98" s="9"/>
      <c r="K98" s="9"/>
      <c r="L98" s="9"/>
      <c r="M98" s="9"/>
      <c r="N98" s="9"/>
      <c r="O98" s="9"/>
      <c r="P98" s="9"/>
      <c r="Q98" s="9"/>
      <c r="R98" s="9"/>
      <c r="S98" s="9"/>
      <c r="T98" s="9"/>
      <c r="U98" s="9"/>
      <c r="V98" s="9"/>
      <c r="W98" s="9"/>
      <c r="X98" s="9"/>
      <c r="Y98" s="9"/>
      <c r="Z98" s="9"/>
    </row>
    <row r="99" customFormat="false" ht="15.75" hidden="false" customHeight="false" outlineLevel="0" collapsed="false">
      <c r="A99" s="9"/>
      <c r="B99" s="9"/>
      <c r="C99" s="9"/>
      <c r="D99" s="9"/>
      <c r="E99" s="9"/>
      <c r="F99" s="9"/>
      <c r="G99" s="9"/>
      <c r="H99" s="9"/>
      <c r="I99" s="9"/>
      <c r="J99" s="9"/>
      <c r="K99" s="9"/>
      <c r="L99" s="9"/>
      <c r="M99" s="9"/>
      <c r="N99" s="9"/>
      <c r="O99" s="9"/>
      <c r="P99" s="9"/>
      <c r="Q99" s="9"/>
      <c r="R99" s="9"/>
      <c r="S99" s="9"/>
      <c r="T99" s="9"/>
      <c r="U99" s="9"/>
      <c r="V99" s="9"/>
      <c r="W99" s="9"/>
      <c r="X99" s="9"/>
      <c r="Y99" s="9"/>
      <c r="Z99" s="9"/>
    </row>
    <row r="100" customFormat="false" ht="15.75" hidden="false" customHeight="false" outlineLevel="0" collapsed="false">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ustomFormat="false" ht="15.75" hidden="false" customHeight="false" outlineLevel="0" collapsed="false">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ustomFormat="false" ht="15.75" hidden="false" customHeight="false" outlineLevel="0" collapsed="false">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ustomFormat="false" ht="15.75" hidden="false" customHeight="false" outlineLevel="0" collapsed="false">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ustomFormat="false" ht="15.75" hidden="false" customHeight="false" outlineLevel="0" collapsed="false">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ustomFormat="false" ht="15.75" hidden="false" customHeight="false" outlineLevel="0" collapsed="false">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ustomFormat="false" ht="15.75" hidden="false" customHeight="false" outlineLevel="0" collapsed="false">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ustomFormat="false" ht="15.75" hidden="false" customHeight="false" outlineLevel="0" collapsed="false">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ustomFormat="false" ht="15.75" hidden="false" customHeight="false" outlineLevel="0" collapsed="false">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ustomFormat="false" ht="15.75" hidden="false" customHeight="false" outlineLevel="0" collapsed="false">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ustomFormat="false" ht="15.75" hidden="false" customHeight="false" outlineLevel="0" collapsed="false">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ustomFormat="false" ht="15.75" hidden="false" customHeight="false" outlineLevel="0" collapsed="false">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ustomFormat="false" ht="15.75" hidden="false" customHeight="false" outlineLevel="0" collapsed="false">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ustomFormat="false" ht="15.75" hidden="false" customHeight="false" outlineLevel="0" collapsed="false">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ustomFormat="false" ht="15.75" hidden="false" customHeight="false" outlineLevel="0" collapsed="false">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ustomFormat="false" ht="15.75" hidden="false" customHeight="false" outlineLevel="0" collapsed="false">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ustomFormat="false" ht="15.75" hidden="false" customHeight="false" outlineLevel="0" collapsed="false">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ustomFormat="false" ht="15.75" hidden="false" customHeight="false" outlineLevel="0" collapsed="false">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ustomFormat="false" ht="15.75" hidden="false" customHeight="false" outlineLevel="0" collapsed="false">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ustomFormat="false" ht="15.75" hidden="false" customHeight="false" outlineLevel="0" collapsed="false">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ustomFormat="false" ht="15.75" hidden="false" customHeight="false" outlineLevel="0" collapsed="false">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ustomFormat="false" ht="15.75" hidden="false" customHeight="false" outlineLevel="0" collapsed="false">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ustomFormat="false" ht="15.75" hidden="false" customHeight="false" outlineLevel="0" collapsed="false">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ustomFormat="false" ht="15.75" hidden="false" customHeight="false" outlineLevel="0" collapsed="false">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ustomFormat="false" ht="15.75" hidden="false" customHeight="false" outlineLevel="0" collapsed="false">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ustomFormat="false" ht="15.75" hidden="false" customHeight="false" outlineLevel="0" collapsed="false">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ustomFormat="false" ht="15.75" hidden="false" customHeight="false" outlineLevel="0" collapsed="false">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ustomFormat="false" ht="15.75" hidden="false" customHeight="false" outlineLevel="0" collapsed="false">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ustomFormat="false" ht="15.75" hidden="false" customHeight="false" outlineLevel="0" collapsed="false">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ustomFormat="false" ht="15.75" hidden="false" customHeight="false" outlineLevel="0" collapsed="false">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ustomFormat="false" ht="15.75" hidden="false" customHeight="false" outlineLevel="0" collapsed="false">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ustomFormat="false" ht="15.75" hidden="false" customHeight="false" outlineLevel="0" collapsed="false">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ustomFormat="false" ht="15.75" hidden="false" customHeight="false" outlineLevel="0" collapsed="false">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ustomFormat="false" ht="15.75" hidden="false" customHeight="false" outlineLevel="0" collapsed="false">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ustomFormat="false" ht="15.75" hidden="false" customHeight="false" outlineLevel="0" collapsed="false">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ustomFormat="false" ht="15.75" hidden="false" customHeight="false" outlineLevel="0" collapsed="false">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ustomFormat="false" ht="15.75" hidden="false" customHeight="false" outlineLevel="0" collapsed="false">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ustomFormat="false" ht="15.75" hidden="false" customHeight="false" outlineLevel="0" collapsed="false">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ustomFormat="false" ht="15.75" hidden="false" customHeight="false" outlineLevel="0" collapsed="false">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ustomFormat="false" ht="15.75" hidden="false" customHeight="false" outlineLevel="0" collapsed="false">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ustomFormat="false" ht="15.75" hidden="false" customHeight="false" outlineLevel="0" collapsed="false">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ustomFormat="false" ht="15.75" hidden="false" customHeight="false" outlineLevel="0" collapsed="false">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ustomFormat="false" ht="15.75" hidden="false" customHeight="false" outlineLevel="0" collapsed="false">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ustomFormat="false" ht="15.75" hidden="false" customHeight="false" outlineLevel="0" collapsed="false">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ustomFormat="false" ht="15.75" hidden="false" customHeight="false" outlineLevel="0" collapsed="false">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ustomFormat="false" ht="15.75" hidden="false" customHeight="false" outlineLevel="0" collapsed="false">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ustomFormat="false" ht="15.75" hidden="false" customHeight="false" outlineLevel="0" collapsed="false">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ustomFormat="false" ht="15.75" hidden="false" customHeight="false" outlineLevel="0" collapsed="false">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ustomFormat="false" ht="15.75" hidden="false" customHeight="false" outlineLevel="0" collapsed="false">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ustomFormat="false" ht="15.75" hidden="false" customHeight="false" outlineLevel="0" collapsed="false">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ustomFormat="false" ht="15.75" hidden="false" customHeight="false" outlineLevel="0" collapsed="false">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ustomFormat="false" ht="15.75" hidden="false" customHeight="false" outlineLevel="0" collapsed="false">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ustomFormat="false" ht="15.75" hidden="false" customHeight="false" outlineLevel="0" collapsed="false">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ustomFormat="false" ht="15.75" hidden="false" customHeight="false" outlineLevel="0" collapsed="false">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ustomFormat="false" ht="15.75" hidden="false" customHeight="false" outlineLevel="0" collapsed="false">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ustomFormat="false" ht="15.75" hidden="false" customHeight="false" outlineLevel="0" collapsed="false">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ustomFormat="false" ht="15.75" hidden="false" customHeight="false" outlineLevel="0" collapsed="false">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ustomFormat="false" ht="15.75" hidden="false" customHeight="false" outlineLevel="0" collapsed="false">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ustomFormat="false" ht="15.75" hidden="false" customHeight="false" outlineLevel="0" collapsed="false">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ustomFormat="false" ht="15.75" hidden="false" customHeight="false" outlineLevel="0" collapsed="false">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ustomFormat="false" ht="15.75" hidden="false" customHeight="false" outlineLevel="0" collapsed="false">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ustomFormat="false" ht="15.75" hidden="false" customHeight="false" outlineLevel="0" collapsed="false">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ustomFormat="false" ht="15.75" hidden="false" customHeight="false" outlineLevel="0" collapsed="false">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ustomFormat="false" ht="15.75" hidden="false" customHeight="false" outlineLevel="0" collapsed="false">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ustomFormat="false" ht="15.75" hidden="false" customHeight="false" outlineLevel="0" collapsed="false">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ustomFormat="false" ht="15.75" hidden="false" customHeight="false" outlineLevel="0" collapsed="false">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ustomFormat="false" ht="15.75" hidden="false" customHeight="false" outlineLevel="0" collapsed="false">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ustomFormat="false" ht="15.75" hidden="false" customHeight="false" outlineLevel="0" collapsed="false">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ustomFormat="false" ht="15.75" hidden="false" customHeight="false" outlineLevel="0" collapsed="false">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ustomFormat="false" ht="15.75" hidden="false" customHeight="false" outlineLevel="0" collapsed="false">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ustomFormat="false" ht="15.75" hidden="false" customHeight="false" outlineLevel="0" collapsed="false">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ustomFormat="false" ht="15.75" hidden="false" customHeight="false" outlineLevel="0" collapsed="false">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ustomFormat="false" ht="15.75" hidden="false" customHeight="false" outlineLevel="0" collapsed="false">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ustomFormat="false" ht="15.75" hidden="false" customHeight="false" outlineLevel="0" collapsed="false">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ustomFormat="false" ht="15.75" hidden="false" customHeight="false" outlineLevel="0" collapsed="false">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ustomFormat="false" ht="15.75" hidden="false" customHeight="false" outlineLevel="0" collapsed="false">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ustomFormat="false" ht="15.75" hidden="false" customHeight="false" outlineLevel="0" collapsed="false">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ustomFormat="false" ht="15.75" hidden="false" customHeight="false" outlineLevel="0" collapsed="false">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ustomFormat="false" ht="15.75" hidden="false" customHeight="false" outlineLevel="0" collapsed="false">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ustomFormat="false" ht="15.75" hidden="false" customHeight="false" outlineLevel="0" collapsed="false">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ustomFormat="false" ht="15.75" hidden="false" customHeight="false" outlineLevel="0" collapsed="false">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ustomFormat="false" ht="15.75" hidden="false" customHeight="false" outlineLevel="0" collapsed="false">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ustomFormat="false" ht="15.75" hidden="false" customHeight="false" outlineLevel="0" collapsed="false">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ustomFormat="false" ht="15.75" hidden="false" customHeight="false" outlineLevel="0" collapsed="false">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ustomFormat="false" ht="15.75" hidden="false" customHeight="false" outlineLevel="0" collapsed="false">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ustomFormat="false" ht="15.75" hidden="false" customHeight="false" outlineLevel="0" collapsed="false">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ustomFormat="false" ht="15.75" hidden="false" customHeight="false" outlineLevel="0" collapsed="false">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ustomFormat="false" ht="15.75" hidden="false" customHeight="false" outlineLevel="0" collapsed="false">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ustomFormat="false" ht="15.75" hidden="false" customHeight="false" outlineLevel="0" collapsed="false">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ustomFormat="false" ht="15.75" hidden="false" customHeight="false" outlineLevel="0" collapsed="false">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ustomFormat="false" ht="15.75" hidden="false" customHeight="false" outlineLevel="0" collapsed="false">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ustomFormat="false" ht="15.75" hidden="false" customHeight="false" outlineLevel="0" collapsed="false">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ustomFormat="false" ht="15.75" hidden="false" customHeight="false" outlineLevel="0" collapsed="false">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ustomFormat="false" ht="15.75" hidden="false" customHeight="false" outlineLevel="0" collapsed="false">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ustomFormat="false" ht="15.75" hidden="false" customHeight="false" outlineLevel="0" collapsed="false">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ustomFormat="false" ht="15.75" hidden="false" customHeight="false" outlineLevel="0" collapsed="false">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ustomFormat="false" ht="15.75" hidden="false" customHeight="false" outlineLevel="0" collapsed="false">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ustomFormat="false" ht="15.75" hidden="false" customHeight="false" outlineLevel="0" collapsed="false">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ustomFormat="false" ht="15.75" hidden="false" customHeight="false" outlineLevel="0" collapsed="false">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ustomFormat="false" ht="15.75" hidden="false" customHeight="false" outlineLevel="0" collapsed="false">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ustomFormat="false" ht="15.75" hidden="false" customHeight="false" outlineLevel="0" collapsed="false">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ustomFormat="false" ht="15.75" hidden="false" customHeight="false" outlineLevel="0" collapsed="false">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ustomFormat="false" ht="15.75" hidden="false" customHeight="false" outlineLevel="0" collapsed="false">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ustomFormat="false" ht="15.75" hidden="false" customHeight="false" outlineLevel="0" collapsed="false">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ustomFormat="false" ht="15.75" hidden="false" customHeight="false" outlineLevel="0" collapsed="false">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ustomFormat="false" ht="15.75" hidden="false" customHeight="false" outlineLevel="0" collapsed="false">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ustomFormat="false" ht="15.75" hidden="false" customHeight="false" outlineLevel="0" collapsed="false">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ustomFormat="false" ht="15.75" hidden="false" customHeight="false" outlineLevel="0" collapsed="false">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ustomFormat="false" ht="15.75" hidden="false" customHeight="false" outlineLevel="0" collapsed="false">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ustomFormat="false" ht="15.75" hidden="false" customHeight="false" outlineLevel="0" collapsed="false">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ustomFormat="false" ht="15.75" hidden="false" customHeight="false" outlineLevel="0" collapsed="false">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ustomFormat="false" ht="15.75" hidden="false" customHeight="false" outlineLevel="0" collapsed="false">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ustomFormat="false" ht="15.75" hidden="false" customHeight="false" outlineLevel="0" collapsed="false">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ustomFormat="false" ht="15.75" hidden="false" customHeight="false" outlineLevel="0" collapsed="false">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ustomFormat="false" ht="15.75" hidden="false" customHeight="false" outlineLevel="0" collapsed="false">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ustomFormat="false" ht="15.75" hidden="false" customHeight="false" outlineLevel="0" collapsed="false">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ustomFormat="false" ht="15.75" hidden="false" customHeight="false" outlineLevel="0" collapsed="false">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ustomFormat="false" ht="15.75" hidden="false" customHeight="false" outlineLevel="0" collapsed="false">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ustomFormat="false" ht="15.75" hidden="false" customHeight="false" outlineLevel="0" collapsed="false">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ustomFormat="false" ht="15.75" hidden="false" customHeight="false" outlineLevel="0" collapsed="false">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ustomFormat="false" ht="15.75" hidden="false" customHeight="false" outlineLevel="0" collapsed="false">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ustomFormat="false" ht="15.75" hidden="false" customHeight="false" outlineLevel="0" collapsed="false">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ustomFormat="false" ht="15.75" hidden="false" customHeight="false" outlineLevel="0" collapsed="false">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ustomFormat="false" ht="15.75" hidden="false" customHeight="false" outlineLevel="0" collapsed="false">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ustomFormat="false" ht="15.75" hidden="false" customHeight="fals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ustomFormat="false" ht="15.75" hidden="false" customHeight="false" outlineLevel="0" collapsed="false">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ustomFormat="false" ht="15.75" hidden="false" customHeight="false" outlineLevel="0" collapsed="false">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ustomFormat="false" ht="15.75" hidden="false" customHeight="false" outlineLevel="0" collapsed="false">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ustomFormat="false" ht="15.75" hidden="false" customHeight="fals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Format="false" ht="15.75" hidden="false" customHeight="false" outlineLevel="0" collapsed="false">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ustomFormat="false" ht="15.75" hidden="false" customHeight="false" outlineLevel="0" collapsed="false">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Format="false" ht="15.75" hidden="false" customHeight="false" outlineLevel="0" collapsed="false">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ustomFormat="false" ht="15.75" hidden="false" customHeight="fals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Format="false" ht="15.75" hidden="false" customHeight="false" outlineLevel="0" collapsed="false">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ustomFormat="false" ht="15.75" hidden="false" customHeight="false" outlineLevel="0" collapsed="false">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Format="false" ht="15.75" hidden="false" customHeight="false" outlineLevel="0" collapsed="false">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ustomFormat="false" ht="15.75" hidden="false" customHeight="false" outlineLevel="0" collapsed="false">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Format="false" ht="15.75" hidden="false" customHeight="fals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ustomFormat="false" ht="15.75" hidden="false" customHeight="false" outlineLevel="0" collapsed="false">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Format="false" ht="15.75" hidden="false" customHeight="false" outlineLevel="0" collapsed="false">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ustomFormat="false" ht="15.75" hidden="false" customHeight="false" outlineLevel="0" collapsed="false">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Format="false" ht="15.75" hidden="false" customHeight="fals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ustomFormat="false" ht="15.75" hidden="false" customHeight="false" outlineLevel="0" collapsed="false">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Format="false" ht="15.75" hidden="false" customHeight="false" outlineLevel="0" collapsed="false">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ustomFormat="false" ht="15.75" hidden="false" customHeight="false" outlineLevel="0" collapsed="false">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Format="false" ht="15.75" hidden="false" customHeight="false" outlineLevel="0" collapsed="false">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ustomFormat="false" ht="15.75" hidden="false" customHeight="false" outlineLevel="0" collapsed="false">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Format="false" ht="15.75" hidden="false" customHeight="false" outlineLevel="0" collapsed="false">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ustomFormat="false" ht="15.75" hidden="false" customHeight="false" outlineLevel="0" collapsed="false">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Format="false" ht="15.75" hidden="false" customHeight="false" outlineLevel="0" collapsed="false">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ustomFormat="false" ht="15.75" hidden="false" customHeight="false" outlineLevel="0" collapsed="false">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Format="false" ht="15.75" hidden="false" customHeight="false" outlineLevel="0" collapsed="false">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ustomFormat="false" ht="15.75" hidden="false" customHeight="false" outlineLevel="0" collapsed="false">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Format="false" ht="15.75" hidden="false" customHeight="false" outlineLevel="0" collapsed="false">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ustomFormat="false" ht="15.75" hidden="false" customHeight="false" outlineLevel="0" collapsed="false">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Format="false" ht="15.75" hidden="false" customHeight="false" outlineLevel="0" collapsed="false">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ustomFormat="false" ht="15.75" hidden="false" customHeight="false" outlineLevel="0" collapsed="false">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ustomFormat="false" ht="15.75" hidden="false" customHeight="false" outlineLevel="0" collapsed="false">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ustomFormat="false" ht="15.75" hidden="false" customHeight="false" outlineLevel="0" collapsed="false">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ustomFormat="false" ht="15.75" hidden="false" customHeight="false" outlineLevel="0" collapsed="false">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ustomFormat="false" ht="15.75" hidden="false" customHeight="false" outlineLevel="0" collapsed="false">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ustomFormat="false" ht="15.75" hidden="false" customHeight="false" outlineLevel="0" collapsed="false">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ustomFormat="false" ht="15.75" hidden="false" customHeight="false" outlineLevel="0" collapsed="false">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ustomFormat="false" ht="15.75" hidden="false" customHeight="false" outlineLevel="0" collapsed="false">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ustomFormat="false" ht="15.75" hidden="false" customHeight="false" outlineLevel="0" collapsed="false">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ustomFormat="false" ht="15.75" hidden="false" customHeight="false" outlineLevel="0" collapsed="false">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ustomFormat="false" ht="15.75" hidden="false" customHeight="false" outlineLevel="0" collapsed="false">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ustomFormat="false" ht="15.75" hidden="false" customHeight="false" outlineLevel="0" collapsed="false">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ustomFormat="false" ht="15.75" hidden="false" customHeight="fals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ustomFormat="false" ht="15.75" hidden="false" customHeight="false" outlineLevel="0" collapsed="false">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ustomFormat="false" ht="15.75" hidden="false" customHeight="false" outlineLevel="0" collapsed="false">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ustomFormat="false" ht="15.75" hidden="false" customHeight="false" outlineLevel="0" collapsed="false">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ustomFormat="false" ht="15.75" hidden="false" customHeight="false" outlineLevel="0" collapsed="false">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ustomFormat="false" ht="15.75" hidden="false" customHeight="false" outlineLevel="0" collapsed="false">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ustomFormat="false" ht="15.75" hidden="false" customHeight="false" outlineLevel="0" collapsed="false">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ustomFormat="false" ht="15.75" hidden="false" customHeight="false" outlineLevel="0" collapsed="false">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ustomFormat="false" ht="15.75" hidden="false" customHeight="false" outlineLevel="0" collapsed="false">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ustomFormat="false" ht="15.75" hidden="false" customHeight="false" outlineLevel="0" collapsed="false">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ustomFormat="false" ht="15.75" hidden="false" customHeight="false" outlineLevel="0" collapsed="false">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ustomFormat="false" ht="15.75" hidden="false" customHeight="false" outlineLevel="0" collapsed="false">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ustomFormat="false" ht="15.75" hidden="false" customHeight="false" outlineLevel="0" collapsed="false">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ustomFormat="false" ht="15.75" hidden="false" customHeight="false" outlineLevel="0" collapsed="false">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ustomFormat="false" ht="15.75" hidden="false" customHeight="false" outlineLevel="0" collapsed="false">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ustomFormat="false" ht="15.75" hidden="false" customHeight="false" outlineLevel="0" collapsed="false">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ustomFormat="false" ht="15.75" hidden="false" customHeight="false" outlineLevel="0" collapsed="false">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ustomFormat="false" ht="15.75" hidden="false" customHeight="false" outlineLevel="0" collapsed="false">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ustomFormat="false" ht="15.75" hidden="false" customHeight="false" outlineLevel="0" collapsed="false">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ustomFormat="false" ht="15.75" hidden="false" customHeight="false" outlineLevel="0" collapsed="false">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ustomFormat="false" ht="15.75" hidden="false" customHeight="false" outlineLevel="0" collapsed="false">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ustomFormat="false" ht="15.75" hidden="false" customHeight="false" outlineLevel="0" collapsed="false">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ustomFormat="false" ht="15.75" hidden="false" customHeight="false" outlineLevel="0" collapsed="false">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ustomFormat="false" ht="15.75" hidden="false" customHeight="false" outlineLevel="0" collapsed="false">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ustomFormat="false" ht="15.75" hidden="false" customHeight="false" outlineLevel="0" collapsed="false">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ustomFormat="false" ht="15.75" hidden="false" customHeight="false" outlineLevel="0" collapsed="false">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ustomFormat="false" ht="15.75" hidden="false" customHeight="false" outlineLevel="0" collapsed="false">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ustomFormat="false" ht="15.75" hidden="false" customHeight="false" outlineLevel="0" collapsed="false">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ustomFormat="false" ht="15.75" hidden="false" customHeight="false" outlineLevel="0" collapsed="false">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ustomFormat="false" ht="15.75" hidden="false" customHeight="false" outlineLevel="0" collapsed="false">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ustomFormat="false" ht="15.75" hidden="false" customHeight="false" outlineLevel="0" collapsed="false">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ustomFormat="false" ht="15.75" hidden="false" customHeight="false" outlineLevel="0" collapsed="false">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ustomFormat="false" ht="15.75" hidden="false" customHeight="false" outlineLevel="0" collapsed="false">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ustomFormat="false" ht="15.75" hidden="false" customHeight="false" outlineLevel="0" collapsed="false">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ustomFormat="false" ht="15.75" hidden="false" customHeight="false" outlineLevel="0" collapsed="false">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ustomFormat="false" ht="15.75" hidden="false" customHeight="false" outlineLevel="0" collapsed="false">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ustomFormat="false" ht="15.75" hidden="false" customHeight="false" outlineLevel="0" collapsed="false">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ustomFormat="false" ht="15.75" hidden="false" customHeight="false" outlineLevel="0" collapsed="false">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ustomFormat="false" ht="15.75" hidden="false" customHeight="false" outlineLevel="0" collapsed="false">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ustomFormat="false" ht="15.75" hidden="false" customHeight="false" outlineLevel="0" collapsed="false">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ustomFormat="false" ht="15.75" hidden="false" customHeight="false" outlineLevel="0" collapsed="false">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ustomFormat="false" ht="15.75" hidden="false" customHeight="false" outlineLevel="0" collapsed="false">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ustomFormat="false" ht="15.75" hidden="false" customHeight="false" outlineLevel="0" collapsed="false">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ustomFormat="false" ht="15.75" hidden="false" customHeight="false" outlineLevel="0" collapsed="false">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ustomFormat="false" ht="15.75" hidden="false" customHeight="false" outlineLevel="0" collapsed="false">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ustomFormat="false" ht="15.75" hidden="false" customHeight="false" outlineLevel="0" collapsed="false">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ustomFormat="false" ht="15.75" hidden="false" customHeight="false" outlineLevel="0" collapsed="false">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ustomFormat="false" ht="15.75" hidden="false" customHeight="false" outlineLevel="0" collapsed="false">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ustomFormat="false" ht="15.75" hidden="false" customHeight="false" outlineLevel="0" collapsed="false">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ustomFormat="false" ht="15.75" hidden="false" customHeight="false" outlineLevel="0" collapsed="false">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ustomFormat="false" ht="15.75" hidden="false" customHeight="false" outlineLevel="0" collapsed="false">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ustomFormat="false" ht="15.75" hidden="false" customHeight="false" outlineLevel="0" collapsed="false">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ustomFormat="false" ht="15.75" hidden="false" customHeight="false" outlineLevel="0" collapsed="false">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ustomFormat="false" ht="15.75" hidden="false" customHeight="false" outlineLevel="0" collapsed="false">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ustomFormat="false" ht="15.75" hidden="false" customHeight="false" outlineLevel="0" collapsed="false">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ustomFormat="false" ht="15.75" hidden="false" customHeight="false" outlineLevel="0" collapsed="false">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ustomFormat="false" ht="15.75" hidden="false" customHeight="false" outlineLevel="0" collapsed="false">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ustomFormat="false" ht="15.75" hidden="false" customHeight="false" outlineLevel="0" collapsed="false">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ustomFormat="false" ht="15.75" hidden="false" customHeight="false" outlineLevel="0" collapsed="false">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ustomFormat="false" ht="15.75" hidden="false" customHeight="false" outlineLevel="0" collapsed="false">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ustomFormat="false" ht="15.75" hidden="false" customHeight="false" outlineLevel="0" collapsed="false">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ustomFormat="false" ht="15.75" hidden="false" customHeight="fals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ustomFormat="false" ht="15.75" hidden="false" customHeight="fals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ustomFormat="false" ht="15.75" hidden="false" customHeight="false" outlineLevel="0" collapsed="false">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ustomFormat="false" ht="15.75" hidden="false" customHeight="false" outlineLevel="0" collapsed="false">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ustomFormat="false" ht="15.75" hidden="false" customHeight="false" outlineLevel="0" collapsed="false">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ustomFormat="false" ht="15.75" hidden="false" customHeight="false" outlineLevel="0" collapsed="false">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ustomFormat="false" ht="15.75" hidden="false" customHeight="false" outlineLevel="0" collapsed="false">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ustomFormat="false" ht="15.75" hidden="false" customHeight="false" outlineLevel="0" collapsed="false">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ustomFormat="false" ht="15.75" hidden="false" customHeight="fals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ustomFormat="false" ht="15.75" hidden="false" customHeight="false" outlineLevel="0" collapsed="false">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ustomFormat="false" ht="15.75" hidden="false" customHeight="false" outlineLevel="0" collapsed="false">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ustomFormat="false" ht="15.75" hidden="false" customHeight="false" outlineLevel="0" collapsed="false">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ustomFormat="false" ht="15.75" hidden="false" customHeight="false" outlineLevel="0" collapsed="false">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ustomFormat="false" ht="15.75" hidden="false" customHeight="false" outlineLevel="0" collapsed="false">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ustomFormat="false" ht="15.75" hidden="false" customHeight="false" outlineLevel="0" collapsed="false">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ustomFormat="false" ht="15.75" hidden="false" customHeight="false" outlineLevel="0" collapsed="false">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ustomFormat="false" ht="15.75" hidden="false" customHeight="false" outlineLevel="0" collapsed="false">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ustomFormat="false" ht="15.75" hidden="false" customHeight="false" outlineLevel="0" collapsed="false">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ustomFormat="false" ht="15.75" hidden="false" customHeight="false" outlineLevel="0" collapsed="false">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ustomFormat="false" ht="15.75" hidden="false" customHeight="false" outlineLevel="0" collapsed="false">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ustomFormat="false" ht="15.75" hidden="false" customHeight="false" outlineLevel="0" collapsed="false">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ustomFormat="false" ht="15.75" hidden="false" customHeight="false" outlineLevel="0" collapsed="false">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ustomFormat="false" ht="15.75" hidden="false" customHeight="false" outlineLevel="0" collapsed="false">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ustomFormat="false" ht="15.75" hidden="false" customHeight="false" outlineLevel="0" collapsed="false">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ustomFormat="false" ht="15.75" hidden="false" customHeight="false" outlineLevel="0" collapsed="false">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ustomFormat="false" ht="15.75" hidden="false" customHeight="false" outlineLevel="0" collapsed="false">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ustomFormat="false" ht="15.75" hidden="false" customHeight="false" outlineLevel="0" collapsed="false">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ustomFormat="false" ht="15.75" hidden="false" customHeight="false" outlineLevel="0" collapsed="false">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ustomFormat="false" ht="15.75" hidden="false" customHeight="false" outlineLevel="0" collapsed="false">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ustomFormat="false" ht="15.75" hidden="false" customHeight="false" outlineLevel="0" collapsed="false">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ustomFormat="false" ht="15.75" hidden="false" customHeight="false" outlineLevel="0" collapsed="false">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ustomFormat="false" ht="15.75" hidden="false" customHeight="false" outlineLevel="0" collapsed="false">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ustomFormat="false" ht="15.75" hidden="false" customHeight="false" outlineLevel="0" collapsed="false">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ustomFormat="false" ht="15.75" hidden="false" customHeight="false" outlineLevel="0" collapsed="false">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ustomFormat="false" ht="15.75" hidden="false" customHeight="false" outlineLevel="0" collapsed="false">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ustomFormat="false" ht="15.75" hidden="false" customHeight="false" outlineLevel="0" collapsed="false">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ustomFormat="false" ht="15.75" hidden="false" customHeight="false" outlineLevel="0" collapsed="false">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ustomFormat="false" ht="15.75" hidden="false" customHeight="false" outlineLevel="0" collapsed="false">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ustomFormat="false" ht="15.75" hidden="false" customHeight="false" outlineLevel="0" collapsed="false">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ustomFormat="false" ht="15.75" hidden="false" customHeight="false" outlineLevel="0" collapsed="false">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ustomFormat="false" ht="15.75" hidden="false" customHeight="false" outlineLevel="0" collapsed="false">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ustomFormat="false" ht="15.75" hidden="false" customHeight="false" outlineLevel="0" collapsed="false">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ustomFormat="false" ht="15.75" hidden="false" customHeight="false" outlineLevel="0" collapsed="false">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ustomFormat="false" ht="15.75" hidden="false" customHeight="false" outlineLevel="0" collapsed="false">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ustomFormat="false" ht="15.75" hidden="false" customHeight="false" outlineLevel="0" collapsed="false">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ustomFormat="false" ht="15.75" hidden="false" customHeight="false" outlineLevel="0" collapsed="false">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ustomFormat="false" ht="15.75" hidden="false" customHeight="false" outlineLevel="0" collapsed="false">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ustomFormat="false" ht="15.75" hidden="false" customHeight="false" outlineLevel="0" collapsed="false">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ustomFormat="false" ht="15.75" hidden="false" customHeight="false" outlineLevel="0" collapsed="false">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ustomFormat="false" ht="15.75" hidden="false" customHeight="false" outlineLevel="0" collapsed="false">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ustomFormat="false" ht="15.75" hidden="false" customHeight="false" outlineLevel="0" collapsed="false">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ustomFormat="false" ht="15.75" hidden="false" customHeight="false" outlineLevel="0" collapsed="false">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ustomFormat="false" ht="15.75" hidden="false" customHeight="false" outlineLevel="0" collapsed="false">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ustomFormat="false" ht="15.75" hidden="false" customHeight="false" outlineLevel="0" collapsed="false">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ustomFormat="false" ht="15.75" hidden="false" customHeight="false" outlineLevel="0" collapsed="false">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ustomFormat="false" ht="15.75" hidden="false" customHeight="false" outlineLevel="0" collapsed="false">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ustomFormat="false" ht="15.75" hidden="false" customHeight="false" outlineLevel="0" collapsed="false">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ustomFormat="false" ht="15.75" hidden="false" customHeight="false" outlineLevel="0" collapsed="false">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ustomFormat="false" ht="15.75" hidden="false" customHeight="false" outlineLevel="0" collapsed="false">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ustomFormat="false" ht="15.75" hidden="false" customHeight="false" outlineLevel="0" collapsed="false">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ustomFormat="false" ht="15.75" hidden="false" customHeight="false" outlineLevel="0" collapsed="false">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ustomFormat="false" ht="15.75" hidden="false" customHeight="false" outlineLevel="0" collapsed="false">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ustomFormat="false" ht="15.75" hidden="false" customHeight="false" outlineLevel="0" collapsed="false">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ustomFormat="false" ht="15.75" hidden="false" customHeight="false" outlineLevel="0" collapsed="false">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ustomFormat="false" ht="15.75" hidden="false" customHeight="false" outlineLevel="0" collapsed="false">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ustomFormat="false" ht="15.75" hidden="false" customHeight="false" outlineLevel="0" collapsed="false">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ustomFormat="false" ht="15.75" hidden="false" customHeight="false" outlineLevel="0" collapsed="false">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ustomFormat="false" ht="15.75" hidden="false" customHeight="false" outlineLevel="0" collapsed="false">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ustomFormat="false" ht="15.75" hidden="false" customHeight="false" outlineLevel="0" collapsed="false">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ustomFormat="false" ht="15.75" hidden="false" customHeight="false" outlineLevel="0" collapsed="false">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ustomFormat="false" ht="15.75" hidden="false" customHeight="false" outlineLevel="0" collapsed="false">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ustomFormat="false" ht="15.75" hidden="false" customHeight="false" outlineLevel="0" collapsed="false">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ustomFormat="false" ht="15.75" hidden="false" customHeight="false" outlineLevel="0" collapsed="false">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ustomFormat="false" ht="15.75" hidden="false" customHeight="false" outlineLevel="0" collapsed="false">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ustomFormat="false" ht="15.75" hidden="false" customHeight="false" outlineLevel="0" collapsed="false">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ustomFormat="false" ht="15.75" hidden="false" customHeight="false" outlineLevel="0" collapsed="false">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ustomFormat="false" ht="15.75" hidden="false" customHeight="false" outlineLevel="0" collapsed="false">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ustomFormat="false" ht="15.75" hidden="false" customHeight="false" outlineLevel="0" collapsed="false">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ustomFormat="false" ht="15.75" hidden="false" customHeight="false" outlineLevel="0" collapsed="false">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ustomFormat="false" ht="15.75" hidden="false" customHeight="false" outlineLevel="0" collapsed="false">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ustomFormat="false" ht="15.75" hidden="false" customHeight="false" outlineLevel="0" collapsed="false">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ustomFormat="false" ht="15.75" hidden="false" customHeight="false" outlineLevel="0" collapsed="false">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ustomFormat="false" ht="15.75" hidden="false" customHeight="false" outlineLevel="0" collapsed="false">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ustomFormat="false" ht="15.75" hidden="false" customHeight="false" outlineLevel="0" collapsed="false">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ustomFormat="false" ht="15.75" hidden="false" customHeight="false" outlineLevel="0" collapsed="false">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ustomFormat="false" ht="15.75" hidden="false" customHeight="false" outlineLevel="0" collapsed="false">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ustomFormat="false" ht="15.75" hidden="false" customHeight="false" outlineLevel="0" collapsed="false">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ustomFormat="false" ht="15.75" hidden="false" customHeight="false" outlineLevel="0" collapsed="false">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ustomFormat="false" ht="15.75" hidden="false" customHeight="false" outlineLevel="0" collapsed="false">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ustomFormat="false" ht="15.75" hidden="false" customHeight="false" outlineLevel="0" collapsed="false">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ustomFormat="false" ht="15.75" hidden="false" customHeight="false" outlineLevel="0" collapsed="false">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ustomFormat="false" ht="15.75" hidden="false" customHeight="false" outlineLevel="0" collapsed="false">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ustomFormat="false" ht="15.75" hidden="false" customHeight="false" outlineLevel="0" collapsed="false">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ustomFormat="false" ht="15.75" hidden="false" customHeight="false" outlineLevel="0" collapsed="false">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ustomFormat="false" ht="15.75" hidden="false" customHeight="false" outlineLevel="0" collapsed="false">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ustomFormat="false" ht="15.75" hidden="false" customHeight="false" outlineLevel="0" collapsed="false">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ustomFormat="false" ht="15.75" hidden="false" customHeight="false" outlineLevel="0" collapsed="false">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ustomFormat="false" ht="15.75" hidden="false" customHeight="false" outlineLevel="0" collapsed="false">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ustomFormat="false" ht="15.75" hidden="false" customHeight="false" outlineLevel="0" collapsed="false">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ustomFormat="false" ht="15.75" hidden="false" customHeight="false" outlineLevel="0" collapsed="false">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ustomFormat="false" ht="15.75" hidden="false" customHeight="false" outlineLevel="0" collapsed="false">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ustomFormat="false" ht="15.75" hidden="false" customHeight="false" outlineLevel="0" collapsed="false">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ustomFormat="false" ht="15.75" hidden="false" customHeight="false" outlineLevel="0" collapsed="false">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ustomFormat="false" ht="15.75" hidden="false" customHeight="false" outlineLevel="0" collapsed="false">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ustomFormat="false" ht="15.75" hidden="false" customHeight="false" outlineLevel="0" collapsed="false">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ustomFormat="false" ht="15.75" hidden="false" customHeight="false" outlineLevel="0" collapsed="false">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ustomFormat="false" ht="15.75" hidden="false" customHeight="false" outlineLevel="0" collapsed="false">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ustomFormat="false" ht="15.75" hidden="false" customHeight="false" outlineLevel="0" collapsed="false">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ustomFormat="false" ht="15.75" hidden="false" customHeight="false" outlineLevel="0" collapsed="false">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ustomFormat="false" ht="15.75" hidden="false" customHeight="false" outlineLevel="0" collapsed="false">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ustomFormat="false" ht="15.75" hidden="false" customHeight="false" outlineLevel="0" collapsed="false">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ustomFormat="false" ht="15.75" hidden="false" customHeight="false" outlineLevel="0" collapsed="false">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ustomFormat="false" ht="15.75" hidden="false" customHeight="false" outlineLevel="0" collapsed="false">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ustomFormat="false" ht="15.75" hidden="false" customHeight="false" outlineLevel="0" collapsed="false">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ustomFormat="false" ht="15.75" hidden="false" customHeight="false" outlineLevel="0" collapsed="false">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ustomFormat="false" ht="15.75" hidden="false" customHeight="false" outlineLevel="0" collapsed="false">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ustomFormat="false" ht="15.75" hidden="false" customHeight="false" outlineLevel="0" collapsed="false">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ustomFormat="false" ht="15.75" hidden="false" customHeight="false" outlineLevel="0" collapsed="false">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ustomFormat="false" ht="15.75" hidden="false" customHeight="false" outlineLevel="0" collapsed="false">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ustomFormat="false" ht="15.75" hidden="false" customHeight="false" outlineLevel="0" collapsed="false">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ustomFormat="false" ht="15.75" hidden="false" customHeight="false" outlineLevel="0" collapsed="false">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ustomFormat="false" ht="15.75" hidden="false" customHeight="false" outlineLevel="0" collapsed="false">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ustomFormat="false" ht="15.75" hidden="false" customHeight="false" outlineLevel="0" collapsed="false">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ustomFormat="false" ht="15.75" hidden="false" customHeight="false" outlineLevel="0" collapsed="false">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ustomFormat="false" ht="15.75" hidden="false" customHeight="false" outlineLevel="0" collapsed="false">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ustomFormat="false" ht="15.75" hidden="false" customHeight="false" outlineLevel="0" collapsed="false">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ustomFormat="false" ht="15.75" hidden="false" customHeight="false" outlineLevel="0" collapsed="false">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ustomFormat="false" ht="15.75" hidden="false" customHeight="false" outlineLevel="0" collapsed="false">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ustomFormat="false" ht="15.75" hidden="false" customHeight="false" outlineLevel="0" collapsed="false">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ustomFormat="false" ht="15.75" hidden="false" customHeight="false" outlineLevel="0" collapsed="false">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ustomFormat="false" ht="15.75" hidden="false" customHeight="false" outlineLevel="0" collapsed="false">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ustomFormat="false" ht="15.75" hidden="false" customHeight="false" outlineLevel="0" collapsed="false">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ustomFormat="false" ht="15.75" hidden="false" customHeight="false" outlineLevel="0" collapsed="false">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ustomFormat="false" ht="15.75" hidden="false" customHeight="false" outlineLevel="0" collapsed="false">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ustomFormat="false" ht="15.75" hidden="false" customHeight="false" outlineLevel="0" collapsed="false">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ustomFormat="false" ht="15.75" hidden="false" customHeight="false" outlineLevel="0" collapsed="false">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ustomFormat="false" ht="15.75" hidden="false" customHeight="false" outlineLevel="0" collapsed="false">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ustomFormat="false" ht="15.75" hidden="false" customHeight="false" outlineLevel="0" collapsed="false">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ustomFormat="false" ht="15.75" hidden="false" customHeight="false" outlineLevel="0" collapsed="false">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ustomFormat="false" ht="15.75" hidden="false" customHeight="false" outlineLevel="0" collapsed="false">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ustomFormat="false" ht="15.75" hidden="false" customHeight="false" outlineLevel="0" collapsed="false">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ustomFormat="false" ht="15.75" hidden="false" customHeight="false" outlineLevel="0" collapsed="false">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ustomFormat="false" ht="15.75" hidden="false" customHeight="false" outlineLevel="0" collapsed="false">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ustomFormat="false" ht="15.75" hidden="false" customHeight="false" outlineLevel="0" collapsed="false">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ustomFormat="false" ht="15.75" hidden="false" customHeight="false" outlineLevel="0" collapsed="false">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ustomFormat="false" ht="15.75" hidden="false" customHeight="false" outlineLevel="0" collapsed="false">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ustomFormat="false" ht="15.75" hidden="false" customHeight="false" outlineLevel="0" collapsed="false">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ustomFormat="false" ht="15.75" hidden="false" customHeight="false" outlineLevel="0" collapsed="false">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ustomFormat="false" ht="15.75" hidden="false" customHeight="false" outlineLevel="0" collapsed="false">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ustomFormat="false" ht="15.75" hidden="false" customHeight="false" outlineLevel="0" collapsed="false">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ustomFormat="false" ht="15.75" hidden="false" customHeight="false" outlineLevel="0" collapsed="false">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ustomFormat="false" ht="15.75" hidden="false" customHeight="false" outlineLevel="0" collapsed="false">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ustomFormat="false" ht="15.75" hidden="false" customHeight="false" outlineLevel="0" collapsed="false">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ustomFormat="false" ht="15.75" hidden="false" customHeight="false" outlineLevel="0" collapsed="false">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ustomFormat="false" ht="15.75" hidden="false" customHeight="false" outlineLevel="0" collapsed="false">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ustomFormat="false" ht="15.75" hidden="false" customHeight="false" outlineLevel="0" collapsed="false">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ustomFormat="false" ht="15.75" hidden="false" customHeight="false" outlineLevel="0" collapsed="false">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ustomFormat="false" ht="15.75" hidden="false" customHeight="false" outlineLevel="0" collapsed="false">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ustomFormat="false" ht="15.75" hidden="false" customHeight="false" outlineLevel="0" collapsed="false">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ustomFormat="false" ht="15.75" hidden="false" customHeight="false" outlineLevel="0" collapsed="false">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ustomFormat="false" ht="15.75" hidden="false" customHeight="false" outlineLevel="0" collapsed="false">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ustomFormat="false" ht="15.75" hidden="false" customHeight="false" outlineLevel="0" collapsed="false">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ustomFormat="false" ht="15.75" hidden="false" customHeight="false" outlineLevel="0" collapsed="false">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ustomFormat="false" ht="15.75" hidden="false" customHeight="false" outlineLevel="0" collapsed="false">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ustomFormat="false" ht="15.75" hidden="false" customHeight="false" outlineLevel="0" collapsed="false">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ustomFormat="false" ht="15.75" hidden="false" customHeight="false" outlineLevel="0" collapsed="false">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ustomFormat="false" ht="15.75" hidden="false" customHeight="false" outlineLevel="0" collapsed="false">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ustomFormat="false" ht="15.75" hidden="false" customHeight="false" outlineLevel="0" collapsed="false">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ustomFormat="false" ht="15.75" hidden="false" customHeight="false" outlineLevel="0" collapsed="false">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ustomFormat="false" ht="15.75" hidden="false" customHeight="false" outlineLevel="0" collapsed="false">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ustomFormat="false" ht="15.75" hidden="false" customHeight="false" outlineLevel="0" collapsed="false">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ustomFormat="false" ht="15.75" hidden="false" customHeight="false" outlineLevel="0" collapsed="false">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ustomFormat="false" ht="15.75" hidden="false" customHeight="false" outlineLevel="0" collapsed="false">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ustomFormat="false" ht="15.75" hidden="false" customHeight="false" outlineLevel="0" collapsed="false">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ustomFormat="false" ht="15.75" hidden="false" customHeight="false" outlineLevel="0" collapsed="false">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ustomFormat="false" ht="15.75" hidden="false" customHeight="false" outlineLevel="0" collapsed="false">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ustomFormat="false" ht="15.75" hidden="false" customHeight="false" outlineLevel="0" collapsed="false">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ustomFormat="false" ht="15.75" hidden="false" customHeight="false" outlineLevel="0" collapsed="false">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ustomFormat="false" ht="15.75" hidden="false" customHeight="false" outlineLevel="0" collapsed="false">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ustomFormat="false" ht="15.75" hidden="false" customHeight="false" outlineLevel="0" collapsed="false">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ustomFormat="false" ht="15.75" hidden="false" customHeight="false" outlineLevel="0" collapsed="false">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ustomFormat="false" ht="15.75" hidden="false" customHeight="false" outlineLevel="0" collapsed="false">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ustomFormat="false" ht="15.75" hidden="false" customHeight="false" outlineLevel="0" collapsed="false">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ustomFormat="false" ht="15.75" hidden="false" customHeight="false" outlineLevel="0" collapsed="false">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ustomFormat="false" ht="15.75" hidden="false" customHeight="false" outlineLevel="0" collapsed="false">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ustomFormat="false" ht="15.75" hidden="false" customHeight="false" outlineLevel="0" collapsed="false">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ustomFormat="false" ht="15.75" hidden="false" customHeight="false" outlineLevel="0" collapsed="false">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ustomFormat="false" ht="15.75" hidden="false" customHeight="false" outlineLevel="0" collapsed="false">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ustomFormat="false" ht="15.75" hidden="false" customHeight="false" outlineLevel="0" collapsed="false">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ustomFormat="false" ht="15.75" hidden="false" customHeight="false" outlineLevel="0" collapsed="false">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ustomFormat="false" ht="15.75" hidden="false" customHeight="false" outlineLevel="0" collapsed="false">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ustomFormat="false" ht="15.75" hidden="false" customHeight="false" outlineLevel="0" collapsed="false">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ustomFormat="false" ht="15.75" hidden="false" customHeight="false" outlineLevel="0" collapsed="false">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ustomFormat="false" ht="15.75" hidden="false" customHeight="false" outlineLevel="0" collapsed="false">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ustomFormat="false" ht="15.75" hidden="false" customHeight="false" outlineLevel="0" collapsed="false">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ustomFormat="false" ht="15.75" hidden="false" customHeight="false" outlineLevel="0" collapsed="false">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ustomFormat="false" ht="15.75" hidden="false" customHeight="false" outlineLevel="0" collapsed="false">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ustomFormat="false" ht="15.75" hidden="false" customHeight="false" outlineLevel="0" collapsed="false">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ustomFormat="false" ht="15.75" hidden="false" customHeight="false" outlineLevel="0" collapsed="false">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ustomFormat="false" ht="15.75" hidden="false" customHeight="false" outlineLevel="0" collapsed="false">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ustomFormat="false" ht="15.75" hidden="false" customHeight="false" outlineLevel="0" collapsed="false">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ustomFormat="false" ht="15.75" hidden="false" customHeight="false" outlineLevel="0" collapsed="false">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ustomFormat="false" ht="15.75" hidden="false" customHeight="false" outlineLevel="0" collapsed="false">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ustomFormat="false" ht="15.75" hidden="false" customHeight="false" outlineLevel="0" collapsed="false">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ustomFormat="false" ht="15.75" hidden="false" customHeight="false" outlineLevel="0" collapsed="false">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ustomFormat="false" ht="15.75" hidden="false" customHeight="false" outlineLevel="0" collapsed="false">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ustomFormat="false" ht="15.75" hidden="false" customHeight="false" outlineLevel="0" collapsed="false">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ustomFormat="false" ht="15.75" hidden="false" customHeight="false" outlineLevel="0" collapsed="false">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ustomFormat="false" ht="15.75" hidden="false" customHeight="false" outlineLevel="0" collapsed="false">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ustomFormat="false" ht="15.75" hidden="false" customHeight="false" outlineLevel="0" collapsed="false">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ustomFormat="false" ht="15.75" hidden="false" customHeight="false" outlineLevel="0" collapsed="false">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ustomFormat="false" ht="15.75" hidden="false" customHeight="false" outlineLevel="0" collapsed="false">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ustomFormat="false" ht="15.75" hidden="false" customHeight="false" outlineLevel="0" collapsed="false">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ustomFormat="false" ht="15.75" hidden="false" customHeight="false" outlineLevel="0" collapsed="false">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ustomFormat="false" ht="15.75" hidden="false" customHeight="false" outlineLevel="0" collapsed="false">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ustomFormat="false" ht="15.75" hidden="false" customHeight="false" outlineLevel="0" collapsed="false">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ustomFormat="false" ht="15.75" hidden="false" customHeight="false" outlineLevel="0" collapsed="false">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ustomFormat="false" ht="15.75" hidden="false" customHeight="false" outlineLevel="0" collapsed="false">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ustomFormat="false" ht="15.75" hidden="false" customHeight="false" outlineLevel="0" collapsed="false">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ustomFormat="false" ht="15.75" hidden="false" customHeight="false" outlineLevel="0" collapsed="false">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ustomFormat="false" ht="15.75" hidden="false" customHeight="false" outlineLevel="0" collapsed="false">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ustomFormat="false" ht="15.75" hidden="false" customHeight="false" outlineLevel="0" collapsed="false">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ustomFormat="false" ht="15.75" hidden="false" customHeight="false" outlineLevel="0" collapsed="false">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ustomFormat="false" ht="15.75" hidden="false" customHeight="false" outlineLevel="0" collapsed="false">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ustomFormat="false" ht="15.75" hidden="false" customHeight="false" outlineLevel="0" collapsed="false">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ustomFormat="false" ht="15.75" hidden="false" customHeight="false" outlineLevel="0" collapsed="false">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ustomFormat="false" ht="15.75" hidden="false" customHeight="false" outlineLevel="0" collapsed="false">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ustomFormat="false" ht="15.75" hidden="false" customHeight="false" outlineLevel="0" collapsed="false">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ustomFormat="false" ht="15.75" hidden="false" customHeight="false" outlineLevel="0" collapsed="false">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ustomFormat="false" ht="15.75" hidden="false" customHeight="false" outlineLevel="0" collapsed="false">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ustomFormat="false" ht="15.75" hidden="false" customHeight="false" outlineLevel="0" collapsed="false">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ustomFormat="false" ht="15.75" hidden="false" customHeight="false" outlineLevel="0" collapsed="false">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ustomFormat="false" ht="15.75" hidden="false" customHeight="false" outlineLevel="0" collapsed="false">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ustomFormat="false" ht="15.75" hidden="false" customHeight="false" outlineLevel="0" collapsed="false">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ustomFormat="false" ht="15.75" hidden="false" customHeight="false" outlineLevel="0" collapsed="false">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ustomFormat="false" ht="15.75" hidden="false" customHeight="false" outlineLevel="0" collapsed="false">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ustomFormat="false" ht="15.75" hidden="false" customHeight="false" outlineLevel="0" collapsed="false">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ustomFormat="false" ht="15.75" hidden="false" customHeight="false" outlineLevel="0" collapsed="false">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ustomFormat="false" ht="15.75" hidden="false" customHeight="false" outlineLevel="0" collapsed="false">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ustomFormat="false" ht="15.75" hidden="false" customHeight="false" outlineLevel="0" collapsed="false">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ustomFormat="false" ht="15.75" hidden="false" customHeight="false" outlineLevel="0" collapsed="false">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ustomFormat="false" ht="15.75" hidden="false" customHeight="false" outlineLevel="0" collapsed="false">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ustomFormat="false" ht="15.75" hidden="false" customHeight="false" outlineLevel="0" collapsed="false">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ustomFormat="false" ht="15.75" hidden="false" customHeight="false" outlineLevel="0" collapsed="false">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ustomFormat="false" ht="15.75" hidden="false" customHeight="false" outlineLevel="0" collapsed="false">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ustomFormat="false" ht="15.75" hidden="false" customHeight="false" outlineLevel="0" collapsed="false">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ustomFormat="false" ht="15.75" hidden="false" customHeight="false" outlineLevel="0" collapsed="false">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ustomFormat="false" ht="15.75" hidden="false" customHeight="false" outlineLevel="0" collapsed="false">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ustomFormat="false" ht="15.75" hidden="false" customHeight="false" outlineLevel="0" collapsed="false">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ustomFormat="false" ht="15.75" hidden="false" customHeight="false" outlineLevel="0" collapsed="false">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ustomFormat="false" ht="15.75" hidden="false" customHeight="false" outlineLevel="0" collapsed="false">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ustomFormat="false" ht="15.75" hidden="false" customHeight="false" outlineLevel="0" collapsed="false">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ustomFormat="false" ht="15.75" hidden="false" customHeight="false" outlineLevel="0" collapsed="false">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ustomFormat="false" ht="15.75" hidden="false" customHeight="false" outlineLevel="0" collapsed="false">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ustomFormat="false" ht="15.75" hidden="false" customHeight="false" outlineLevel="0" collapsed="false">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ustomFormat="false" ht="15.75" hidden="false" customHeight="false" outlineLevel="0" collapsed="false">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ustomFormat="false" ht="15.75" hidden="false" customHeight="false" outlineLevel="0" collapsed="false">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ustomFormat="false" ht="15.75" hidden="false" customHeight="false" outlineLevel="0" collapsed="false">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ustomFormat="false" ht="15.75" hidden="false" customHeight="false" outlineLevel="0" collapsed="false">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ustomFormat="false" ht="15.75" hidden="false" customHeight="false" outlineLevel="0" collapsed="false">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ustomFormat="false" ht="15.75" hidden="false" customHeight="false" outlineLevel="0" collapsed="false">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ustomFormat="false" ht="15.75" hidden="false" customHeight="false" outlineLevel="0" collapsed="false">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ustomFormat="false" ht="15.75" hidden="false" customHeight="false" outlineLevel="0" collapsed="false">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ustomFormat="false" ht="15.75" hidden="false" customHeight="false" outlineLevel="0" collapsed="false">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ustomFormat="false" ht="15.75" hidden="false" customHeight="false" outlineLevel="0" collapsed="false">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ustomFormat="false" ht="15.75" hidden="false" customHeight="false" outlineLevel="0" collapsed="false">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ustomFormat="false" ht="15.75" hidden="false" customHeight="false" outlineLevel="0" collapsed="false">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ustomFormat="false" ht="15.75" hidden="false" customHeight="false" outlineLevel="0" collapsed="false">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ustomFormat="false" ht="15.75" hidden="false" customHeight="false" outlineLevel="0" collapsed="false">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ustomFormat="false" ht="15.75" hidden="false" customHeight="false" outlineLevel="0" collapsed="false">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ustomFormat="false" ht="15.75" hidden="false" customHeight="false" outlineLevel="0" collapsed="false">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ustomFormat="false" ht="15.75" hidden="false" customHeight="false" outlineLevel="0" collapsed="false">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ustomFormat="false" ht="15.75" hidden="false" customHeight="false" outlineLevel="0" collapsed="false">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ustomFormat="false" ht="15.75" hidden="false" customHeight="false" outlineLevel="0" collapsed="false">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ustomFormat="false" ht="15.75" hidden="false" customHeight="false" outlineLevel="0" collapsed="false">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ustomFormat="false" ht="15.75" hidden="false" customHeight="false" outlineLevel="0" collapsed="false">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ustomFormat="false" ht="15.75" hidden="false" customHeight="false" outlineLevel="0" collapsed="false">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ustomFormat="false" ht="15.75" hidden="false" customHeight="false" outlineLevel="0" collapsed="false">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ustomFormat="false" ht="15.75" hidden="false" customHeight="false" outlineLevel="0" collapsed="false">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ustomFormat="false" ht="15.75" hidden="false" customHeight="false" outlineLevel="0" collapsed="false">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ustomFormat="false" ht="15.75" hidden="false" customHeight="false" outlineLevel="0" collapsed="false">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ustomFormat="false" ht="15.75" hidden="false" customHeight="false" outlineLevel="0" collapsed="false">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ustomFormat="false" ht="15.75" hidden="false" customHeight="false" outlineLevel="0" collapsed="false">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ustomFormat="false" ht="15.75" hidden="false" customHeight="false" outlineLevel="0" collapsed="false">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ustomFormat="false" ht="15.75" hidden="false" customHeight="false" outlineLevel="0" collapsed="false">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ustomFormat="false" ht="15.75" hidden="false" customHeight="false" outlineLevel="0" collapsed="false">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ustomFormat="false" ht="15.75" hidden="false" customHeight="false" outlineLevel="0" collapsed="false">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ustomFormat="false" ht="15.75" hidden="false" customHeight="false" outlineLevel="0" collapsed="false">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ustomFormat="false" ht="15.75" hidden="false" customHeight="false" outlineLevel="0" collapsed="false">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ustomFormat="false" ht="15.75" hidden="false" customHeight="false" outlineLevel="0" collapsed="false">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ustomFormat="false" ht="15.75" hidden="false" customHeight="false" outlineLevel="0" collapsed="false">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ustomFormat="false" ht="15.75" hidden="false" customHeight="false" outlineLevel="0" collapsed="false">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ustomFormat="false" ht="15.75" hidden="false" customHeight="false" outlineLevel="0" collapsed="false">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ustomFormat="false" ht="15.75" hidden="false" customHeight="false" outlineLevel="0" collapsed="false">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ustomFormat="false" ht="15.75" hidden="false" customHeight="false" outlineLevel="0" collapsed="false">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ustomFormat="false" ht="15.75" hidden="false" customHeight="false" outlineLevel="0" collapsed="false">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ustomFormat="false" ht="15.75" hidden="false" customHeight="false" outlineLevel="0" collapsed="false">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ustomFormat="false" ht="15.75" hidden="false" customHeight="fals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ustomFormat="false" ht="15.75" hidden="false" customHeight="false" outlineLevel="0" collapsed="false">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ustomFormat="false" ht="15.75" hidden="false" customHeight="false" outlineLevel="0" collapsed="false">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ustomFormat="false" ht="15.75" hidden="false" customHeight="fals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ustomFormat="false" ht="15.75" hidden="false" customHeight="fals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ustomFormat="false" ht="15.75" hidden="false" customHeight="fals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ustomFormat="false" ht="15.75" hidden="false" customHeight="fals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ustomFormat="false" ht="15.75" hidden="false" customHeight="fals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ustomFormat="false" ht="15.75" hidden="false" customHeight="fals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ustomFormat="false" ht="15.75" hidden="false" customHeight="fals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ustomFormat="false" ht="15.75" hidden="false" customHeight="fals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ustomFormat="false" ht="15.75" hidden="false" customHeight="fals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ustomFormat="false" ht="15.75" hidden="false" customHeight="fals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ustomFormat="false" ht="15.75" hidden="false" customHeight="fals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ustomFormat="false" ht="15.75" hidden="false" customHeight="fals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ustomFormat="false" ht="15.75" hidden="false" customHeight="fals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ustomFormat="false" ht="15.75" hidden="false" customHeight="fals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ustomFormat="false" ht="15.75" hidden="false" customHeight="fals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ustomFormat="false" ht="15.75" hidden="false" customHeight="fals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ustomFormat="false" ht="15.75" hidden="false" customHeight="fals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ustomFormat="false" ht="15.75" hidden="false" customHeight="fals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ustomFormat="false" ht="15.75" hidden="false" customHeight="fals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ustomFormat="false" ht="15.75" hidden="false" customHeight="fals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ustomFormat="false" ht="15.75" hidden="false" customHeight="fals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ustomFormat="false" ht="15.75" hidden="false" customHeight="fals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ustomFormat="false" ht="15.75" hidden="false" customHeight="fals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ustomFormat="false" ht="15.75" hidden="false" customHeight="fals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ustomFormat="false" ht="15.75" hidden="false" customHeight="fals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ustomFormat="false" ht="15.75" hidden="false" customHeight="fals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ustomFormat="false" ht="15.75" hidden="false" customHeight="fals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ustomFormat="false" ht="15.75" hidden="false" customHeight="fals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ustomFormat="false" ht="15.75" hidden="false" customHeight="fals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ustomFormat="false" ht="15.75" hidden="false" customHeight="fals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ustomFormat="false" ht="15.75" hidden="false" customHeight="fals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ustomFormat="false" ht="15.75" hidden="false" customHeight="fals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ustomFormat="false" ht="15.75" hidden="false" customHeight="fals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ustomFormat="false" ht="15.75" hidden="false" customHeight="fals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ustomFormat="false" ht="15.75" hidden="false" customHeight="fals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ustomFormat="false" ht="15.75" hidden="false" customHeight="fals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ustomFormat="false" ht="15.75" hidden="false" customHeight="fals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ustomFormat="false" ht="15.75" hidden="false" customHeight="fals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ustomFormat="false" ht="15.75" hidden="false" customHeight="fals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ustomFormat="false" ht="15.75" hidden="false" customHeight="fals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ustomFormat="false" ht="15.75" hidden="false" customHeight="fals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ustomFormat="false" ht="15.75" hidden="false" customHeight="fals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ustomFormat="false" ht="15.75" hidden="false" customHeight="fals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ustomFormat="false" ht="15.75" hidden="false" customHeight="fals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ustomFormat="false" ht="15.75" hidden="false" customHeight="fals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ustomFormat="false" ht="15.75" hidden="false" customHeight="fals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ustomFormat="false" ht="15.75" hidden="false" customHeight="fals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ustomFormat="false" ht="15.75" hidden="false" customHeight="fals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ustomFormat="false" ht="15.75" hidden="false" customHeight="fals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ustomFormat="false" ht="15.75" hidden="false" customHeight="fals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ustomFormat="false" ht="15.75" hidden="false" customHeight="fals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ustomFormat="false" ht="15.75" hidden="false" customHeight="fals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ustomFormat="false" ht="15.75" hidden="false" customHeight="fals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ustomFormat="false" ht="15.75" hidden="false" customHeight="fals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ustomFormat="false" ht="15.75" hidden="false" customHeight="fals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ustomFormat="false" ht="15.75" hidden="false" customHeight="fals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ustomFormat="false" ht="15.75" hidden="false" customHeight="fals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ustomFormat="false" ht="15.75" hidden="false" customHeight="fals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ustomFormat="false" ht="15.75" hidden="false" customHeight="fals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ustomFormat="false" ht="15.75" hidden="false" customHeight="fals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ustomFormat="false" ht="15.75" hidden="false" customHeight="fals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ustomFormat="false" ht="15.75" hidden="false" customHeight="fals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ustomFormat="false" ht="15.75" hidden="false" customHeight="fals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ustomFormat="false" ht="15.75" hidden="false" customHeight="fals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ustomFormat="false" ht="15.75" hidden="false" customHeight="fals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ustomFormat="false" ht="15.75" hidden="false" customHeight="fals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ustomFormat="false" ht="15.75" hidden="false" customHeight="fals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ustomFormat="false" ht="15.75" hidden="false" customHeight="fals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ustomFormat="false" ht="15.75" hidden="false" customHeight="fals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ustomFormat="false" ht="15.75" hidden="false" customHeight="fals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ustomFormat="false" ht="15.75" hidden="false" customHeight="fals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ustomFormat="false" ht="15.75" hidden="false" customHeight="fals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ustomFormat="false" ht="15.75" hidden="false" customHeight="fals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ustomFormat="false" ht="15.75" hidden="false" customHeight="fals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ustomFormat="false" ht="15.75" hidden="false" customHeight="fals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ustomFormat="false" ht="15.75" hidden="false" customHeight="fals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ustomFormat="false" ht="15.75" hidden="false" customHeight="fals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ustomFormat="false" ht="15.75" hidden="false" customHeight="fals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ustomFormat="false" ht="15.75" hidden="false" customHeight="fals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ustomFormat="false" ht="15.75" hidden="false" customHeight="fals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ustomFormat="false" ht="15.75" hidden="false" customHeight="fals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ustomFormat="false" ht="15.75" hidden="false" customHeight="fals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ustomFormat="false" ht="15.75" hidden="false" customHeight="fals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ustomFormat="false" ht="15.75" hidden="false" customHeight="fals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ustomFormat="false" ht="15.75" hidden="false" customHeight="fals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ustomFormat="false" ht="15.75" hidden="false" customHeight="fals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ustomFormat="false" ht="15.75" hidden="false" customHeight="fals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ustomFormat="false" ht="15.75" hidden="false" customHeight="fals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ustomFormat="false" ht="15.75" hidden="false" customHeight="fals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ustomFormat="false" ht="15.75" hidden="false" customHeight="fals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ustomFormat="false" ht="15.75" hidden="false" customHeight="fals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ustomFormat="false" ht="15.75" hidden="false" customHeight="fals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ustomFormat="false" ht="15.75" hidden="false" customHeight="fals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ustomFormat="false" ht="15.75" hidden="false" customHeight="fals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ustomFormat="false" ht="15.75" hidden="false" customHeight="fals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ustomFormat="false" ht="15.75" hidden="false" customHeight="fals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ustomFormat="false" ht="15.75" hidden="false" customHeight="fals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ustomFormat="false" ht="15.75" hidden="false" customHeight="fals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ustomFormat="false" ht="15.75" hidden="false" customHeight="fals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ustomFormat="false" ht="15.75" hidden="false" customHeight="fals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ustomFormat="false" ht="15.75" hidden="false" customHeight="fals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ustomFormat="false" ht="15.75" hidden="false" customHeight="fals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ustomFormat="false" ht="15.75" hidden="false" customHeight="fals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ustomFormat="false" ht="15.75" hidden="false" customHeight="fals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ustomFormat="false" ht="15.75" hidden="false" customHeight="fals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ustomFormat="false" ht="15.75" hidden="false" customHeight="fals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ustomFormat="false" ht="15.75" hidden="false" customHeight="fals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ustomFormat="false" ht="15.75" hidden="false" customHeight="fals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ustomFormat="false" ht="15.75" hidden="false" customHeight="fals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ustomFormat="false" ht="15.75" hidden="false" customHeight="fals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ustomFormat="false" ht="15.75" hidden="false" customHeight="fals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ustomFormat="false" ht="15.75" hidden="false" customHeight="fals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ustomFormat="false" ht="15.75" hidden="false" customHeight="fals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ustomFormat="false" ht="15.75" hidden="false" customHeight="fals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ustomFormat="false" ht="15.75" hidden="false" customHeight="fals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ustomFormat="false" ht="15.75" hidden="false" customHeight="fals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ustomFormat="false" ht="15.75" hidden="false" customHeight="fals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ustomFormat="false" ht="15.75" hidden="false" customHeight="fals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ustomFormat="false" ht="15.75" hidden="false" customHeight="fals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ustomFormat="false" ht="15.75" hidden="false" customHeight="fals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ustomFormat="false" ht="15.75" hidden="false" customHeight="fals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ustomFormat="false" ht="15.75" hidden="false" customHeight="fals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ustomFormat="false" ht="15.75" hidden="false" customHeight="fals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ustomFormat="false" ht="15.75" hidden="false" customHeight="fals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ustomFormat="false" ht="15.75" hidden="false" customHeight="fals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ustomFormat="false" ht="15.75" hidden="false" customHeight="fals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ustomFormat="false" ht="15.75" hidden="false" customHeight="fals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ustomFormat="false" ht="15.75" hidden="false" customHeight="fals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ustomFormat="false" ht="15.75" hidden="false" customHeight="fals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ustomFormat="false" ht="15.75" hidden="false" customHeight="fals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ustomFormat="false" ht="15.75" hidden="false" customHeight="fals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ustomFormat="false" ht="15.75" hidden="false" customHeight="fals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ustomFormat="false" ht="15.75" hidden="false" customHeight="fals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ustomFormat="false" ht="15.75" hidden="false" customHeight="fals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ustomFormat="false" ht="15.75" hidden="false" customHeight="fals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ustomFormat="false" ht="15.75" hidden="false" customHeight="fals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ustomFormat="false" ht="15.75" hidden="false" customHeight="fals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ustomFormat="false" ht="15.75" hidden="false" customHeight="fals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ustomFormat="false" ht="15.75" hidden="false" customHeight="fals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ustomFormat="false" ht="15.75" hidden="false" customHeight="fals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ustomFormat="false" ht="15.75" hidden="false" customHeight="fals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ustomFormat="false" ht="15.75" hidden="false" customHeight="fals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ustomFormat="false" ht="15.75" hidden="false" customHeight="fals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ustomFormat="false" ht="15.75" hidden="false" customHeight="fals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ustomFormat="false" ht="15.75" hidden="false" customHeight="fals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ustomFormat="false" ht="15.75" hidden="false" customHeight="fals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ustomFormat="false" ht="15.75" hidden="false" customHeight="fals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ustomFormat="false" ht="15.75" hidden="false" customHeight="fals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ustomFormat="false" ht="15.75" hidden="false" customHeight="fals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ustomFormat="false" ht="15.75" hidden="false" customHeight="fals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ustomFormat="false" ht="15.75" hidden="false" customHeight="fals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ustomFormat="false" ht="15.75" hidden="false" customHeight="fals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ustomFormat="false" ht="15.75" hidden="false" customHeight="fals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ustomFormat="false" ht="15.75" hidden="false" customHeight="fals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ustomFormat="false" ht="15.75" hidden="false" customHeight="fals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ustomFormat="false" ht="15.75" hidden="false" customHeight="fals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ustomFormat="false" ht="15.75" hidden="false" customHeight="fals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ustomFormat="false" ht="15.75" hidden="false" customHeight="fals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ustomFormat="false" ht="15.75" hidden="false" customHeight="fals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ustomFormat="false" ht="15.75" hidden="false" customHeight="fals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ustomFormat="false" ht="15.75" hidden="false" customHeight="fals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ustomFormat="false" ht="15.75" hidden="false" customHeight="fals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ustomFormat="false" ht="15.75" hidden="false" customHeight="fals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ustomFormat="false" ht="15.75" hidden="false" customHeight="fals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ustomFormat="false" ht="15.75" hidden="false" customHeight="fals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ustomFormat="false" ht="15.75" hidden="false" customHeight="fals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ustomFormat="false" ht="15.75" hidden="false" customHeight="fals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ustomFormat="false" ht="15.75" hidden="false" customHeight="fals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ustomFormat="false" ht="15.75" hidden="false" customHeight="fals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ustomFormat="false" ht="15.75" hidden="false" customHeight="fals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ustomFormat="false" ht="15.75" hidden="false" customHeight="fals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ustomFormat="false" ht="15.75" hidden="false" customHeight="fals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ustomFormat="false" ht="15.75" hidden="false" customHeight="fals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ustomFormat="false" ht="15.75" hidden="false" customHeight="fals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ustomFormat="false" ht="15.75" hidden="false" customHeight="fals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ustomFormat="false" ht="15.75" hidden="false" customHeight="fals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ustomFormat="false" ht="15.75" hidden="false" customHeight="fals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ustomFormat="false" ht="15.75" hidden="false" customHeight="fals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ustomFormat="false" ht="15.75" hidden="false" customHeight="fals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ustomFormat="false" ht="15.75" hidden="false" customHeight="fals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ustomFormat="false" ht="15.75" hidden="false" customHeight="fals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ustomFormat="false" ht="15.75" hidden="false" customHeight="fals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ustomFormat="false" ht="15.75" hidden="false" customHeight="fals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ustomFormat="false" ht="15.75" hidden="false" customHeight="fals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ustomFormat="false" ht="15.75" hidden="false" customHeight="fals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ustomFormat="false" ht="15.75" hidden="false" customHeight="fals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ustomFormat="false" ht="15.75" hidden="false" customHeight="fals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ustomFormat="false" ht="15.75" hidden="false" customHeight="fals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ustomFormat="false" ht="15.75" hidden="false" customHeight="fals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ustomFormat="false" ht="15.75" hidden="false" customHeight="fals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ustomFormat="false" ht="15.75" hidden="false" customHeight="fals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ustomFormat="false" ht="15.75" hidden="false" customHeight="fals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ustomFormat="false" ht="15.75" hidden="false" customHeight="fals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ustomFormat="false" ht="15.75" hidden="false" customHeight="fals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ustomFormat="false" ht="15.75" hidden="false" customHeight="fals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ustomFormat="false" ht="15.75" hidden="false" customHeight="fals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ustomFormat="false" ht="15.75" hidden="false" customHeight="fals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ustomFormat="false" ht="15.75" hidden="false" customHeight="fals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ustomFormat="false" ht="15.75" hidden="false" customHeight="fals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ustomFormat="false" ht="15.75" hidden="false" customHeight="fals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ustomFormat="false" ht="15.75" hidden="false" customHeight="fals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ustomFormat="false" ht="15.75" hidden="false" customHeight="fals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ustomFormat="false" ht="15.75" hidden="false" customHeight="fals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ustomFormat="false" ht="15.75" hidden="false" customHeight="fals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ustomFormat="false" ht="15.75" hidden="false" customHeight="fals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ustomFormat="false" ht="15.75" hidden="false" customHeight="fals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ustomFormat="false" ht="15.75" hidden="false" customHeight="fals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ustomFormat="false" ht="15.75" hidden="false" customHeight="fals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ustomFormat="false" ht="15.75" hidden="false" customHeight="fals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ustomFormat="false" ht="15.75" hidden="false" customHeight="fals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ustomFormat="false" ht="15.75" hidden="false" customHeight="fals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ustomFormat="false" ht="15.75" hidden="false" customHeight="fals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ustomFormat="false" ht="15.75" hidden="false" customHeight="fals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ustomFormat="false" ht="15.75" hidden="false" customHeight="fals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ustomFormat="false" ht="15.75" hidden="false" customHeight="fals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ustomFormat="false" ht="15.75" hidden="false" customHeight="fals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ustomFormat="false" ht="15.75" hidden="false" customHeight="fals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ustomFormat="false" ht="15.75" hidden="false" customHeight="fals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ustomFormat="false" ht="15.75" hidden="false" customHeight="fals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ustomFormat="false" ht="15.75" hidden="false" customHeight="fals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ustomFormat="false" ht="15.75" hidden="false" customHeight="fals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ustomFormat="false" ht="15.75" hidden="false" customHeight="fals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ustomFormat="false" ht="15.75" hidden="false" customHeight="fals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ustomFormat="false" ht="15.75" hidden="false" customHeight="fals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ustomFormat="false" ht="15.75" hidden="false" customHeight="fals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ustomFormat="false" ht="15.75" hidden="false" customHeight="fals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ustomFormat="false" ht="15.75" hidden="false" customHeight="fals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ustomFormat="false" ht="15.75" hidden="false" customHeight="fals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ustomFormat="false" ht="15.75" hidden="false" customHeight="false" outlineLevel="0" collapsed="false">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ustomFormat="false" ht="15.75" hidden="false" customHeight="false" outlineLevel="0" collapsed="false">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ustomFormat="false" ht="15.75" hidden="false" customHeight="false" outlineLevel="0" collapsed="false">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ustomFormat="false" ht="15.75" hidden="false" customHeight="false" outlineLevel="0" collapsed="false">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ustomFormat="false" ht="15.75" hidden="false" customHeight="false" outlineLevel="0" collapsed="false">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ustomFormat="false" ht="15.75" hidden="false" customHeight="false" outlineLevel="0" collapsed="false">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ustomFormat="false" ht="15.75" hidden="false" customHeight="false" outlineLevel="0" collapsed="false">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ustomFormat="false" ht="15.75" hidden="false" customHeight="false" outlineLevel="0" collapsed="false">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ustomFormat="false" ht="15.75" hidden="false" customHeight="false" outlineLevel="0" collapsed="false">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ustomFormat="false" ht="15.75" hidden="false" customHeight="false" outlineLevel="0" collapsed="false">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ustomFormat="false" ht="15.75" hidden="false" customHeight="false" outlineLevel="0" collapsed="false">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ustomFormat="false" ht="15.75" hidden="false" customHeight="false" outlineLevel="0" collapsed="false">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ustomFormat="false" ht="15.75" hidden="false" customHeight="false" outlineLevel="0" collapsed="false">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ustomFormat="false" ht="15.75" hidden="false" customHeight="false" outlineLevel="0" collapsed="false">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ustomFormat="false" ht="15.75" hidden="false" customHeight="false" outlineLevel="0" collapsed="false">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ustomFormat="false" ht="15.75" hidden="false" customHeight="false" outlineLevel="0" collapsed="false">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ustomFormat="false" ht="15.75" hidden="false" customHeight="false" outlineLevel="0" collapsed="false">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ustomFormat="false" ht="15.75" hidden="false" customHeight="false" outlineLevel="0" collapsed="false">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ustomFormat="false" ht="15.75" hidden="false" customHeight="false" outlineLevel="0" collapsed="false">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ustomFormat="false" ht="15.75" hidden="false" customHeight="false" outlineLevel="0" collapsed="false">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ustomFormat="false" ht="15.75" hidden="false" customHeight="false" outlineLevel="0" collapsed="false">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ustomFormat="false" ht="15.75" hidden="false" customHeight="false" outlineLevel="0" collapsed="false">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ustomFormat="false" ht="15.75" hidden="false" customHeight="false" outlineLevel="0" collapsed="false">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ustomFormat="false" ht="15.75" hidden="false" customHeight="false" outlineLevel="0" collapsed="false">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ustomFormat="false" ht="15.75" hidden="false" customHeight="false" outlineLevel="0" collapsed="false">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ustomFormat="false" ht="15.75" hidden="false" customHeight="false" outlineLevel="0" collapsed="false">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ustomFormat="false" ht="15.75" hidden="false" customHeight="false" outlineLevel="0" collapsed="false">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ustomFormat="false" ht="15.75" hidden="false" customHeight="false" outlineLevel="0" collapsed="false">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ustomFormat="false" ht="15.75" hidden="false" customHeight="false" outlineLevel="0" collapsed="false">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ustomFormat="false" ht="15.75" hidden="false" customHeight="false" outlineLevel="0" collapsed="false">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ustomFormat="false" ht="15.75" hidden="false" customHeight="false" outlineLevel="0" collapsed="false">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ustomFormat="false" ht="15.75" hidden="false" customHeight="false" outlineLevel="0" collapsed="false">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ustomFormat="false" ht="15.75" hidden="false" customHeight="false" outlineLevel="0" collapsed="false">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ustomFormat="false" ht="15.75" hidden="false" customHeight="false" outlineLevel="0" collapsed="false">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ustomFormat="false" ht="15.75" hidden="false" customHeight="false" outlineLevel="0" collapsed="false">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ustomFormat="false" ht="15.75" hidden="false" customHeight="false" outlineLevel="0" collapsed="false">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ustomFormat="false" ht="15.75" hidden="false" customHeight="false" outlineLevel="0" collapsed="false">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ustomFormat="false" ht="15.75" hidden="false" customHeight="false" outlineLevel="0" collapsed="false">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ustomFormat="false" ht="15.75" hidden="false" customHeight="false" outlineLevel="0" collapsed="false">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ustomFormat="false" ht="15.75" hidden="false" customHeight="false" outlineLevel="0" collapsed="false">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ustomFormat="false" ht="15.75" hidden="false" customHeight="false" outlineLevel="0" collapsed="false">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ustomFormat="false" ht="15.75" hidden="false" customHeight="false" outlineLevel="0" collapsed="false">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ustomFormat="false" ht="15.75" hidden="false" customHeight="false" outlineLevel="0" collapsed="false">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ustomFormat="false" ht="15.75" hidden="false" customHeight="false" outlineLevel="0" collapsed="false">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ustomFormat="false" ht="15.75" hidden="false" customHeight="false" outlineLevel="0" collapsed="false">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ustomFormat="false" ht="15.75" hidden="false" customHeight="false" outlineLevel="0" collapsed="false">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ustomFormat="false" ht="15.75" hidden="false" customHeight="false" outlineLevel="0" collapsed="false">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ustomFormat="false" ht="15.75" hidden="false" customHeight="false" outlineLevel="0" collapsed="false">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ustomFormat="false" ht="15.75" hidden="false" customHeight="false" outlineLevel="0" collapsed="false">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ustomFormat="false" ht="15.75" hidden="false" customHeight="false" outlineLevel="0" collapsed="false">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ustomFormat="false" ht="15.75" hidden="false" customHeight="false" outlineLevel="0" collapsed="false">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ustomFormat="false" ht="15.75" hidden="false" customHeight="false" outlineLevel="0" collapsed="false">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ustomFormat="false" ht="15.75" hidden="false" customHeight="false" outlineLevel="0" collapsed="false">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ustomFormat="false" ht="15.75" hidden="false" customHeight="false" outlineLevel="0" collapsed="false">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ustomFormat="false" ht="15.75" hidden="false" customHeight="false" outlineLevel="0" collapsed="false">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ustomFormat="false" ht="15.75" hidden="false" customHeight="false" outlineLevel="0" collapsed="false">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ustomFormat="false" ht="15.75" hidden="false" customHeight="false" outlineLevel="0" collapsed="false">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ustomFormat="false" ht="15.75" hidden="false" customHeight="false" outlineLevel="0" collapsed="false">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ustomFormat="false" ht="15.75" hidden="false" customHeight="false" outlineLevel="0" collapsed="false">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ustomFormat="false" ht="15.75" hidden="false" customHeight="false" outlineLevel="0" collapsed="false">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ustomFormat="false" ht="15.75" hidden="false" customHeight="false" outlineLevel="0" collapsed="false">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ustomFormat="false" ht="15.75" hidden="false" customHeight="false" outlineLevel="0" collapsed="false">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ustomFormat="false" ht="15.75" hidden="false" customHeight="false" outlineLevel="0" collapsed="false">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ustomFormat="false" ht="15.75" hidden="false" customHeight="false" outlineLevel="0" collapsed="false">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ustomFormat="false" ht="15.75" hidden="false" customHeight="false" outlineLevel="0" collapsed="false">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ustomFormat="false" ht="15.75" hidden="false" customHeight="false" outlineLevel="0" collapsed="false">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ustomFormat="false" ht="15.75" hidden="false" customHeight="false" outlineLevel="0" collapsed="false">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ustomFormat="false" ht="15.75" hidden="false" customHeight="false" outlineLevel="0" collapsed="false">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ustomFormat="false" ht="15.75" hidden="false" customHeight="false" outlineLevel="0" collapsed="false">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ustomFormat="false" ht="15.75" hidden="false" customHeight="false" outlineLevel="0" collapsed="false">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ustomFormat="false" ht="15.75" hidden="false" customHeight="false" outlineLevel="0" collapsed="false">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ustomFormat="false" ht="15.75" hidden="false" customHeight="false" outlineLevel="0" collapsed="false">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ustomFormat="false" ht="15.75" hidden="false" customHeight="false" outlineLevel="0" collapsed="false">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ustomFormat="false" ht="15.75" hidden="false" customHeight="false" outlineLevel="0" collapsed="false">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ustomFormat="false" ht="15.75" hidden="false" customHeight="false" outlineLevel="0" collapsed="false">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ustomFormat="false" ht="15.75" hidden="false" customHeight="false" outlineLevel="0" collapsed="false">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ustomFormat="false" ht="15.75" hidden="false" customHeight="false" outlineLevel="0" collapsed="false">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ustomFormat="false" ht="15.75" hidden="false" customHeight="false" outlineLevel="0" collapsed="false">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ustomFormat="false" ht="15.75" hidden="false" customHeight="false" outlineLevel="0" collapsed="false">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ustomFormat="false" ht="15.75" hidden="false" customHeight="false" outlineLevel="0" collapsed="false">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ustomFormat="false" ht="15.75" hidden="false" customHeight="false" outlineLevel="0" collapsed="false">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ustomFormat="false" ht="15.75" hidden="false" customHeight="false" outlineLevel="0" collapsed="false">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ustomFormat="false" ht="15.75" hidden="false" customHeight="false" outlineLevel="0" collapsed="false">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ustomFormat="false" ht="15.75" hidden="false" customHeight="false" outlineLevel="0" collapsed="false">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ustomFormat="false" ht="15.75" hidden="false" customHeight="false" outlineLevel="0" collapsed="false">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ustomFormat="false" ht="15.75" hidden="false" customHeight="false" outlineLevel="0" collapsed="false">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ustomFormat="false" ht="15.75" hidden="false" customHeight="false" outlineLevel="0" collapsed="false">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ustomFormat="false" ht="15.75" hidden="false" customHeight="false" outlineLevel="0" collapsed="false">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ustomFormat="false" ht="15.75" hidden="false" customHeight="false" outlineLevel="0" collapsed="false">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ustomFormat="false" ht="15.75" hidden="false" customHeight="false" outlineLevel="0" collapsed="false">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ustomFormat="false" ht="15.75" hidden="false" customHeight="false" outlineLevel="0" collapsed="false">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ustomFormat="false" ht="15.75" hidden="false" customHeight="false" outlineLevel="0" collapsed="false">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ustomFormat="false" ht="15.75" hidden="false" customHeight="false" outlineLevel="0" collapsed="false">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ustomFormat="false" ht="15.75" hidden="false" customHeight="false" outlineLevel="0" collapsed="false">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ustomFormat="false" ht="15.75" hidden="false" customHeight="false" outlineLevel="0" collapsed="false">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ustomFormat="false" ht="15.75" hidden="false" customHeight="false" outlineLevel="0" collapsed="false">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ustomFormat="false" ht="15.75" hidden="false" customHeight="false" outlineLevel="0" collapsed="false">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ustomFormat="false" ht="15.75" hidden="false" customHeight="false" outlineLevel="0" collapsed="false">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ustomFormat="false" ht="15.75" hidden="false" customHeight="false" outlineLevel="0" collapsed="false">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ustomFormat="false" ht="15.75" hidden="false" customHeight="false" outlineLevel="0" collapsed="false">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ustomFormat="false" ht="15.75" hidden="false" customHeight="false" outlineLevel="0" collapsed="false">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ustomFormat="false" ht="15.75" hidden="false" customHeight="false" outlineLevel="0" collapsed="false">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ustomFormat="false" ht="15.75" hidden="false" customHeight="false" outlineLevel="0" collapsed="false">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ustomFormat="false" ht="15.75" hidden="false" customHeight="false" outlineLevel="0" collapsed="false">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ustomFormat="false" ht="15.75" hidden="false" customHeight="false" outlineLevel="0" collapsed="false">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ustomFormat="false" ht="15.75" hidden="false" customHeight="false" outlineLevel="0" collapsed="false">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ustomFormat="false" ht="15.75" hidden="false" customHeight="false" outlineLevel="0" collapsed="false">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ustomFormat="false" ht="15.75" hidden="false" customHeight="false" outlineLevel="0" collapsed="false">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ustomFormat="false" ht="15.75" hidden="false" customHeight="false" outlineLevel="0" collapsed="false">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ustomFormat="false" ht="15.75" hidden="false" customHeight="false" outlineLevel="0" collapsed="false">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ustomFormat="false" ht="15.75" hidden="false" customHeight="false" outlineLevel="0" collapsed="false">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ustomFormat="false" ht="15.75" hidden="false" customHeight="false" outlineLevel="0" collapsed="false">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ustomFormat="false" ht="15.75" hidden="false" customHeight="false" outlineLevel="0" collapsed="false">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ustomFormat="false" ht="15.75" hidden="false" customHeight="false" outlineLevel="0" collapsed="false">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ustomFormat="false" ht="15.75" hidden="false" customHeight="false" outlineLevel="0" collapsed="false">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ustomFormat="false" ht="15.75" hidden="false" customHeight="false" outlineLevel="0" collapsed="false">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ustomFormat="false" ht="15.75" hidden="false" customHeight="false" outlineLevel="0" collapsed="false">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ustomFormat="false" ht="15.75" hidden="false" customHeight="false" outlineLevel="0" collapsed="false">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ustomFormat="false" ht="15.75" hidden="false" customHeight="false" outlineLevel="0" collapsed="false">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ustomFormat="false" ht="15.75" hidden="false" customHeight="false" outlineLevel="0" collapsed="false">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ustomFormat="false" ht="15.75" hidden="false" customHeight="false" outlineLevel="0" collapsed="false">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ustomFormat="false" ht="15.75" hidden="false" customHeight="false" outlineLevel="0" collapsed="false">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ustomFormat="false" ht="15.75" hidden="false" customHeight="false" outlineLevel="0" collapsed="false">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ustomFormat="false" ht="15.75" hidden="false" customHeight="false" outlineLevel="0" collapsed="false">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ustomFormat="false" ht="15.75" hidden="false" customHeight="false" outlineLevel="0" collapsed="false">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ustomFormat="false" ht="15.75" hidden="false" customHeight="false" outlineLevel="0" collapsed="false">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ustomFormat="false" ht="15.75" hidden="false" customHeight="false" outlineLevel="0" collapsed="false">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ustomFormat="false" ht="15.75" hidden="false" customHeight="false" outlineLevel="0" collapsed="false">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ustomFormat="false" ht="15.75" hidden="false" customHeight="false" outlineLevel="0" collapsed="false">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ustomFormat="false" ht="15.75" hidden="false" customHeight="false" outlineLevel="0" collapsed="false">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ustomFormat="false" ht="15.75" hidden="false" customHeight="false" outlineLevel="0" collapsed="false">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ustomFormat="false" ht="15.75" hidden="false" customHeight="false" outlineLevel="0" collapsed="false">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ustomFormat="false" ht="15.75" hidden="false" customHeight="false" outlineLevel="0" collapsed="false">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ustomFormat="false" ht="15.75" hidden="false" customHeight="false" outlineLevel="0" collapsed="false">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ustomFormat="false" ht="15.75" hidden="false" customHeight="false" outlineLevel="0" collapsed="false">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ustomFormat="false" ht="15.75" hidden="false" customHeight="false" outlineLevel="0" collapsed="false">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ustomFormat="false" ht="15.75" hidden="false" customHeight="false" outlineLevel="0" collapsed="false">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ustomFormat="false" ht="15.75" hidden="false" customHeight="false" outlineLevel="0" collapsed="false">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ustomFormat="false" ht="15.75" hidden="false" customHeight="false" outlineLevel="0" collapsed="false">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ustomFormat="false" ht="15.75" hidden="false" customHeight="false" outlineLevel="0" collapsed="false">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ustomFormat="false" ht="15.75" hidden="false" customHeight="false" outlineLevel="0" collapsed="false">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ustomFormat="false" ht="15.75" hidden="false" customHeight="false" outlineLevel="0" collapsed="false">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ustomFormat="false" ht="15.75" hidden="false" customHeight="false" outlineLevel="0" collapsed="false">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ustomFormat="false" ht="15.75" hidden="false" customHeight="false" outlineLevel="0" collapsed="false">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ustomFormat="false" ht="15.75" hidden="false" customHeight="false" outlineLevel="0" collapsed="false">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dataValidations count="1">
    <dataValidation allowBlank="true" errorStyle="stop" operator="between" showDropDown="false" showErrorMessage="true" showInputMessage="false" sqref="A2:A5 A7:A11" type="list">
      <formula1>"5W1H,Base,CoT,tldr,Heading,Jeremy,Begoña,Alba,Naiara"</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6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2" min="2" style="1" width="17.75"/>
    <col collapsed="false" customWidth="false" hidden="true" outlineLevel="0" max="11" min="10" style="1" width="12.63"/>
  </cols>
  <sheetData>
    <row r="1" customFormat="false" ht="15.75" hidden="false" customHeight="false" outlineLevel="0" collapsed="false">
      <c r="A1" s="2" t="s">
        <v>0</v>
      </c>
      <c r="B1" s="2" t="s">
        <v>1</v>
      </c>
      <c r="C1" s="2" t="s">
        <v>2</v>
      </c>
      <c r="D1" s="2" t="s">
        <v>3</v>
      </c>
      <c r="E1" s="3" t="s">
        <v>4</v>
      </c>
      <c r="F1" s="3" t="s">
        <v>5</v>
      </c>
      <c r="G1" s="3" t="s">
        <v>6</v>
      </c>
      <c r="H1" s="3" t="s">
        <v>7</v>
      </c>
      <c r="I1" s="3" t="s">
        <v>8</v>
      </c>
      <c r="J1" s="2" t="s">
        <v>302</v>
      </c>
      <c r="K1" s="2" t="s">
        <v>303</v>
      </c>
    </row>
    <row r="2" customFormat="false" ht="15.75" hidden="false" customHeight="false" outlineLevel="0" collapsed="false">
      <c r="A2" s="118" t="str">
        <f aca="false">'🤖 Claude Haiku 3.5'!$A$2</f>
        <v>https://www.berria.eus/ekonomia/urte-eta-erdiko-kartzela-zigorra-eta-30000-euroko-kalte-ordainak-zorroza-gestion-enpresan-hil-zen-langileagatik_2124960_102.html</v>
      </c>
      <c r="B2" s="4" t="str">
        <f aca="false">"Claude Sonnet 3.5"</f>
        <v>Claude Sonnet 3.5</v>
      </c>
      <c r="C2" s="119" t="str">
        <f aca="false">'🤖 Claude Haiku 3.5'!C2</f>
        <v>Base</v>
      </c>
      <c r="D2" s="120" t="n">
        <f aca="false">'🤖 Claude Haiku 3.5'!E2</f>
        <v>1.292307692</v>
      </c>
      <c r="E2" s="119" t="n">
        <f aca="false">'🤖 Claude Haiku 3.5'!F2</f>
        <v>5</v>
      </c>
      <c r="F2" s="119" t="n">
        <f aca="false">'🤖 Claude Haiku 3.5'!G2</f>
        <v>5</v>
      </c>
      <c r="G2" s="119" t="n">
        <f aca="false">'🤖 Claude Haiku 3.5'!H2</f>
        <v>1</v>
      </c>
      <c r="H2" s="119" t="n">
        <f aca="false">'🤖 Claude Haiku 3.5'!I2</f>
        <v>1</v>
      </c>
      <c r="I2" s="119" t="n">
        <f aca="false">'🤖 Claude Haiku 3.5'!J2</f>
        <v>5</v>
      </c>
      <c r="J2" s="9" t="n">
        <f aca="false">VLOOKUP(B2,__lookup__!A:B,2,FALSE())</f>
        <v>1</v>
      </c>
      <c r="K2" s="9" t="n">
        <f aca="false">VLOOKUP(C2,__lookup__!A:B,2,FALSE())</f>
        <v>10</v>
      </c>
      <c r="M2" s="121"/>
      <c r="N2" s="121"/>
      <c r="O2" s="121"/>
      <c r="P2" s="121"/>
      <c r="Q2" s="121"/>
      <c r="R2" s="121"/>
      <c r="S2" s="121"/>
    </row>
    <row r="3" customFormat="false" ht="15.75" hidden="false" customHeight="false" outlineLevel="0" collapsed="false">
      <c r="A3" s="118" t="str">
        <f aca="false">'🤖 Claude Haiku 3.5'!$A$2</f>
        <v>https://www.berria.eus/ekonomia/urte-eta-erdiko-kartzela-zigorra-eta-30000-euroko-kalte-ordainak-zorroza-gestion-enpresan-hil-zen-langileagatik_2124960_102.html</v>
      </c>
      <c r="B3" s="4" t="str">
        <f aca="false">"Claude Sonnet 3.5"</f>
        <v>Claude Sonnet 3.5</v>
      </c>
      <c r="C3" s="119" t="str">
        <f aca="false">'🤖 Claude Haiku 3.5'!C3</f>
        <v>CoT</v>
      </c>
      <c r="D3" s="122" t="n">
        <f aca="false">'🤖 Claude Haiku 3.5'!E3</f>
        <v>0.5282051282</v>
      </c>
      <c r="E3" s="119" t="n">
        <f aca="false">'🤖 Claude Haiku 3.5'!F3</f>
        <v>3</v>
      </c>
      <c r="F3" s="119" t="n">
        <f aca="false">'🤖 Claude Haiku 3.5'!G3</f>
        <v>5</v>
      </c>
      <c r="G3" s="119" t="n">
        <f aca="false">'🤖 Claude Haiku 3.5'!H3</f>
        <v>4</v>
      </c>
      <c r="H3" s="119" t="n">
        <f aca="false">'🤖 Claude Haiku 3.5'!I3</f>
        <v>3</v>
      </c>
      <c r="I3" s="119" t="n">
        <f aca="false">'🤖 Claude Haiku 3.5'!J3</f>
        <v>4</v>
      </c>
    </row>
    <row r="4" customFormat="false" ht="15.75" hidden="false" customHeight="false" outlineLevel="0" collapsed="false">
      <c r="A4" s="118" t="str">
        <f aca="false">'🤖 Claude Haiku 3.5'!$A$2</f>
        <v>https://www.berria.eus/ekonomia/urte-eta-erdiko-kartzela-zigorra-eta-30000-euroko-kalte-ordainak-zorroza-gestion-enpresan-hil-zen-langileagatik_2124960_102.html</v>
      </c>
      <c r="B4" s="4" t="str">
        <f aca="false">"Claude Sonnet 3.5"</f>
        <v>Claude Sonnet 3.5</v>
      </c>
      <c r="C4" s="119" t="str">
        <f aca="false">'🤖 Claude Haiku 3.5'!C4</f>
        <v>5W1H</v>
      </c>
      <c r="D4" s="123" t="n">
        <f aca="false">'🤖 Claude Haiku 3.5'!E4</f>
        <v>0.7384615385</v>
      </c>
      <c r="E4" s="119" t="n">
        <f aca="false">'🤖 Claude Haiku 3.5'!F4</f>
        <v>2</v>
      </c>
      <c r="F4" s="119" t="n">
        <f aca="false">'🤖 Claude Haiku 3.5'!G4</f>
        <v>4</v>
      </c>
      <c r="G4" s="119" t="n">
        <f aca="false">'🤖 Claude Haiku 3.5'!H4</f>
        <v>4</v>
      </c>
      <c r="H4" s="119" t="n">
        <f aca="false">'🤖 Claude Haiku 3.5'!I4</f>
        <v>3</v>
      </c>
      <c r="I4" s="119" t="n">
        <f aca="false">'🤖 Claude Haiku 3.5'!J4</f>
        <v>5</v>
      </c>
    </row>
    <row r="5" customFormat="false" ht="15.75" hidden="false" customHeight="false" outlineLevel="0" collapsed="false">
      <c r="A5" s="118" t="str">
        <f aca="false">'🤖 Claude Haiku 3.5'!$A$2</f>
        <v>https://www.berria.eus/ekonomia/urte-eta-erdiko-kartzela-zigorra-eta-30000-euroko-kalte-ordainak-zorroza-gestion-enpresan-hil-zen-langileagatik_2124960_102.html</v>
      </c>
      <c r="B5" s="4" t="str">
        <f aca="false">"Claude Sonnet 3.5"</f>
        <v>Claude Sonnet 3.5</v>
      </c>
      <c r="C5" s="119" t="str">
        <f aca="false">'🤖 Claude Haiku 3.5'!C5</f>
        <v>tldr</v>
      </c>
      <c r="D5" s="124" t="n">
        <f aca="false">'🤖 Claude Haiku 3.5'!E5</f>
        <v>0.4051282051</v>
      </c>
      <c r="E5" s="119" t="n">
        <f aca="false">'🤖 Claude Haiku 3.5'!F5</f>
        <v>3</v>
      </c>
      <c r="F5" s="119" t="n">
        <f aca="false">'🤖 Claude Haiku 3.5'!G5</f>
        <v>5</v>
      </c>
      <c r="G5" s="119" t="n">
        <f aca="false">'🤖 Claude Haiku 3.5'!H5</f>
        <v>3</v>
      </c>
      <c r="H5" s="119" t="n">
        <f aca="false">'🤖 Claude Haiku 3.5'!I5</f>
        <v>4</v>
      </c>
      <c r="I5" s="119" t="n">
        <f aca="false">'🤖 Claude Haiku 3.5'!J5</f>
        <v>5</v>
      </c>
    </row>
    <row r="6" customFormat="false" ht="15.75" hidden="false" customHeight="false" outlineLevel="0" collapsed="false">
      <c r="A6" s="9"/>
      <c r="B6" s="9"/>
      <c r="C6" s="51"/>
      <c r="D6" s="9"/>
      <c r="E6" s="51"/>
      <c r="F6" s="51"/>
      <c r="G6" s="51"/>
      <c r="H6" s="51"/>
      <c r="I6" s="51"/>
    </row>
    <row r="7" customFormat="false" ht="15.75" hidden="false" customHeight="false" outlineLevel="0" collapsed="false">
      <c r="A7" s="118" t="str">
        <f aca="false">'🤖 Claude Haiku 3.5'!$A$7</f>
        <v>https://www.berria.eus/kirola/hirutik-hiru-jaka-mariezkurrenarentzat_2117677_102.html</v>
      </c>
      <c r="B7" s="4" t="str">
        <f aca="false">"Claude Sonnet 3.5"</f>
        <v>Claude Sonnet 3.5</v>
      </c>
      <c r="C7" s="119" t="str">
        <f aca="false">'🤖 Claude Haiku 3.5'!C7</f>
        <v>Base</v>
      </c>
      <c r="D7" s="125" t="n">
        <f aca="false">'🤖 Claude Haiku 3.5'!E7</f>
        <v>1.029761905</v>
      </c>
      <c r="E7" s="119" t="n">
        <f aca="false">'🤖 Claude Haiku 3.5'!F7</f>
        <v>4</v>
      </c>
      <c r="F7" s="119" t="n">
        <f aca="false">'🤖 Claude Haiku 3.5'!G7</f>
        <v>5</v>
      </c>
      <c r="G7" s="119" t="n">
        <f aca="false">'🤖 Claude Haiku 3.5'!H7</f>
        <v>1</v>
      </c>
      <c r="H7" s="119" t="n">
        <f aca="false">'🤖 Claude Haiku 3.5'!I7</f>
        <v>2</v>
      </c>
      <c r="I7" s="119" t="n">
        <f aca="false">'🤖 Claude Haiku 3.5'!J7</f>
        <v>4</v>
      </c>
    </row>
    <row r="8" customFormat="false" ht="15.75" hidden="false" customHeight="false" outlineLevel="0" collapsed="false">
      <c r="A8" s="118" t="str">
        <f aca="false">'🤖 Claude Haiku 3.5'!$A$7</f>
        <v>https://www.berria.eus/kirola/hirutik-hiru-jaka-mariezkurrenarentzat_2117677_102.html</v>
      </c>
      <c r="B8" s="4" t="str">
        <f aca="false">"Claude Sonnet 3.5"</f>
        <v>Claude Sonnet 3.5</v>
      </c>
      <c r="C8" s="119" t="str">
        <f aca="false">'🤖 Claude Haiku 3.5'!C8</f>
        <v>CoT</v>
      </c>
      <c r="D8" s="125" t="n">
        <f aca="false">'🤖 Claude Haiku 3.5'!E8</f>
        <v>0.619047619</v>
      </c>
      <c r="E8" s="119" t="n">
        <f aca="false">'🤖 Claude Haiku 3.5'!F8</f>
        <v>3</v>
      </c>
      <c r="F8" s="119" t="n">
        <f aca="false">'🤖 Claude Haiku 3.5'!G8</f>
        <v>4</v>
      </c>
      <c r="G8" s="119" t="n">
        <f aca="false">'🤖 Claude Haiku 3.5'!H8</f>
        <v>4</v>
      </c>
      <c r="H8" s="119" t="n">
        <f aca="false">'🤖 Claude Haiku 3.5'!I8</f>
        <v>3</v>
      </c>
      <c r="I8" s="119" t="n">
        <f aca="false">'🤖 Claude Haiku 3.5'!J8</f>
        <v>4</v>
      </c>
    </row>
    <row r="9" customFormat="false" ht="15.75" hidden="false" customHeight="false" outlineLevel="0" collapsed="false">
      <c r="A9" s="118" t="str">
        <f aca="false">'🤖 Claude Haiku 3.5'!$A$7</f>
        <v>https://www.berria.eus/kirola/hirutik-hiru-jaka-mariezkurrenarentzat_2117677_102.html</v>
      </c>
      <c r="B9" s="4" t="str">
        <f aca="false">"Claude Sonnet 3.5"</f>
        <v>Claude Sonnet 3.5</v>
      </c>
      <c r="C9" s="119" t="str">
        <f aca="false">'🤖 Claude Haiku 3.5'!C9</f>
        <v>5W1H</v>
      </c>
      <c r="D9" s="125" t="n">
        <f aca="false">'🤖 Claude Haiku 3.5'!E9</f>
        <v>0.6488095238</v>
      </c>
      <c r="E9" s="119" t="n">
        <f aca="false">'🤖 Claude Haiku 3.5'!F9</f>
        <v>3</v>
      </c>
      <c r="F9" s="119" t="n">
        <f aca="false">'🤖 Claude Haiku 3.5'!G9</f>
        <v>3</v>
      </c>
      <c r="G9" s="119" t="n">
        <f aca="false">'🤖 Claude Haiku 3.5'!H9</f>
        <v>4</v>
      </c>
      <c r="H9" s="119" t="n">
        <f aca="false">'🤖 Claude Haiku 3.5'!I9</f>
        <v>3</v>
      </c>
      <c r="I9" s="119" t="n">
        <f aca="false">'🤖 Claude Haiku 3.5'!J9</f>
        <v>5</v>
      </c>
      <c r="N9" s="121"/>
      <c r="O9" s="121"/>
      <c r="P9" s="121"/>
      <c r="Q9" s="121"/>
      <c r="R9" s="121"/>
      <c r="S9" s="121"/>
      <c r="T9" s="121"/>
    </row>
    <row r="10" customFormat="false" ht="15.75" hidden="false" customHeight="false" outlineLevel="0" collapsed="false">
      <c r="A10" s="118" t="str">
        <f aca="false">'🤖 Claude Haiku 3.5'!$A$7</f>
        <v>https://www.berria.eus/kirola/hirutik-hiru-jaka-mariezkurrenarentzat_2117677_102.html</v>
      </c>
      <c r="B10" s="4" t="str">
        <f aca="false">"Claude Sonnet 3.5"</f>
        <v>Claude Sonnet 3.5</v>
      </c>
      <c r="C10" s="119" t="str">
        <f aca="false">'🤖 Claude Haiku 3.5'!C10</f>
        <v>tldr</v>
      </c>
      <c r="D10" s="126" t="n">
        <f aca="false">'🤖 Claude Haiku 3.5'!E10</f>
        <v>0.505952381</v>
      </c>
      <c r="E10" s="119" t="n">
        <f aca="false">'🤖 Claude Haiku 3.5'!F10</f>
        <v>4</v>
      </c>
      <c r="F10" s="119" t="n">
        <f aca="false">'🤖 Claude Haiku 3.5'!G10</f>
        <v>5</v>
      </c>
      <c r="G10" s="119" t="n">
        <f aca="false">'🤖 Claude Haiku 3.5'!H10</f>
        <v>1</v>
      </c>
      <c r="H10" s="119" t="n">
        <f aca="false">'🤖 Claude Haiku 3.5'!I10</f>
        <v>4</v>
      </c>
      <c r="I10" s="119" t="n">
        <f aca="false">'🤖 Claude Haiku 3.5'!J10</f>
        <v>4</v>
      </c>
    </row>
    <row r="11" customFormat="false" ht="15.75" hidden="false" customHeight="false" outlineLevel="0" collapsed="false">
      <c r="A11" s="9"/>
      <c r="B11" s="9"/>
      <c r="C11" s="51"/>
      <c r="D11" s="9"/>
      <c r="E11" s="51"/>
      <c r="F11" s="51"/>
      <c r="G11" s="51"/>
      <c r="H11" s="51"/>
      <c r="I11" s="51"/>
    </row>
    <row r="12" customFormat="false" ht="15.75" hidden="false" customHeight="false" outlineLevel="0" collapsed="false">
      <c r="A12" s="118" t="str">
        <f aca="false">'🤖 Claude Haiku 3.5'!$A$12</f>
        <v>https://www.berria.eus/bizigiro/larreen-eta-larrabereen-balioaz_2126273_102.html</v>
      </c>
      <c r="B12" s="4" t="str">
        <f aca="false">"Claude Sonnet 3.5"</f>
        <v>Claude Sonnet 3.5</v>
      </c>
      <c r="C12" s="119" t="str">
        <f aca="false">'🤖 Claude Haiku 3.5'!C12</f>
        <v>Base</v>
      </c>
      <c r="D12" s="127" t="n">
        <f aca="false">'🤖 Claude Haiku 3.5'!E12</f>
        <v>0.3409610984</v>
      </c>
      <c r="E12" s="119" t="n">
        <f aca="false">'🤖 Claude Haiku 3.5'!F12</f>
        <v>3</v>
      </c>
      <c r="F12" s="119" t="n">
        <f aca="false">'🤖 Claude Haiku 3.5'!G12</f>
        <v>5</v>
      </c>
      <c r="G12" s="119" t="n">
        <f aca="false">'🤖 Claude Haiku 3.5'!H12</f>
        <v>5</v>
      </c>
      <c r="H12" s="119" t="n">
        <f aca="false">'🤖 Claude Haiku 3.5'!I12</f>
        <v>3</v>
      </c>
      <c r="I12" s="119" t="n">
        <f aca="false">'🤖 Claude Haiku 3.5'!J12</f>
        <v>5</v>
      </c>
    </row>
    <row r="13" customFormat="false" ht="15.75" hidden="false" customHeight="false" outlineLevel="0" collapsed="false">
      <c r="A13" s="118" t="str">
        <f aca="false">'🤖 Claude Haiku 3.5'!$A$12</f>
        <v>https://www.berria.eus/bizigiro/larreen-eta-larrabereen-balioaz_2126273_102.html</v>
      </c>
      <c r="B13" s="4" t="str">
        <f aca="false">"Claude Sonnet 3.5"</f>
        <v>Claude Sonnet 3.5</v>
      </c>
      <c r="C13" s="119" t="str">
        <f aca="false">'🤖 Claude Haiku 3.5'!C13</f>
        <v>CoT</v>
      </c>
      <c r="D13" s="126" t="n">
        <f aca="false">'🤖 Claude Haiku 3.5'!E13</f>
        <v>0.2288329519</v>
      </c>
      <c r="E13" s="119" t="n">
        <f aca="false">'🤖 Claude Haiku 3.5'!F13</f>
        <v>4</v>
      </c>
      <c r="F13" s="119" t="n">
        <f aca="false">'🤖 Claude Haiku 3.5'!G13</f>
        <v>5</v>
      </c>
      <c r="G13" s="119" t="n">
        <f aca="false">'🤖 Claude Haiku 3.5'!H13</f>
        <v>4</v>
      </c>
      <c r="H13" s="119" t="n">
        <f aca="false">'🤖 Claude Haiku 3.5'!I13</f>
        <v>4</v>
      </c>
      <c r="I13" s="119" t="n">
        <f aca="false">'🤖 Claude Haiku 3.5'!J13</f>
        <v>5</v>
      </c>
    </row>
    <row r="14" customFormat="false" ht="15.75" hidden="false" customHeight="false" outlineLevel="0" collapsed="false">
      <c r="A14" s="118" t="str">
        <f aca="false">'🤖 Claude Haiku 3.5'!$A$12</f>
        <v>https://www.berria.eus/bizigiro/larreen-eta-larrabereen-balioaz_2126273_102.html</v>
      </c>
      <c r="B14" s="4" t="str">
        <f aca="false">"Claude Sonnet 3.5"</f>
        <v>Claude Sonnet 3.5</v>
      </c>
      <c r="C14" s="119" t="str">
        <f aca="false">'🤖 Claude Haiku 3.5'!C14</f>
        <v>5W1H</v>
      </c>
      <c r="D14" s="128" t="n">
        <f aca="false">'🤖 Claude Haiku 3.5'!E14</f>
        <v>0.3935926773</v>
      </c>
      <c r="E14" s="119" t="n">
        <f aca="false">'🤖 Claude Haiku 3.5'!F14</f>
        <v>3</v>
      </c>
      <c r="F14" s="119" t="n">
        <f aca="false">'🤖 Claude Haiku 3.5'!G14</f>
        <v>5</v>
      </c>
      <c r="G14" s="119" t="n">
        <f aca="false">'🤖 Claude Haiku 3.5'!H14</f>
        <v>4</v>
      </c>
      <c r="H14" s="119" t="n">
        <f aca="false">'🤖 Claude Haiku 3.5'!I14</f>
        <v>3</v>
      </c>
      <c r="I14" s="119" t="n">
        <f aca="false">'🤖 Claude Haiku 3.5'!J14</f>
        <v>5</v>
      </c>
    </row>
    <row r="15" customFormat="false" ht="15.75" hidden="false" customHeight="false" outlineLevel="0" collapsed="false">
      <c r="A15" s="118" t="str">
        <f aca="false">'🤖 Claude Haiku 3.5'!$A$12</f>
        <v>https://www.berria.eus/bizigiro/larreen-eta-larrabereen-balioaz_2126273_102.html</v>
      </c>
      <c r="B15" s="4" t="str">
        <f aca="false">"Claude Sonnet 3.5"</f>
        <v>Claude Sonnet 3.5</v>
      </c>
      <c r="C15" s="119" t="str">
        <f aca="false">'🤖 Claude Haiku 3.5'!C15</f>
        <v>tldr</v>
      </c>
      <c r="D15" s="129" t="n">
        <f aca="false">'🤖 Claude Haiku 3.5'!E15</f>
        <v>0.3661327231</v>
      </c>
      <c r="E15" s="119" t="n">
        <f aca="false">'🤖 Claude Haiku 3.5'!F15</f>
        <v>4</v>
      </c>
      <c r="F15" s="119" t="n">
        <f aca="false">'🤖 Claude Haiku 3.5'!G15</f>
        <v>5</v>
      </c>
      <c r="G15" s="119" t="n">
        <f aca="false">'🤖 Claude Haiku 3.5'!H15</f>
        <v>1</v>
      </c>
      <c r="H15" s="119" t="n">
        <f aca="false">'🤖 Claude Haiku 3.5'!I15</f>
        <v>4</v>
      </c>
      <c r="I15" s="119" t="n">
        <f aca="false">'🤖 Claude Haiku 3.5'!J15</f>
        <v>5</v>
      </c>
    </row>
    <row r="16" customFormat="false" ht="15.75" hidden="false" customHeight="false" outlineLevel="0" collapsed="false">
      <c r="A16" s="9"/>
      <c r="B16" s="9"/>
      <c r="C16" s="51"/>
      <c r="D16" s="9"/>
      <c r="E16" s="51"/>
      <c r="F16" s="51"/>
      <c r="G16" s="51"/>
      <c r="H16" s="51"/>
      <c r="I16" s="51"/>
    </row>
    <row r="17" customFormat="false" ht="15.75" hidden="false" customHeight="false" outlineLevel="0" collapsed="false">
      <c r="A17" s="118" t="str">
        <f aca="false">'🤖 Claude Haiku 3.5'!$A$17</f>
        <v>https://www.berria.eus/kirola/olatua-hartuta-parisera_2121856_102.html</v>
      </c>
      <c r="B17" s="4" t="str">
        <f aca="false">"Claude Sonnet 3.5"</f>
        <v>Claude Sonnet 3.5</v>
      </c>
      <c r="C17" s="119" t="str">
        <f aca="false">'🤖 Claude Haiku 3.5'!C17</f>
        <v>Base</v>
      </c>
      <c r="D17" s="123" t="n">
        <f aca="false">'🤖 Claude Haiku 3.5'!E17</f>
        <v>0.5482233503</v>
      </c>
      <c r="E17" s="119" t="n">
        <f aca="false">'🤖 Claude Haiku 3.5'!F17</f>
        <v>4</v>
      </c>
      <c r="F17" s="119" t="n">
        <f aca="false">'🤖 Claude Haiku 3.5'!G17</f>
        <v>5</v>
      </c>
      <c r="G17" s="119" t="n">
        <f aca="false">'🤖 Claude Haiku 3.5'!H17</f>
        <v>1</v>
      </c>
      <c r="H17" s="119" t="n">
        <f aca="false">'🤖 Claude Haiku 3.5'!I17</f>
        <v>3</v>
      </c>
      <c r="I17" s="119" t="n">
        <f aca="false">'🤖 Claude Haiku 3.5'!J17</f>
        <v>5</v>
      </c>
    </row>
    <row r="18" customFormat="false" ht="15.75" hidden="false" customHeight="false" outlineLevel="0" collapsed="false">
      <c r="A18" s="118" t="str">
        <f aca="false">'🤖 Claude Haiku 3.5'!$A$17</f>
        <v>https://www.berria.eus/kirola/olatua-hartuta-parisera_2121856_102.html</v>
      </c>
      <c r="B18" s="4" t="str">
        <f aca="false">"Claude Sonnet 3.5"</f>
        <v>Claude Sonnet 3.5</v>
      </c>
      <c r="C18" s="119" t="str">
        <f aca="false">'🤖 Claude Haiku 3.5'!C18</f>
        <v>CoT</v>
      </c>
      <c r="D18" s="130" t="n">
        <f aca="false">'🤖 Claude Haiku 3.5'!E18</f>
        <v>0.2233502538</v>
      </c>
      <c r="E18" s="119" t="n">
        <f aca="false">'🤖 Claude Haiku 3.5'!F18</f>
        <v>4</v>
      </c>
      <c r="F18" s="119" t="n">
        <f aca="false">'🤖 Claude Haiku 3.5'!G18</f>
        <v>5</v>
      </c>
      <c r="G18" s="119" t="n">
        <f aca="false">'🤖 Claude Haiku 3.5'!H18</f>
        <v>5</v>
      </c>
      <c r="H18" s="119" t="n">
        <f aca="false">'🤖 Claude Haiku 3.5'!I18</f>
        <v>4</v>
      </c>
      <c r="I18" s="119" t="n">
        <f aca="false">'🤖 Claude Haiku 3.5'!J18</f>
        <v>3</v>
      </c>
    </row>
    <row r="19" customFormat="false" ht="15.75" hidden="false" customHeight="false" outlineLevel="0" collapsed="false">
      <c r="A19" s="118" t="str">
        <f aca="false">'🤖 Claude Haiku 3.5'!$A$17</f>
        <v>https://www.berria.eus/kirola/olatua-hartuta-parisera_2121856_102.html</v>
      </c>
      <c r="B19" s="4" t="str">
        <f aca="false">"Claude Sonnet 3.5"</f>
        <v>Claude Sonnet 3.5</v>
      </c>
      <c r="C19" s="119" t="str">
        <f aca="false">'🤖 Claude Haiku 3.5'!C19</f>
        <v>5W1H</v>
      </c>
      <c r="D19" s="131" t="n">
        <f aca="false">'🤖 Claude Haiku 3.5'!E19</f>
        <v>0.3147208122</v>
      </c>
      <c r="E19" s="119" t="n">
        <f aca="false">'🤖 Claude Haiku 3.5'!F19</f>
        <v>3</v>
      </c>
      <c r="F19" s="119" t="n">
        <f aca="false">'🤖 Claude Haiku 3.5'!G19</f>
        <v>5</v>
      </c>
      <c r="G19" s="119" t="n">
        <f aca="false">'🤖 Claude Haiku 3.5'!H19</f>
        <v>5</v>
      </c>
      <c r="H19" s="119" t="n">
        <f aca="false">'🤖 Claude Haiku 3.5'!I19</f>
        <v>3</v>
      </c>
      <c r="I19" s="119" t="n">
        <f aca="false">'🤖 Claude Haiku 3.5'!J19</f>
        <v>5</v>
      </c>
    </row>
    <row r="20" customFormat="false" ht="15.75" hidden="false" customHeight="false" outlineLevel="0" collapsed="false">
      <c r="A20" s="118" t="str">
        <f aca="false">'🤖 Claude Haiku 3.5'!$A$17</f>
        <v>https://www.berria.eus/kirola/olatua-hartuta-parisera_2121856_102.html</v>
      </c>
      <c r="B20" s="4" t="str">
        <f aca="false">"Claude Sonnet 3.5"</f>
        <v>Claude Sonnet 3.5</v>
      </c>
      <c r="C20" s="119" t="str">
        <f aca="false">'🤖 Claude Haiku 3.5'!C20</f>
        <v>tldr</v>
      </c>
      <c r="D20" s="125" t="n">
        <f aca="false">'🤖 Claude Haiku 3.5'!E20</f>
        <v>0.3934010152</v>
      </c>
      <c r="E20" s="119" t="n">
        <f aca="false">'🤖 Claude Haiku 3.5'!F20</f>
        <v>4</v>
      </c>
      <c r="F20" s="119" t="n">
        <f aca="false">'🤖 Claude Haiku 3.5'!G20</f>
        <v>5</v>
      </c>
      <c r="G20" s="119" t="n">
        <f aca="false">'🤖 Claude Haiku 3.5'!H20</f>
        <v>1</v>
      </c>
      <c r="H20" s="119" t="n">
        <f aca="false">'🤖 Claude Haiku 3.5'!I20</f>
        <v>4</v>
      </c>
      <c r="I20" s="119" t="n">
        <f aca="false">'🤖 Claude Haiku 3.5'!J20</f>
        <v>5</v>
      </c>
    </row>
    <row r="21" customFormat="false" ht="15.75" hidden="false" customHeight="false" outlineLevel="0" collapsed="false">
      <c r="A21" s="9"/>
      <c r="B21" s="9"/>
      <c r="C21" s="51"/>
      <c r="D21" s="9"/>
      <c r="E21" s="51"/>
      <c r="F21" s="51"/>
      <c r="G21" s="51"/>
      <c r="H21" s="51"/>
      <c r="I21" s="51"/>
    </row>
    <row r="22" customFormat="false" ht="15.75" hidden="false" customHeight="false" outlineLevel="0" collapsed="false">
      <c r="A22" s="118" t="str">
        <f aca="false">'🤖 Claude Haiku 3.5'!$A$22</f>
        <v>https://www.berria.eus/bizigiro/badago-ezkutuan-dagoen-sektore-bat-sarietatik-kanpo-idazten-ari-dena_2119644_102.html</v>
      </c>
      <c r="B22" s="4" t="str">
        <f aca="false">"Claude Sonnet 3.5"</f>
        <v>Claude Sonnet 3.5</v>
      </c>
      <c r="C22" s="119" t="str">
        <f aca="false">'🤖 Claude Haiku 3.5'!C22</f>
        <v>Base</v>
      </c>
      <c r="D22" s="128" t="n">
        <f aca="false">'🤖 Claude Haiku 3.5'!E22</f>
        <v>0.5056179775</v>
      </c>
      <c r="E22" s="119" t="n">
        <f aca="false">'🤖 Claude Haiku 3.5'!F22</f>
        <v>3</v>
      </c>
      <c r="F22" s="119" t="n">
        <f aca="false">'🤖 Claude Haiku 3.5'!G22</f>
        <v>5</v>
      </c>
      <c r="G22" s="119" t="n">
        <f aca="false">'🤖 Claude Haiku 3.5'!H22</f>
        <v>1</v>
      </c>
      <c r="H22" s="119" t="n">
        <f aca="false">'🤖 Claude Haiku 3.5'!I22</f>
        <v>3</v>
      </c>
      <c r="I22" s="119" t="n">
        <f aca="false">'🤖 Claude Haiku 3.5'!J22</f>
        <v>5</v>
      </c>
    </row>
    <row r="23" customFormat="false" ht="15.75" hidden="false" customHeight="false" outlineLevel="0" collapsed="false">
      <c r="A23" s="118" t="str">
        <f aca="false">'🤖 Claude Haiku 3.5'!$A$22</f>
        <v>https://www.berria.eus/bizigiro/badago-ezkutuan-dagoen-sektore-bat-sarietatik-kanpo-idazten-ari-dena_2119644_102.html</v>
      </c>
      <c r="B23" s="4" t="str">
        <f aca="false">"Claude Sonnet 3.5"</f>
        <v>Claude Sonnet 3.5</v>
      </c>
      <c r="C23" s="119" t="str">
        <f aca="false">'🤖 Claude Haiku 3.5'!C23</f>
        <v>CoT</v>
      </c>
      <c r="D23" s="132" t="n">
        <f aca="false">'🤖 Claude Haiku 3.5'!E23</f>
        <v>0.195505618</v>
      </c>
      <c r="E23" s="119" t="n">
        <f aca="false">'🤖 Claude Haiku 3.5'!F23</f>
        <v>3</v>
      </c>
      <c r="F23" s="119" t="n">
        <f aca="false">'🤖 Claude Haiku 3.5'!G23</f>
        <v>5</v>
      </c>
      <c r="G23" s="119" t="n">
        <f aca="false">'🤖 Claude Haiku 3.5'!H23</f>
        <v>5</v>
      </c>
      <c r="H23" s="119" t="n">
        <f aca="false">'🤖 Claude Haiku 3.5'!I23</f>
        <v>4</v>
      </c>
      <c r="I23" s="119" t="n">
        <f aca="false">'🤖 Claude Haiku 3.5'!J23</f>
        <v>5</v>
      </c>
    </row>
    <row r="24" customFormat="false" ht="15.75" hidden="false" customHeight="false" outlineLevel="0" collapsed="false">
      <c r="A24" s="118" t="str">
        <f aca="false">'🤖 Claude Haiku 3.5'!$A$22</f>
        <v>https://www.berria.eus/bizigiro/badago-ezkutuan-dagoen-sektore-bat-sarietatik-kanpo-idazten-ari-dena_2119644_102.html</v>
      </c>
      <c r="B24" s="4" t="str">
        <f aca="false">"Claude Sonnet 3.5"</f>
        <v>Claude Sonnet 3.5</v>
      </c>
      <c r="C24" s="119" t="str">
        <f aca="false">'🤖 Claude Haiku 3.5'!C24</f>
        <v>5W1H</v>
      </c>
      <c r="D24" s="126" t="n">
        <f aca="false">'🤖 Claude Haiku 3.5'!E24</f>
        <v>0.3460674157</v>
      </c>
      <c r="E24" s="119" t="n">
        <f aca="false">'🤖 Claude Haiku 3.5'!F24</f>
        <v>3</v>
      </c>
      <c r="F24" s="119" t="n">
        <f aca="false">'🤖 Claude Haiku 3.5'!G24</f>
        <v>4</v>
      </c>
      <c r="G24" s="119" t="n">
        <f aca="false">'🤖 Claude Haiku 3.5'!H24</f>
        <v>5</v>
      </c>
      <c r="H24" s="119" t="n">
        <f aca="false">'🤖 Claude Haiku 3.5'!I24</f>
        <v>3</v>
      </c>
      <c r="I24" s="119" t="n">
        <f aca="false">'🤖 Claude Haiku 3.5'!J24</f>
        <v>5</v>
      </c>
    </row>
    <row r="25" customFormat="false" ht="15.75" hidden="false" customHeight="false" outlineLevel="0" collapsed="false">
      <c r="A25" s="118" t="str">
        <f aca="false">'🤖 Claude Haiku 3.5'!$A$22</f>
        <v>https://www.berria.eus/bizigiro/badago-ezkutuan-dagoen-sektore-bat-sarietatik-kanpo-idazten-ari-dena_2119644_102.html</v>
      </c>
      <c r="B25" s="4" t="str">
        <f aca="false">"Claude Sonnet 3.5"</f>
        <v>Claude Sonnet 3.5</v>
      </c>
      <c r="C25" s="119" t="str">
        <f aca="false">'🤖 Claude Haiku 3.5'!C25</f>
        <v>tldr</v>
      </c>
      <c r="D25" s="133" t="n">
        <f aca="false">'🤖 Claude Haiku 3.5'!E25</f>
        <v>0.4134831461</v>
      </c>
      <c r="E25" s="119" t="n">
        <f aca="false">'🤖 Claude Haiku 3.5'!F25</f>
        <v>2</v>
      </c>
      <c r="F25" s="119" t="n">
        <f aca="false">'🤖 Claude Haiku 3.5'!G25</f>
        <v>4</v>
      </c>
      <c r="G25" s="119" t="n">
        <f aca="false">'🤖 Claude Haiku 3.5'!H25</f>
        <v>1</v>
      </c>
      <c r="H25" s="119" t="n">
        <f aca="false">'🤖 Claude Haiku 3.5'!I25</f>
        <v>3</v>
      </c>
      <c r="I25" s="119" t="n">
        <f aca="false">'🤖 Claude Haiku 3.5'!J25</f>
        <v>5</v>
      </c>
    </row>
    <row r="26" customFormat="false" ht="15.75" hidden="false" customHeight="false" outlineLevel="0" collapsed="false">
      <c r="A26" s="9"/>
      <c r="B26" s="9"/>
      <c r="C26" s="51"/>
      <c r="D26" s="9"/>
      <c r="E26" s="51"/>
      <c r="F26" s="51"/>
      <c r="G26" s="51"/>
      <c r="H26" s="51"/>
      <c r="I26" s="51"/>
    </row>
    <row r="27" customFormat="false" ht="15.75" hidden="false" customHeight="false" outlineLevel="0" collapsed="false">
      <c r="A27" s="118" t="str">
        <f aca="false">'🤖 Claude Haiku 3.5'!$A$27</f>
        <v>https://www.berria.eus/bizigiro/istorioak-irudien-bidez-kontatzen-ditut-oso-hizkuntza-unibertsala-da_2121576_102.html</v>
      </c>
      <c r="B27" s="4" t="str">
        <f aca="false">"Claude Sonnet 3.5"</f>
        <v>Claude Sonnet 3.5</v>
      </c>
      <c r="C27" s="119" t="str">
        <f aca="false">'🤖 Claude Haiku 3.5'!C27</f>
        <v>Base</v>
      </c>
      <c r="D27" s="134" t="n">
        <f aca="false">'🤖 Claude Haiku 3.5'!E27</f>
        <v>0.5454545455</v>
      </c>
      <c r="E27" s="119" t="n">
        <f aca="false">'🤖 Claude Haiku 3.5'!F27</f>
        <v>3</v>
      </c>
      <c r="F27" s="119" t="n">
        <f aca="false">'🤖 Claude Haiku 3.5'!G27</f>
        <v>5</v>
      </c>
      <c r="G27" s="119" t="n">
        <f aca="false">'🤖 Claude Haiku 3.5'!H27</f>
        <v>1</v>
      </c>
      <c r="H27" s="119" t="n">
        <f aca="false">'🤖 Claude Haiku 3.5'!I27</f>
        <v>3</v>
      </c>
      <c r="I27" s="119" t="n">
        <f aca="false">'🤖 Claude Haiku 3.5'!J27</f>
        <v>5</v>
      </c>
    </row>
    <row r="28" customFormat="false" ht="15.75" hidden="false" customHeight="false" outlineLevel="0" collapsed="false">
      <c r="A28" s="118" t="str">
        <f aca="false">'🤖 Claude Haiku 3.5'!$A$27</f>
        <v>https://www.berria.eus/bizigiro/istorioak-irudien-bidez-kontatzen-ditut-oso-hizkuntza-unibertsala-da_2121576_102.html</v>
      </c>
      <c r="B28" s="4" t="str">
        <f aca="false">"Claude Sonnet 3.5"</f>
        <v>Claude Sonnet 3.5</v>
      </c>
      <c r="C28" s="119" t="str">
        <f aca="false">'🤖 Claude Haiku 3.5'!C28</f>
        <v>CoT</v>
      </c>
      <c r="D28" s="130" t="n">
        <f aca="false">'🤖 Claude Haiku 3.5'!E28</f>
        <v>0.199556541</v>
      </c>
      <c r="E28" s="119" t="n">
        <f aca="false">'🤖 Claude Haiku 3.5'!F28</f>
        <v>4</v>
      </c>
      <c r="F28" s="119" t="n">
        <f aca="false">'🤖 Claude Haiku 3.5'!G28</f>
        <v>5</v>
      </c>
      <c r="G28" s="119" t="n">
        <f aca="false">'🤖 Claude Haiku 3.5'!H28</f>
        <v>5</v>
      </c>
      <c r="H28" s="119" t="n">
        <f aca="false">'🤖 Claude Haiku 3.5'!I28</f>
        <v>4</v>
      </c>
      <c r="I28" s="119" t="n">
        <f aca="false">'🤖 Claude Haiku 3.5'!J28</f>
        <v>5</v>
      </c>
    </row>
    <row r="29" customFormat="false" ht="15.75" hidden="false" customHeight="false" outlineLevel="0" collapsed="false">
      <c r="A29" s="118" t="str">
        <f aca="false">'🤖 Claude Haiku 3.5'!$A$27</f>
        <v>https://www.berria.eus/bizigiro/istorioak-irudien-bidez-kontatzen-ditut-oso-hizkuntza-unibertsala-da_2121576_102.html</v>
      </c>
      <c r="B29" s="4" t="str">
        <f aca="false">"Claude Sonnet 3.5"</f>
        <v>Claude Sonnet 3.5</v>
      </c>
      <c r="C29" s="119" t="str">
        <f aca="false">'🤖 Claude Haiku 3.5'!C29</f>
        <v>5W1H</v>
      </c>
      <c r="D29" s="134" t="n">
        <f aca="false">'🤖 Claude Haiku 3.5'!E29</f>
        <v>0.3082039911</v>
      </c>
      <c r="E29" s="119" t="n">
        <f aca="false">'🤖 Claude Haiku 3.5'!F29</f>
        <v>3</v>
      </c>
      <c r="F29" s="119" t="n">
        <f aca="false">'🤖 Claude Haiku 3.5'!G29</f>
        <v>4</v>
      </c>
      <c r="G29" s="119" t="n">
        <f aca="false">'🤖 Claude Haiku 3.5'!H29</f>
        <v>5</v>
      </c>
      <c r="H29" s="119" t="n">
        <f aca="false">'🤖 Claude Haiku 3.5'!I29</f>
        <v>3</v>
      </c>
      <c r="I29" s="119" t="n">
        <f aca="false">'🤖 Claude Haiku 3.5'!J29</f>
        <v>5</v>
      </c>
    </row>
    <row r="30" customFormat="false" ht="15.75" hidden="false" customHeight="false" outlineLevel="0" collapsed="false">
      <c r="A30" s="118" t="str">
        <f aca="false">'🤖 Claude Haiku 3.5'!$A$27</f>
        <v>https://www.berria.eus/bizigiro/istorioak-irudien-bidez-kontatzen-ditut-oso-hizkuntza-unibertsala-da_2121576_102.html</v>
      </c>
      <c r="B30" s="4" t="str">
        <f aca="false">"Claude Sonnet 3.5"</f>
        <v>Claude Sonnet 3.5</v>
      </c>
      <c r="C30" s="119" t="str">
        <f aca="false">'🤖 Claude Haiku 3.5'!C30</f>
        <v>tldr</v>
      </c>
      <c r="D30" s="124" t="n">
        <f aca="false">'🤖 Claude Haiku 3.5'!E30</f>
        <v>0.4611973392</v>
      </c>
      <c r="E30" s="119" t="n">
        <f aca="false">'🤖 Claude Haiku 3.5'!F30</f>
        <v>3</v>
      </c>
      <c r="F30" s="119" t="n">
        <f aca="false">'🤖 Claude Haiku 3.5'!G30</f>
        <v>5</v>
      </c>
      <c r="G30" s="119" t="n">
        <f aca="false">'🤖 Claude Haiku 3.5'!H30</f>
        <v>1</v>
      </c>
      <c r="H30" s="119" t="n">
        <f aca="false">'🤖 Claude Haiku 3.5'!I30</f>
        <v>3</v>
      </c>
      <c r="I30" s="119" t="n">
        <f aca="false">'🤖 Claude Haiku 3.5'!J30</f>
        <v>5</v>
      </c>
    </row>
    <row r="31" customFormat="false" ht="15.75" hidden="false" customHeight="false" outlineLevel="0" collapsed="false">
      <c r="A31" s="9"/>
      <c r="B31" s="9"/>
      <c r="C31" s="51"/>
      <c r="D31" s="9"/>
      <c r="E31" s="51"/>
      <c r="F31" s="51"/>
      <c r="G31" s="51"/>
      <c r="H31" s="51"/>
      <c r="I31" s="51"/>
    </row>
    <row r="32" customFormat="false" ht="15.75" hidden="false" customHeight="false" outlineLevel="0" collapsed="false">
      <c r="A32" s="118" t="str">
        <f aca="false">'🤖 Claude Haiku 3.5'!$A$32</f>
        <v>https://www.berria.eus/euskal-herria/etxeko-atxiloaldia-ezarri-diote-labioko-hiltzaileari_2124515_102.html</v>
      </c>
      <c r="B32" s="4" t="str">
        <f aca="false">"Claude Sonnet 3.5"</f>
        <v>Claude Sonnet 3.5</v>
      </c>
      <c r="C32" s="119" t="str">
        <f aca="false">'🤖 Claude Haiku 3.5'!C32</f>
        <v>Base</v>
      </c>
      <c r="D32" s="135" t="n">
        <f aca="false">'🤖 Claude Haiku 3.5'!E32</f>
        <v>0.5185185185</v>
      </c>
      <c r="E32" s="119" t="n">
        <f aca="false">'🤖 Claude Haiku 3.5'!F32</f>
        <v>3</v>
      </c>
      <c r="F32" s="119" t="n">
        <f aca="false">'🤖 Claude Haiku 3.5'!G32</f>
        <v>5</v>
      </c>
      <c r="G32" s="119" t="n">
        <f aca="false">'🤖 Claude Haiku 3.5'!H32</f>
        <v>4</v>
      </c>
      <c r="H32" s="119" t="n">
        <f aca="false">'🤖 Claude Haiku 3.5'!I32</f>
        <v>3</v>
      </c>
      <c r="I32" s="119" t="n">
        <f aca="false">'🤖 Claude Haiku 3.5'!J32</f>
        <v>3</v>
      </c>
    </row>
    <row r="33" customFormat="false" ht="15.75" hidden="false" customHeight="false" outlineLevel="0" collapsed="false">
      <c r="A33" s="118" t="str">
        <f aca="false">'🤖 Claude Haiku 3.5'!$A$32</f>
        <v>https://www.berria.eus/euskal-herria/etxeko-atxiloaldia-ezarri-diote-labioko-hiltzaileari_2124515_102.html</v>
      </c>
      <c r="B33" s="4" t="str">
        <f aca="false">"Claude Sonnet 3.5"</f>
        <v>Claude Sonnet 3.5</v>
      </c>
      <c r="C33" s="119" t="str">
        <f aca="false">'🤖 Claude Haiku 3.5'!C33</f>
        <v>CoT</v>
      </c>
      <c r="D33" s="136" t="n">
        <f aca="false">'🤖 Claude Haiku 3.5'!E33</f>
        <v>0.3592592593</v>
      </c>
      <c r="E33" s="119" t="n">
        <f aca="false">'🤖 Claude Haiku 3.5'!F33</f>
        <v>4</v>
      </c>
      <c r="F33" s="119" t="n">
        <f aca="false">'🤖 Claude Haiku 3.5'!G33</f>
        <v>5</v>
      </c>
      <c r="G33" s="119" t="n">
        <f aca="false">'🤖 Claude Haiku 3.5'!H33</f>
        <v>5</v>
      </c>
      <c r="H33" s="119" t="n">
        <f aca="false">'🤖 Claude Haiku 3.5'!I33</f>
        <v>4</v>
      </c>
      <c r="I33" s="119" t="n">
        <f aca="false">'🤖 Claude Haiku 3.5'!J33</f>
        <v>3</v>
      </c>
    </row>
    <row r="34" customFormat="false" ht="15.75" hidden="false" customHeight="false" outlineLevel="0" collapsed="false">
      <c r="A34" s="118" t="str">
        <f aca="false">'🤖 Claude Haiku 3.5'!$A$32</f>
        <v>https://www.berria.eus/euskal-herria/etxeko-atxiloaldia-ezarri-diote-labioko-hiltzaileari_2124515_102.html</v>
      </c>
      <c r="B34" s="4" t="str">
        <f aca="false">"Claude Sonnet 3.5"</f>
        <v>Claude Sonnet 3.5</v>
      </c>
      <c r="C34" s="119" t="str">
        <f aca="false">'🤖 Claude Haiku 3.5'!C34</f>
        <v>5W1H</v>
      </c>
      <c r="D34" s="137" t="n">
        <f aca="false">'🤖 Claude Haiku 3.5'!E34</f>
        <v>0.5407407407</v>
      </c>
      <c r="E34" s="119" t="n">
        <f aca="false">'🤖 Claude Haiku 3.5'!F34</f>
        <v>2</v>
      </c>
      <c r="F34" s="119" t="n">
        <f aca="false">'🤖 Claude Haiku 3.5'!G34</f>
        <v>4</v>
      </c>
      <c r="G34" s="119" t="n">
        <f aca="false">'🤖 Claude Haiku 3.5'!H34</f>
        <v>4</v>
      </c>
      <c r="H34" s="119" t="n">
        <f aca="false">'🤖 Claude Haiku 3.5'!I34</f>
        <v>3</v>
      </c>
      <c r="I34" s="119" t="n">
        <f aca="false">'🤖 Claude Haiku 3.5'!J34</f>
        <v>4</v>
      </c>
    </row>
    <row r="35" customFormat="false" ht="15.75" hidden="false" customHeight="false" outlineLevel="0" collapsed="false">
      <c r="A35" s="118" t="str">
        <f aca="false">'🤖 Claude Haiku 3.5'!$A$32</f>
        <v>https://www.berria.eus/euskal-herria/etxeko-atxiloaldia-ezarri-diote-labioko-hiltzaileari_2124515_102.html</v>
      </c>
      <c r="B35" s="4" t="str">
        <f aca="false">"Claude Sonnet 3.5"</f>
        <v>Claude Sonnet 3.5</v>
      </c>
      <c r="C35" s="119" t="str">
        <f aca="false">'🤖 Claude Haiku 3.5'!C35</f>
        <v>tldr</v>
      </c>
      <c r="D35" s="138" t="n">
        <f aca="false">'🤖 Claude Haiku 3.5'!E35</f>
        <v>0.2666666667</v>
      </c>
      <c r="E35" s="119" t="n">
        <f aca="false">'🤖 Claude Haiku 3.5'!F35</f>
        <v>4</v>
      </c>
      <c r="F35" s="119" t="n">
        <f aca="false">'🤖 Claude Haiku 3.5'!G35</f>
        <v>5</v>
      </c>
      <c r="G35" s="119" t="n">
        <f aca="false">'🤖 Claude Haiku 3.5'!H35</f>
        <v>4</v>
      </c>
      <c r="H35" s="119" t="n">
        <f aca="false">'🤖 Claude Haiku 3.5'!I35</f>
        <v>4</v>
      </c>
      <c r="I35" s="119" t="n">
        <f aca="false">'🤖 Claude Haiku 3.5'!J35</f>
        <v>3</v>
      </c>
    </row>
    <row r="36" customFormat="false" ht="15.75" hidden="false" customHeight="false" outlineLevel="0" collapsed="false">
      <c r="A36" s="9"/>
      <c r="B36" s="9"/>
      <c r="C36" s="51"/>
      <c r="D36" s="9"/>
      <c r="E36" s="51"/>
      <c r="F36" s="51"/>
      <c r="G36" s="51"/>
      <c r="H36" s="51"/>
      <c r="I36" s="51"/>
    </row>
    <row r="37" customFormat="false" ht="15.75" hidden="false" customHeight="false" outlineLevel="0" collapsed="false">
      <c r="A37" s="118" t="str">
        <f aca="false">'🤖 Claude Haiku 3.5'!$A$37</f>
        <v>https://www.berria.eus/ekonomia/sektore-eolikoa-eta-milaka-lanpostu-desagertzeko-arriskuaz-ohartarazi-du-elak_233844_102.html</v>
      </c>
      <c r="B37" s="4" t="str">
        <f aca="false">"Claude Sonnet 3.5"</f>
        <v>Claude Sonnet 3.5</v>
      </c>
      <c r="C37" s="119" t="str">
        <f aca="false">'🤖 Claude Haiku 3.5'!C37</f>
        <v>Base</v>
      </c>
      <c r="D37" s="139" t="n">
        <f aca="false">'🤖 Claude Haiku 3.5'!E37</f>
        <v>0.3466981132</v>
      </c>
      <c r="E37" s="119" t="n">
        <f aca="false">'🤖 Claude Haiku 3.5'!F37</f>
        <v>3</v>
      </c>
      <c r="F37" s="119" t="n">
        <f aca="false">'🤖 Claude Haiku 3.5'!G37</f>
        <v>5</v>
      </c>
      <c r="G37" s="119" t="n">
        <f aca="false">'🤖 Claude Haiku 3.5'!H37</f>
        <v>5</v>
      </c>
      <c r="H37" s="119" t="n">
        <f aca="false">'🤖 Claude Haiku 3.5'!I37</f>
        <v>4</v>
      </c>
      <c r="I37" s="119" t="n">
        <f aca="false">'🤖 Claude Haiku 3.5'!J37</f>
        <v>5</v>
      </c>
    </row>
    <row r="38" customFormat="false" ht="15.75" hidden="false" customHeight="false" outlineLevel="0" collapsed="false">
      <c r="A38" s="118" t="str">
        <f aca="false">'🤖 Claude Haiku 3.5'!$A$37</f>
        <v>https://www.berria.eus/ekonomia/sektore-eolikoa-eta-milaka-lanpostu-desagertzeko-arriskuaz-ohartarazi-du-elak_233844_102.html</v>
      </c>
      <c r="B38" s="4" t="str">
        <f aca="false">"Claude Sonnet 3.5"</f>
        <v>Claude Sonnet 3.5</v>
      </c>
      <c r="C38" s="119" t="str">
        <f aca="false">'🤖 Claude Haiku 3.5'!C38</f>
        <v>CoT</v>
      </c>
      <c r="D38" s="139" t="n">
        <f aca="false">'🤖 Claude Haiku 3.5'!E38</f>
        <v>0.233490566</v>
      </c>
      <c r="E38" s="119" t="n">
        <f aca="false">'🤖 Claude Haiku 3.5'!F38</f>
        <v>4</v>
      </c>
      <c r="F38" s="119" t="n">
        <f aca="false">'🤖 Claude Haiku 3.5'!G38</f>
        <v>4</v>
      </c>
      <c r="G38" s="119" t="n">
        <f aca="false">'🤖 Claude Haiku 3.5'!H38</f>
        <v>4</v>
      </c>
      <c r="H38" s="119" t="n">
        <f aca="false">'🤖 Claude Haiku 3.5'!I38</f>
        <v>4</v>
      </c>
      <c r="I38" s="119" t="n">
        <f aca="false">'🤖 Claude Haiku 3.5'!J38</f>
        <v>4</v>
      </c>
    </row>
    <row r="39" customFormat="false" ht="15.75" hidden="false" customHeight="false" outlineLevel="0" collapsed="false">
      <c r="A39" s="118" t="str">
        <f aca="false">'🤖 Claude Haiku 3.5'!$A$37</f>
        <v>https://www.berria.eus/ekonomia/sektore-eolikoa-eta-milaka-lanpostu-desagertzeko-arriskuaz-ohartarazi-du-elak_233844_102.html</v>
      </c>
      <c r="B39" s="4" t="str">
        <f aca="false">"Claude Sonnet 3.5"</f>
        <v>Claude Sonnet 3.5</v>
      </c>
      <c r="C39" s="119" t="str">
        <f aca="false">'🤖 Claude Haiku 3.5'!C39</f>
        <v>5W1H</v>
      </c>
      <c r="D39" s="125" t="n">
        <f aca="false">'🤖 Claude Haiku 3.5'!E39</f>
        <v>0.3018867925</v>
      </c>
      <c r="E39" s="119" t="n">
        <f aca="false">'🤖 Claude Haiku 3.5'!F39</f>
        <v>2</v>
      </c>
      <c r="F39" s="119" t="n">
        <f aca="false">'🤖 Claude Haiku 3.5'!G39</f>
        <v>5</v>
      </c>
      <c r="G39" s="119" t="n">
        <f aca="false">'🤖 Claude Haiku 3.5'!H39</f>
        <v>5</v>
      </c>
      <c r="H39" s="119" t="n">
        <f aca="false">'🤖 Claude Haiku 3.5'!I39</f>
        <v>3</v>
      </c>
      <c r="I39" s="119" t="n">
        <f aca="false">'🤖 Claude Haiku 3.5'!J39</f>
        <v>4</v>
      </c>
    </row>
    <row r="40" customFormat="false" ht="15.75" hidden="false" customHeight="false" outlineLevel="0" collapsed="false">
      <c r="A40" s="118" t="str">
        <f aca="false">'🤖 Claude Haiku 3.5'!$A$37</f>
        <v>https://www.berria.eus/ekonomia/sektore-eolikoa-eta-milaka-lanpostu-desagertzeko-arriskuaz-ohartarazi-du-elak_233844_102.html</v>
      </c>
      <c r="B40" s="4" t="str">
        <f aca="false">"Claude Sonnet 3.5"</f>
        <v>Claude Sonnet 3.5</v>
      </c>
      <c r="C40" s="119" t="str">
        <f aca="false">'🤖 Claude Haiku 3.5'!C40</f>
        <v>tldr</v>
      </c>
      <c r="D40" s="140" t="n">
        <f aca="false">'🤖 Claude Haiku 3.5'!E40</f>
        <v>0.3466981132</v>
      </c>
      <c r="E40" s="119" t="n">
        <f aca="false">'🤖 Claude Haiku 3.5'!F40</f>
        <v>3</v>
      </c>
      <c r="F40" s="119" t="n">
        <f aca="false">'🤖 Claude Haiku 3.5'!G40</f>
        <v>5</v>
      </c>
      <c r="G40" s="119" t="n">
        <f aca="false">'🤖 Claude Haiku 3.5'!H40</f>
        <v>1</v>
      </c>
      <c r="H40" s="119" t="n">
        <f aca="false">'🤖 Claude Haiku 3.5'!I40</f>
        <v>5</v>
      </c>
      <c r="I40" s="119" t="n">
        <f aca="false">'🤖 Claude Haiku 3.5'!J40</f>
        <v>5</v>
      </c>
    </row>
    <row r="41" customFormat="false" ht="15.75" hidden="false" customHeight="false" outlineLevel="0" collapsed="false">
      <c r="A41" s="9"/>
      <c r="B41" s="9"/>
      <c r="C41" s="51"/>
      <c r="D41" s="9"/>
      <c r="E41" s="51"/>
      <c r="F41" s="51"/>
      <c r="G41" s="51"/>
      <c r="H41" s="51"/>
      <c r="I41" s="51"/>
    </row>
    <row r="42" customFormat="false" ht="15.75" hidden="false" customHeight="false" outlineLevel="0" collapsed="false">
      <c r="A42" s="118" t="str">
        <f aca="false">'🤖 Claude Haiku 3.5'!$A$42</f>
        <v>https://www.berria.eus/kultura/mikroipuinak-txikiak-baina-ez-hutsalak_2121931_102.html</v>
      </c>
      <c r="B42" s="4" t="str">
        <f aca="false">"Claude Sonnet 3.5"</f>
        <v>Claude Sonnet 3.5</v>
      </c>
      <c r="C42" s="119" t="str">
        <f aca="false">'🤖 Claude Haiku 3.5'!C42</f>
        <v>Base</v>
      </c>
      <c r="D42" s="141" t="n">
        <f aca="false">'🤖 Claude Haiku 3.5'!E42</f>
        <v>0.2387543253</v>
      </c>
      <c r="E42" s="119" t="n">
        <f aca="false">'🤖 Claude Haiku 3.5'!F42</f>
        <v>3</v>
      </c>
      <c r="F42" s="119" t="n">
        <f aca="false">'🤖 Claude Haiku 3.5'!G42</f>
        <v>5</v>
      </c>
      <c r="G42" s="119" t="n">
        <f aca="false">'🤖 Claude Haiku 3.5'!H42</f>
        <v>4</v>
      </c>
      <c r="H42" s="119" t="n">
        <f aca="false">'🤖 Claude Haiku 3.5'!I42</f>
        <v>4</v>
      </c>
      <c r="I42" s="119" t="n">
        <f aca="false">'🤖 Claude Haiku 3.5'!J42</f>
        <v>4</v>
      </c>
    </row>
    <row r="43" customFormat="false" ht="15.75" hidden="false" customHeight="false" outlineLevel="0" collapsed="false">
      <c r="A43" s="118" t="str">
        <f aca="false">'🤖 Claude Haiku 3.5'!$A$42</f>
        <v>https://www.berria.eus/kultura/mikroipuinak-txikiak-baina-ez-hutsalak_2121931_102.html</v>
      </c>
      <c r="B43" s="4" t="str">
        <f aca="false">"Claude Sonnet 3.5"</f>
        <v>Claude Sonnet 3.5</v>
      </c>
      <c r="C43" s="119" t="str">
        <f aca="false">'🤖 Claude Haiku 3.5'!C43</f>
        <v>CoT</v>
      </c>
      <c r="D43" s="141" t="n">
        <f aca="false">'🤖 Claude Haiku 3.5'!E43</f>
        <v>0.1678200692</v>
      </c>
      <c r="E43" s="119" t="n">
        <f aca="false">'🤖 Claude Haiku 3.5'!F43</f>
        <v>3</v>
      </c>
      <c r="F43" s="119" t="n">
        <f aca="false">'🤖 Claude Haiku 3.5'!G43</f>
        <v>5</v>
      </c>
      <c r="G43" s="119" t="n">
        <f aca="false">'🤖 Claude Haiku 3.5'!H43</f>
        <v>4</v>
      </c>
      <c r="H43" s="119" t="n">
        <f aca="false">'🤖 Claude Haiku 3.5'!I43</f>
        <v>4</v>
      </c>
      <c r="I43" s="119" t="n">
        <f aca="false">'🤖 Claude Haiku 3.5'!J43</f>
        <v>3</v>
      </c>
    </row>
    <row r="44" customFormat="false" ht="15.75" hidden="false" customHeight="false" outlineLevel="0" collapsed="false">
      <c r="A44" s="118" t="str">
        <f aca="false">'🤖 Claude Haiku 3.5'!$A$42</f>
        <v>https://www.berria.eus/kultura/mikroipuinak-txikiak-baina-ez-hutsalak_2121931_102.html</v>
      </c>
      <c r="B44" s="4" t="str">
        <f aca="false">"Claude Sonnet 3.5"</f>
        <v>Claude Sonnet 3.5</v>
      </c>
      <c r="C44" s="119" t="str">
        <f aca="false">'🤖 Claude Haiku 3.5'!C44</f>
        <v>5W1H</v>
      </c>
      <c r="D44" s="120" t="n">
        <f aca="false">'🤖 Claude Haiku 3.5'!E44</f>
        <v>0.2404844291</v>
      </c>
      <c r="E44" s="119" t="n">
        <f aca="false">'🤖 Claude Haiku 3.5'!F44</f>
        <v>3</v>
      </c>
      <c r="F44" s="119" t="n">
        <f aca="false">'🤖 Claude Haiku 3.5'!G44</f>
        <v>4</v>
      </c>
      <c r="G44" s="119" t="n">
        <f aca="false">'🤖 Claude Haiku 3.5'!H44</f>
        <v>5</v>
      </c>
      <c r="H44" s="119" t="n">
        <f aca="false">'🤖 Claude Haiku 3.5'!I44</f>
        <v>3</v>
      </c>
      <c r="I44" s="119" t="n">
        <f aca="false">'🤖 Claude Haiku 3.5'!J44</f>
        <v>4</v>
      </c>
    </row>
    <row r="45" customFormat="false" ht="15.75" hidden="false" customHeight="false" outlineLevel="0" collapsed="false">
      <c r="A45" s="118" t="str">
        <f aca="false">'🤖 Claude Haiku 3.5'!$A$42</f>
        <v>https://www.berria.eus/kultura/mikroipuinak-txikiak-baina-ez-hutsalak_2121931_102.html</v>
      </c>
      <c r="B45" s="4" t="str">
        <f aca="false">"Claude Sonnet 3.5"</f>
        <v>Claude Sonnet 3.5</v>
      </c>
      <c r="C45" s="119" t="str">
        <f aca="false">'🤖 Claude Haiku 3.5'!C45</f>
        <v>tldr</v>
      </c>
      <c r="D45" s="124" t="n">
        <f aca="false">'🤖 Claude Haiku 3.5'!E45</f>
        <v>0.3339100346</v>
      </c>
      <c r="E45" s="119" t="n">
        <f aca="false">'🤖 Claude Haiku 3.5'!F45</f>
        <v>4</v>
      </c>
      <c r="F45" s="119" t="n">
        <f aca="false">'🤖 Claude Haiku 3.5'!G45</f>
        <v>5</v>
      </c>
      <c r="G45" s="119" t="n">
        <f aca="false">'🤖 Claude Haiku 3.5'!H45</f>
        <v>1</v>
      </c>
      <c r="H45" s="119" t="n">
        <f aca="false">'🤖 Claude Haiku 3.5'!I45</f>
        <v>4</v>
      </c>
      <c r="I45" s="119" t="n">
        <f aca="false">'🤖 Claude Haiku 3.5'!J45</f>
        <v>5</v>
      </c>
    </row>
    <row r="46" customFormat="false" ht="15.75" hidden="false" customHeight="false" outlineLevel="0" collapsed="false">
      <c r="A46" s="9"/>
      <c r="B46" s="9"/>
      <c r="C46" s="51"/>
      <c r="D46" s="9"/>
      <c r="E46" s="51"/>
      <c r="F46" s="51"/>
      <c r="G46" s="51"/>
      <c r="H46" s="51"/>
      <c r="I46" s="51"/>
    </row>
    <row r="47" customFormat="false" ht="15.75" hidden="false" customHeight="false" outlineLevel="0" collapsed="false">
      <c r="A47" s="118" t="str">
        <f aca="false">'🤖 Claude Haiku 3.5'!$A$47</f>
        <v>https://www.berria.eus/euskal-herria/guardia-zibilak-dio-europako-speed-laborategi-handiena-aurkitu-duela-euskal-herrian_2125543_102.html</v>
      </c>
      <c r="B47" s="4" t="str">
        <f aca="false">"Claude Sonnet 3.5"</f>
        <v>Claude Sonnet 3.5</v>
      </c>
      <c r="C47" s="119" t="str">
        <f aca="false">'🤖 Claude Haiku 3.5'!C47</f>
        <v>Base</v>
      </c>
      <c r="D47" s="126" t="n">
        <f aca="false">'🤖 Claude Haiku 3.5'!E47</f>
        <v>0.5904761905</v>
      </c>
      <c r="E47" s="119" t="n">
        <f aca="false">'🤖 Claude Haiku 3.5'!F47</f>
        <v>3</v>
      </c>
      <c r="F47" s="119" t="n">
        <f aca="false">'🤖 Claude Haiku 3.5'!G47</f>
        <v>4</v>
      </c>
      <c r="G47" s="119" t="n">
        <f aca="false">'🤖 Claude Haiku 3.5'!H47</f>
        <v>5</v>
      </c>
      <c r="H47" s="119" t="n">
        <f aca="false">'🤖 Claude Haiku 3.5'!I47</f>
        <v>3</v>
      </c>
      <c r="I47" s="119" t="n">
        <f aca="false">'🤖 Claude Haiku 3.5'!J47</f>
        <v>5</v>
      </c>
    </row>
    <row r="48" customFormat="false" ht="15.75" hidden="false" customHeight="false" outlineLevel="0" collapsed="false">
      <c r="A48" s="118" t="str">
        <f aca="false">'🤖 Claude Haiku 3.5'!$A$47</f>
        <v>https://www.berria.eus/euskal-herria/guardia-zibilak-dio-europako-speed-laborategi-handiena-aurkitu-duela-euskal-herrian_2125543_102.html</v>
      </c>
      <c r="B48" s="4" t="str">
        <f aca="false">"Claude Sonnet 3.5"</f>
        <v>Claude Sonnet 3.5</v>
      </c>
      <c r="C48" s="119" t="str">
        <f aca="false">'🤖 Claude Haiku 3.5'!C48</f>
        <v>CoT</v>
      </c>
      <c r="D48" s="128" t="n">
        <f aca="false">'🤖 Claude Haiku 3.5'!E48</f>
        <v>0.4952380952</v>
      </c>
      <c r="E48" s="119" t="n">
        <f aca="false">'🤖 Claude Haiku 3.5'!F48</f>
        <v>4</v>
      </c>
      <c r="F48" s="119" t="n">
        <f aca="false">'🤖 Claude Haiku 3.5'!G48</f>
        <v>4</v>
      </c>
      <c r="G48" s="119" t="n">
        <f aca="false">'🤖 Claude Haiku 3.5'!H48</f>
        <v>5</v>
      </c>
      <c r="H48" s="119" t="n">
        <f aca="false">'🤖 Claude Haiku 3.5'!I48</f>
        <v>4</v>
      </c>
      <c r="I48" s="119" t="n">
        <f aca="false">'🤖 Claude Haiku 3.5'!J48</f>
        <v>5</v>
      </c>
    </row>
    <row r="49" customFormat="false" ht="15.75" hidden="false" customHeight="false" outlineLevel="0" collapsed="false">
      <c r="A49" s="118" t="str">
        <f aca="false">'🤖 Claude Haiku 3.5'!$A$47</f>
        <v>https://www.berria.eus/euskal-herria/guardia-zibilak-dio-europako-speed-laborategi-handiena-aurkitu-duela-euskal-herrian_2125543_102.html</v>
      </c>
      <c r="B49" s="4" t="str">
        <f aca="false">"Claude Sonnet 3.5"</f>
        <v>Claude Sonnet 3.5</v>
      </c>
      <c r="C49" s="119" t="str">
        <f aca="false">'🤖 Claude Haiku 3.5'!C49</f>
        <v>5W1H</v>
      </c>
      <c r="D49" s="142" t="n">
        <f aca="false">'🤖 Claude Haiku 3.5'!E49</f>
        <v>0.619047619</v>
      </c>
      <c r="E49" s="119" t="n">
        <f aca="false">'🤖 Claude Haiku 3.5'!F49</f>
        <v>3</v>
      </c>
      <c r="F49" s="119" t="n">
        <f aca="false">'🤖 Claude Haiku 3.5'!G49</f>
        <v>3</v>
      </c>
      <c r="G49" s="119" t="n">
        <f aca="false">'🤖 Claude Haiku 3.5'!H49</f>
        <v>5</v>
      </c>
      <c r="H49" s="119" t="n">
        <f aca="false">'🤖 Claude Haiku 3.5'!I49</f>
        <v>3</v>
      </c>
      <c r="I49" s="119" t="n">
        <f aca="false">'🤖 Claude Haiku 3.5'!J49</f>
        <v>5</v>
      </c>
    </row>
    <row r="50" customFormat="false" ht="15.75" hidden="false" customHeight="false" outlineLevel="0" collapsed="false">
      <c r="A50" s="118" t="str">
        <f aca="false">'🤖 Claude Haiku 3.5'!$A$47</f>
        <v>https://www.berria.eus/euskal-herria/guardia-zibilak-dio-europako-speed-laborategi-handiena-aurkitu-duela-euskal-herrian_2125543_102.html</v>
      </c>
      <c r="B50" s="4" t="str">
        <f aca="false">"Claude Sonnet 3.5"</f>
        <v>Claude Sonnet 3.5</v>
      </c>
      <c r="C50" s="119" t="str">
        <f aca="false">'🤖 Claude Haiku 3.5'!C50</f>
        <v>tldr</v>
      </c>
      <c r="D50" s="143" t="n">
        <f aca="false">'🤖 Claude Haiku 3.5'!E50</f>
        <v>0.2714285714</v>
      </c>
      <c r="E50" s="119" t="n">
        <f aca="false">'🤖 Claude Haiku 3.5'!F50</f>
        <v>3</v>
      </c>
      <c r="F50" s="119" t="n">
        <f aca="false">'🤖 Claude Haiku 3.5'!G50</f>
        <v>4</v>
      </c>
      <c r="G50" s="119" t="n">
        <f aca="false">'🤖 Claude Haiku 3.5'!H50</f>
        <v>4</v>
      </c>
      <c r="H50" s="119" t="n">
        <f aca="false">'🤖 Claude Haiku 3.5'!I50</f>
        <v>5</v>
      </c>
      <c r="I50" s="119" t="n">
        <f aca="false">'🤖 Claude Haiku 3.5'!J50</f>
        <v>3</v>
      </c>
    </row>
    <row r="51" customFormat="false" ht="15.75" hidden="false" customHeight="false" outlineLevel="0" collapsed="false">
      <c r="A51" s="118"/>
      <c r="B51" s="4"/>
      <c r="C51" s="6"/>
      <c r="D51" s="143"/>
      <c r="E51" s="6"/>
      <c r="F51" s="6"/>
      <c r="G51" s="6"/>
      <c r="H51" s="6"/>
      <c r="I51" s="6"/>
    </row>
    <row r="52" customFormat="false" ht="15.75" hidden="false" customHeight="false" outlineLevel="0" collapsed="false">
      <c r="A52" s="118" t="n">
        <f aca="false">'🤖 Claude Haiku 3.5'!$A$52</f>
        <v>0</v>
      </c>
      <c r="B52" s="4" t="str">
        <f aca="false">"Claude Sonnet 3.5"</f>
        <v>Claude Sonnet 3.5</v>
      </c>
      <c r="C52" s="119" t="str">
        <f aca="false">'🤖 Claude Haiku 3.5'!C52</f>
        <v>Base</v>
      </c>
      <c r="D52" s="143" t="n">
        <f aca="false">'🤖 Claude Haiku 3.5'!E52</f>
        <v>0.004761904762</v>
      </c>
      <c r="E52" s="119" t="n">
        <f aca="false">'🤖 Claude Haiku 3.5'!F52</f>
        <v>0</v>
      </c>
      <c r="F52" s="119" t="n">
        <f aca="false">'🤖 Claude Haiku 3.5'!G52</f>
        <v>0</v>
      </c>
      <c r="G52" s="119" t="n">
        <f aca="false">'🤖 Claude Haiku 3.5'!H52</f>
        <v>0</v>
      </c>
      <c r="H52" s="119" t="n">
        <f aca="false">'🤖 Claude Haiku 3.5'!I52</f>
        <v>0</v>
      </c>
      <c r="I52" s="119" t="n">
        <f aca="false">'🤖 Claude Haiku 3.5'!J52</f>
        <v>0</v>
      </c>
    </row>
    <row r="53" customFormat="false" ht="15.75" hidden="false" customHeight="false" outlineLevel="0" collapsed="false">
      <c r="A53" s="118" t="n">
        <f aca="false">'🤖 Claude Haiku 3.5'!$A$52</f>
        <v>0</v>
      </c>
      <c r="B53" s="4" t="str">
        <f aca="false">"Claude Sonnet 3.5"</f>
        <v>Claude Sonnet 3.5</v>
      </c>
      <c r="C53" s="119" t="str">
        <f aca="false">'🤖 Claude Haiku 3.5'!C53</f>
        <v>CoT</v>
      </c>
      <c r="D53" s="143" t="n">
        <f aca="false">'🤖 Claude Haiku 3.5'!E53</f>
        <v>0.004761904762</v>
      </c>
      <c r="E53" s="119" t="n">
        <f aca="false">'🤖 Claude Haiku 3.5'!F53</f>
        <v>0</v>
      </c>
      <c r="F53" s="119" t="n">
        <f aca="false">'🤖 Claude Haiku 3.5'!G53</f>
        <v>0</v>
      </c>
      <c r="G53" s="119" t="n">
        <f aca="false">'🤖 Claude Haiku 3.5'!H53</f>
        <v>0</v>
      </c>
      <c r="H53" s="119" t="n">
        <f aca="false">'🤖 Claude Haiku 3.5'!I53</f>
        <v>0</v>
      </c>
      <c r="I53" s="119" t="n">
        <f aca="false">'🤖 Claude Haiku 3.5'!J53</f>
        <v>0</v>
      </c>
    </row>
    <row r="54" customFormat="false" ht="15.75" hidden="false" customHeight="false" outlineLevel="0" collapsed="false">
      <c r="A54" s="118" t="n">
        <f aca="false">'🤖 Claude Haiku 3.5'!$A$52</f>
        <v>0</v>
      </c>
      <c r="B54" s="4" t="str">
        <f aca="false">"Claude Sonnet 3.5"</f>
        <v>Claude Sonnet 3.5</v>
      </c>
      <c r="C54" s="119" t="str">
        <f aca="false">'🤖 Claude Haiku 3.5'!C54</f>
        <v>5W1H</v>
      </c>
      <c r="D54" s="143" t="n">
        <f aca="false">'🤖 Claude Haiku 3.5'!E54</f>
        <v>0.004761904762</v>
      </c>
      <c r="E54" s="119" t="n">
        <f aca="false">'🤖 Claude Haiku 3.5'!F54</f>
        <v>0</v>
      </c>
      <c r="F54" s="119" t="n">
        <f aca="false">'🤖 Claude Haiku 3.5'!G54</f>
        <v>0</v>
      </c>
      <c r="G54" s="119" t="n">
        <f aca="false">'🤖 Claude Haiku 3.5'!H54</f>
        <v>0</v>
      </c>
      <c r="H54" s="119" t="n">
        <f aca="false">'🤖 Claude Haiku 3.5'!I54</f>
        <v>0</v>
      </c>
      <c r="I54" s="119" t="n">
        <f aca="false">'🤖 Claude Haiku 3.5'!J54</f>
        <v>0</v>
      </c>
    </row>
    <row r="55" customFormat="false" ht="15.75" hidden="false" customHeight="false" outlineLevel="0" collapsed="false">
      <c r="A55" s="118" t="n">
        <f aca="false">'🤖 Claude Haiku 3.5'!$A$52</f>
        <v>0</v>
      </c>
      <c r="B55" s="4" t="str">
        <f aca="false">"Claude Sonnet 3.5"</f>
        <v>Claude Sonnet 3.5</v>
      </c>
      <c r="C55" s="119" t="str">
        <f aca="false">'🤖 Claude Haiku 3.5'!C55</f>
        <v>tldr</v>
      </c>
      <c r="D55" s="143" t="n">
        <f aca="false">'🤖 Claude Haiku 3.5'!E55</f>
        <v>0.004761904762</v>
      </c>
      <c r="E55" s="119" t="n">
        <f aca="false">'🤖 Claude Haiku 3.5'!F55</f>
        <v>0</v>
      </c>
      <c r="F55" s="119" t="n">
        <f aca="false">'🤖 Claude Haiku 3.5'!G55</f>
        <v>0</v>
      </c>
      <c r="G55" s="119" t="n">
        <f aca="false">'🤖 Claude Haiku 3.5'!H55</f>
        <v>0</v>
      </c>
      <c r="H55" s="119" t="n">
        <f aca="false">'🤖 Claude Haiku 3.5'!I55</f>
        <v>0</v>
      </c>
      <c r="I55" s="119" t="n">
        <f aca="false">'🤖 Claude Haiku 3.5'!J55</f>
        <v>0</v>
      </c>
    </row>
    <row r="56" customFormat="false" ht="15.75" hidden="false" customHeight="false" outlineLevel="0" collapsed="false">
      <c r="A56" s="118"/>
      <c r="B56" s="4"/>
      <c r="C56" s="6"/>
      <c r="D56" s="143"/>
      <c r="E56" s="6"/>
      <c r="F56" s="6"/>
      <c r="G56" s="6"/>
      <c r="H56" s="6"/>
      <c r="I56" s="6"/>
    </row>
    <row r="57" customFormat="false" ht="15.75" hidden="false" customHeight="false" outlineLevel="0" collapsed="false">
      <c r="A57" s="118" t="n">
        <f aca="false">'🤖 Claude Haiku 3.5'!$A$57</f>
        <v>0</v>
      </c>
      <c r="B57" s="4" t="str">
        <f aca="false">"Claude Sonnet 3.5"</f>
        <v>Claude Sonnet 3.5</v>
      </c>
      <c r="C57" s="119" t="str">
        <f aca="false">'🤖 Claude Haiku 3.5'!C57</f>
        <v>Base</v>
      </c>
      <c r="D57" s="143" t="n">
        <f aca="false">'🤖 Claude Haiku 3.5'!E57</f>
        <v>0.004761904762</v>
      </c>
      <c r="E57" s="119" t="n">
        <f aca="false">'🤖 Claude Haiku 3.5'!F57</f>
        <v>0</v>
      </c>
      <c r="F57" s="119" t="n">
        <f aca="false">'🤖 Claude Haiku 3.5'!G57</f>
        <v>0</v>
      </c>
      <c r="G57" s="119" t="n">
        <f aca="false">'🤖 Claude Haiku 3.5'!H57</f>
        <v>0</v>
      </c>
      <c r="H57" s="119" t="n">
        <f aca="false">'🤖 Claude Haiku 3.5'!I57</f>
        <v>0</v>
      </c>
      <c r="I57" s="119" t="n">
        <f aca="false">'🤖 Claude Haiku 3.5'!J57</f>
        <v>0</v>
      </c>
    </row>
    <row r="58" customFormat="false" ht="15.75" hidden="false" customHeight="false" outlineLevel="0" collapsed="false">
      <c r="A58" s="118" t="n">
        <f aca="false">'🤖 Claude Haiku 3.5'!$A$57</f>
        <v>0</v>
      </c>
      <c r="B58" s="4" t="str">
        <f aca="false">"Claude Sonnet 3.5"</f>
        <v>Claude Sonnet 3.5</v>
      </c>
      <c r="C58" s="119" t="str">
        <f aca="false">'🤖 Claude Haiku 3.5'!C58</f>
        <v>CoT</v>
      </c>
      <c r="D58" s="143" t="n">
        <f aca="false">'🤖 Claude Haiku 3.5'!E58</f>
        <v>0.004761904762</v>
      </c>
      <c r="E58" s="119" t="n">
        <f aca="false">'🤖 Claude Haiku 3.5'!F58</f>
        <v>0</v>
      </c>
      <c r="F58" s="119" t="n">
        <f aca="false">'🤖 Claude Haiku 3.5'!G58</f>
        <v>0</v>
      </c>
      <c r="G58" s="119" t="n">
        <f aca="false">'🤖 Claude Haiku 3.5'!H58</f>
        <v>0</v>
      </c>
      <c r="H58" s="119" t="n">
        <f aca="false">'🤖 Claude Haiku 3.5'!I58</f>
        <v>0</v>
      </c>
      <c r="I58" s="119" t="n">
        <f aca="false">'🤖 Claude Haiku 3.5'!J58</f>
        <v>0</v>
      </c>
    </row>
    <row r="59" customFormat="false" ht="15.75" hidden="false" customHeight="false" outlineLevel="0" collapsed="false">
      <c r="A59" s="118" t="n">
        <f aca="false">'🤖 Claude Haiku 3.5'!$A$57</f>
        <v>0</v>
      </c>
      <c r="B59" s="4" t="str">
        <f aca="false">"Claude Sonnet 3.5"</f>
        <v>Claude Sonnet 3.5</v>
      </c>
      <c r="C59" s="119" t="str">
        <f aca="false">'🤖 Claude Haiku 3.5'!C59</f>
        <v>5W1H</v>
      </c>
      <c r="D59" s="143" t="n">
        <f aca="false">'🤖 Claude Haiku 3.5'!E59</f>
        <v>0.004761904762</v>
      </c>
      <c r="E59" s="119" t="n">
        <f aca="false">'🤖 Claude Haiku 3.5'!F59</f>
        <v>0</v>
      </c>
      <c r="F59" s="119" t="n">
        <f aca="false">'🤖 Claude Haiku 3.5'!G59</f>
        <v>0</v>
      </c>
      <c r="G59" s="119" t="n">
        <f aca="false">'🤖 Claude Haiku 3.5'!H59</f>
        <v>0</v>
      </c>
      <c r="H59" s="119" t="n">
        <f aca="false">'🤖 Claude Haiku 3.5'!I59</f>
        <v>0</v>
      </c>
      <c r="I59" s="119" t="n">
        <f aca="false">'🤖 Claude Haiku 3.5'!J59</f>
        <v>0</v>
      </c>
    </row>
    <row r="60" customFormat="false" ht="15.75" hidden="false" customHeight="false" outlineLevel="0" collapsed="false">
      <c r="A60" s="118" t="n">
        <f aca="false">'🤖 Claude Haiku 3.5'!$A$57</f>
        <v>0</v>
      </c>
      <c r="B60" s="4" t="str">
        <f aca="false">"Claude Sonnet 3.5"</f>
        <v>Claude Sonnet 3.5</v>
      </c>
      <c r="C60" s="119" t="str">
        <f aca="false">'🤖 Claude Haiku 3.5'!C60</f>
        <v>tldr</v>
      </c>
      <c r="D60" s="143" t="n">
        <f aca="false">'🤖 Claude Haiku 3.5'!E60</f>
        <v>0.004761904762</v>
      </c>
      <c r="E60" s="119" t="n">
        <f aca="false">'🤖 Claude Haiku 3.5'!F60</f>
        <v>0</v>
      </c>
      <c r="F60" s="119" t="n">
        <f aca="false">'🤖 Claude Haiku 3.5'!G60</f>
        <v>0</v>
      </c>
      <c r="G60" s="119" t="n">
        <f aca="false">'🤖 Claude Haiku 3.5'!H60</f>
        <v>0</v>
      </c>
      <c r="H60" s="119" t="n">
        <f aca="false">'🤖 Claude Haiku 3.5'!I60</f>
        <v>0</v>
      </c>
      <c r="I60" s="119" t="n">
        <f aca="false">'🤖 Claude Haiku 3.5'!J60</f>
        <v>0</v>
      </c>
    </row>
    <row r="61" customFormat="false" ht="15.75" hidden="false" customHeight="false" outlineLevel="0" collapsed="false">
      <c r="A61" s="118"/>
      <c r="B61" s="4"/>
      <c r="C61" s="6"/>
      <c r="D61" s="143"/>
      <c r="E61" s="6"/>
      <c r="F61" s="6"/>
      <c r="G61" s="6"/>
      <c r="H61" s="6"/>
      <c r="I61" s="6"/>
    </row>
    <row r="62" customFormat="false" ht="15.75" hidden="false" customHeight="false" outlineLevel="0" collapsed="false">
      <c r="A62" s="118" t="n">
        <f aca="false">'🤖 Claude Haiku 3.5'!$A$62</f>
        <v>0</v>
      </c>
      <c r="B62" s="4" t="str">
        <f aca="false">"Claude Sonnet 3.5"</f>
        <v>Claude Sonnet 3.5</v>
      </c>
      <c r="C62" s="119" t="str">
        <f aca="false">'🤖 Claude Haiku 3.5'!C62</f>
        <v>Base</v>
      </c>
      <c r="D62" s="143" t="n">
        <f aca="false">'🤖 Claude Haiku 3.5'!E62</f>
        <v>0.004761904762</v>
      </c>
      <c r="E62" s="119" t="n">
        <f aca="false">'🤖 Claude Haiku 3.5'!F62</f>
        <v>0</v>
      </c>
      <c r="F62" s="119" t="n">
        <f aca="false">'🤖 Claude Haiku 3.5'!G62</f>
        <v>0</v>
      </c>
      <c r="G62" s="119" t="n">
        <f aca="false">'🤖 Claude Haiku 3.5'!H62</f>
        <v>0</v>
      </c>
      <c r="H62" s="119" t="n">
        <f aca="false">'🤖 Claude Haiku 3.5'!I62</f>
        <v>0</v>
      </c>
      <c r="I62" s="119" t="n">
        <f aca="false">'🤖 Claude Haiku 3.5'!J62</f>
        <v>0</v>
      </c>
    </row>
    <row r="63" customFormat="false" ht="15.75" hidden="false" customHeight="false" outlineLevel="0" collapsed="false">
      <c r="A63" s="118" t="n">
        <f aca="false">'🤖 Claude Haiku 3.5'!$A$62</f>
        <v>0</v>
      </c>
      <c r="B63" s="4" t="str">
        <f aca="false">"Claude Sonnet 3.5"</f>
        <v>Claude Sonnet 3.5</v>
      </c>
      <c r="C63" s="119" t="str">
        <f aca="false">'🤖 Claude Haiku 3.5'!C63</f>
        <v>CoT</v>
      </c>
      <c r="D63" s="143" t="n">
        <f aca="false">'🤖 Claude Haiku 3.5'!E63</f>
        <v>0.004761904762</v>
      </c>
      <c r="E63" s="119" t="n">
        <f aca="false">'🤖 Claude Haiku 3.5'!F63</f>
        <v>0</v>
      </c>
      <c r="F63" s="119" t="n">
        <f aca="false">'🤖 Claude Haiku 3.5'!G63</f>
        <v>0</v>
      </c>
      <c r="G63" s="119" t="n">
        <f aca="false">'🤖 Claude Haiku 3.5'!H63</f>
        <v>0</v>
      </c>
      <c r="H63" s="119" t="n">
        <f aca="false">'🤖 Claude Haiku 3.5'!I63</f>
        <v>0</v>
      </c>
      <c r="I63" s="119" t="n">
        <f aca="false">'🤖 Claude Haiku 3.5'!J63</f>
        <v>0</v>
      </c>
    </row>
    <row r="64" customFormat="false" ht="15.75" hidden="false" customHeight="false" outlineLevel="0" collapsed="false">
      <c r="A64" s="118" t="n">
        <f aca="false">'🤖 Claude Haiku 3.5'!$A$62</f>
        <v>0</v>
      </c>
      <c r="B64" s="4" t="str">
        <f aca="false">"Claude Sonnet 3.5"</f>
        <v>Claude Sonnet 3.5</v>
      </c>
      <c r="C64" s="119" t="str">
        <f aca="false">'🤖 Claude Haiku 3.5'!C64</f>
        <v>5W1H</v>
      </c>
      <c r="D64" s="143" t="n">
        <f aca="false">'🤖 Claude Haiku 3.5'!E64</f>
        <v>0.004761904762</v>
      </c>
      <c r="E64" s="119" t="n">
        <f aca="false">'🤖 Claude Haiku 3.5'!F64</f>
        <v>0</v>
      </c>
      <c r="F64" s="119" t="n">
        <f aca="false">'🤖 Claude Haiku 3.5'!G64</f>
        <v>0</v>
      </c>
      <c r="G64" s="119" t="n">
        <f aca="false">'🤖 Claude Haiku 3.5'!H64</f>
        <v>0</v>
      </c>
      <c r="H64" s="119" t="n">
        <f aca="false">'🤖 Claude Haiku 3.5'!I64</f>
        <v>0</v>
      </c>
      <c r="I64" s="119" t="n">
        <f aca="false">'🤖 Claude Haiku 3.5'!J64</f>
        <v>0</v>
      </c>
    </row>
    <row r="65" customFormat="false" ht="15.75" hidden="false" customHeight="false" outlineLevel="0" collapsed="false">
      <c r="A65" s="118" t="n">
        <f aca="false">'🤖 Claude Haiku 3.5'!$A$62</f>
        <v>0</v>
      </c>
      <c r="B65" s="4" t="str">
        <f aca="false">"Claude Sonnet 3.5"</f>
        <v>Claude Sonnet 3.5</v>
      </c>
      <c r="C65" s="119" t="str">
        <f aca="false">'🤖 Claude Haiku 3.5'!C65</f>
        <v>tldr</v>
      </c>
      <c r="D65" s="143" t="n">
        <f aca="false">'🤖 Claude Haiku 3.5'!E65</f>
        <v>0.004761904762</v>
      </c>
      <c r="E65" s="119" t="n">
        <f aca="false">'🤖 Claude Haiku 3.5'!F65</f>
        <v>0</v>
      </c>
      <c r="F65" s="119" t="n">
        <f aca="false">'🤖 Claude Haiku 3.5'!G65</f>
        <v>0</v>
      </c>
      <c r="G65" s="119" t="n">
        <f aca="false">'🤖 Claude Haiku 3.5'!H65</f>
        <v>0</v>
      </c>
      <c r="H65" s="119" t="n">
        <f aca="false">'🤖 Claude Haiku 3.5'!I65</f>
        <v>0</v>
      </c>
      <c r="I65" s="119" t="n">
        <f aca="false">'🤖 Claude Haiku 3.5'!J65</f>
        <v>0</v>
      </c>
    </row>
    <row r="66" customFormat="false" ht="15.75" hidden="false" customHeight="false" outlineLevel="0" collapsed="false">
      <c r="A66" s="118"/>
      <c r="B66" s="4"/>
      <c r="C66" s="6"/>
      <c r="D66" s="143"/>
      <c r="E66" s="6"/>
      <c r="F66" s="6"/>
      <c r="G66" s="6"/>
      <c r="H66" s="6"/>
      <c r="I66" s="6"/>
    </row>
    <row r="67" customFormat="false" ht="15.75" hidden="false" customHeight="false" outlineLevel="0" collapsed="false">
      <c r="A67" s="118" t="n">
        <f aca="false">'🤖 Claude Haiku 3.5'!$A$67</f>
        <v>0</v>
      </c>
      <c r="B67" s="4" t="str">
        <f aca="false">"Claude Sonnet 3.5"</f>
        <v>Claude Sonnet 3.5</v>
      </c>
      <c r="C67" s="119" t="str">
        <f aca="false">'🤖 Claude Haiku 3.5'!C67</f>
        <v>Base</v>
      </c>
      <c r="D67" s="143" t="n">
        <f aca="false">'🤖 Claude Haiku 3.5'!E67</f>
        <v>0.004761904762</v>
      </c>
      <c r="E67" s="119" t="n">
        <f aca="false">'🤖 Claude Haiku 3.5'!F67</f>
        <v>0</v>
      </c>
      <c r="F67" s="119" t="n">
        <f aca="false">'🤖 Claude Haiku 3.5'!G67</f>
        <v>0</v>
      </c>
      <c r="G67" s="119" t="n">
        <f aca="false">'🤖 Claude Haiku 3.5'!H67</f>
        <v>0</v>
      </c>
      <c r="H67" s="119" t="n">
        <f aca="false">'🤖 Claude Haiku 3.5'!I67</f>
        <v>0</v>
      </c>
      <c r="I67" s="119" t="n">
        <f aca="false">'🤖 Claude Haiku 3.5'!J67</f>
        <v>0</v>
      </c>
    </row>
    <row r="68" customFormat="false" ht="15.75" hidden="false" customHeight="false" outlineLevel="0" collapsed="false">
      <c r="A68" s="118" t="n">
        <f aca="false">'🤖 Claude Haiku 3.5'!$A$67</f>
        <v>0</v>
      </c>
      <c r="B68" s="4" t="str">
        <f aca="false">"Claude Sonnet 3.5"</f>
        <v>Claude Sonnet 3.5</v>
      </c>
      <c r="C68" s="119" t="str">
        <f aca="false">'🤖 Claude Haiku 3.5'!C68</f>
        <v>CoT</v>
      </c>
      <c r="D68" s="143" t="n">
        <f aca="false">'🤖 Claude Haiku 3.5'!E68</f>
        <v>0.004761904762</v>
      </c>
      <c r="E68" s="119" t="n">
        <f aca="false">'🤖 Claude Haiku 3.5'!F68</f>
        <v>0</v>
      </c>
      <c r="F68" s="119" t="n">
        <f aca="false">'🤖 Claude Haiku 3.5'!G68</f>
        <v>0</v>
      </c>
      <c r="G68" s="119" t="n">
        <f aca="false">'🤖 Claude Haiku 3.5'!H68</f>
        <v>0</v>
      </c>
      <c r="H68" s="119" t="n">
        <f aca="false">'🤖 Claude Haiku 3.5'!I68</f>
        <v>0</v>
      </c>
      <c r="I68" s="119" t="n">
        <f aca="false">'🤖 Claude Haiku 3.5'!J68</f>
        <v>0</v>
      </c>
    </row>
    <row r="69" customFormat="false" ht="15.75" hidden="false" customHeight="false" outlineLevel="0" collapsed="false">
      <c r="A69" s="118" t="n">
        <f aca="false">'🤖 Claude Haiku 3.5'!$A$67</f>
        <v>0</v>
      </c>
      <c r="B69" s="4" t="str">
        <f aca="false">"Claude Sonnet 3.5"</f>
        <v>Claude Sonnet 3.5</v>
      </c>
      <c r="C69" s="119" t="str">
        <f aca="false">'🤖 Claude Haiku 3.5'!C69</f>
        <v>5W1H</v>
      </c>
      <c r="D69" s="143" t="n">
        <f aca="false">'🤖 Claude Haiku 3.5'!E69</f>
        <v>0.004761904762</v>
      </c>
      <c r="E69" s="119" t="n">
        <f aca="false">'🤖 Claude Haiku 3.5'!F69</f>
        <v>0</v>
      </c>
      <c r="F69" s="119" t="n">
        <f aca="false">'🤖 Claude Haiku 3.5'!G69</f>
        <v>0</v>
      </c>
      <c r="G69" s="119" t="n">
        <f aca="false">'🤖 Claude Haiku 3.5'!H69</f>
        <v>0</v>
      </c>
      <c r="H69" s="119" t="n">
        <f aca="false">'🤖 Claude Haiku 3.5'!I69</f>
        <v>0</v>
      </c>
      <c r="I69" s="119" t="n">
        <f aca="false">'🤖 Claude Haiku 3.5'!J69</f>
        <v>0</v>
      </c>
    </row>
    <row r="70" customFormat="false" ht="15.75" hidden="false" customHeight="false" outlineLevel="0" collapsed="false">
      <c r="A70" s="118" t="n">
        <f aca="false">'🤖 Claude Haiku 3.5'!$A$67</f>
        <v>0</v>
      </c>
      <c r="B70" s="4" t="str">
        <f aca="false">"Claude Sonnet 3.5"</f>
        <v>Claude Sonnet 3.5</v>
      </c>
      <c r="C70" s="119" t="str">
        <f aca="false">'🤖 Claude Haiku 3.5'!C70</f>
        <v>tldr</v>
      </c>
      <c r="D70" s="143" t="n">
        <f aca="false">'🤖 Claude Haiku 3.5'!E70</f>
        <v>0.004761904762</v>
      </c>
      <c r="E70" s="119" t="n">
        <f aca="false">'🤖 Claude Haiku 3.5'!F70</f>
        <v>0</v>
      </c>
      <c r="F70" s="119" t="n">
        <f aca="false">'🤖 Claude Haiku 3.5'!G70</f>
        <v>0</v>
      </c>
      <c r="G70" s="119" t="n">
        <f aca="false">'🤖 Claude Haiku 3.5'!H70</f>
        <v>0</v>
      </c>
      <c r="H70" s="119" t="n">
        <f aca="false">'🤖 Claude Haiku 3.5'!I70</f>
        <v>0</v>
      </c>
      <c r="I70" s="119" t="n">
        <f aca="false">'🤖 Claude Haiku 3.5'!J70</f>
        <v>0</v>
      </c>
    </row>
    <row r="71" customFormat="false" ht="15.75" hidden="false" customHeight="false" outlineLevel="0" collapsed="false">
      <c r="A71" s="118"/>
      <c r="B71" s="4"/>
      <c r="C71" s="6"/>
      <c r="D71" s="143"/>
      <c r="E71" s="6"/>
      <c r="F71" s="6"/>
      <c r="G71" s="6"/>
      <c r="H71" s="6"/>
      <c r="I71" s="6"/>
    </row>
    <row r="72" customFormat="false" ht="15.75" hidden="false" customHeight="false" outlineLevel="0" collapsed="false">
      <c r="A72" s="118" t="n">
        <f aca="false">'🤖 Claude Haiku 3.5'!$A$72</f>
        <v>0</v>
      </c>
      <c r="B72" s="4" t="str">
        <f aca="false">"Claude Sonnet 3.5"</f>
        <v>Claude Sonnet 3.5</v>
      </c>
      <c r="C72" s="119" t="str">
        <f aca="false">'🤖 Claude Haiku 3.5'!C72</f>
        <v>Base</v>
      </c>
      <c r="D72" s="143" t="n">
        <f aca="false">'🤖 Claude Haiku 3.5'!E72</f>
        <v>0.004761904762</v>
      </c>
      <c r="E72" s="119" t="n">
        <f aca="false">'🤖 Claude Haiku 3.5'!F72</f>
        <v>0</v>
      </c>
      <c r="F72" s="119" t="n">
        <f aca="false">'🤖 Claude Haiku 3.5'!G72</f>
        <v>0</v>
      </c>
      <c r="G72" s="119" t="n">
        <f aca="false">'🤖 Claude Haiku 3.5'!H72</f>
        <v>0</v>
      </c>
      <c r="H72" s="119" t="n">
        <f aca="false">'🤖 Claude Haiku 3.5'!I72</f>
        <v>0</v>
      </c>
      <c r="I72" s="119" t="n">
        <f aca="false">'🤖 Claude Haiku 3.5'!J72</f>
        <v>0</v>
      </c>
    </row>
    <row r="73" customFormat="false" ht="15.75" hidden="false" customHeight="false" outlineLevel="0" collapsed="false">
      <c r="A73" s="118" t="n">
        <f aca="false">'🤖 Claude Haiku 3.5'!$A$72</f>
        <v>0</v>
      </c>
      <c r="B73" s="4" t="str">
        <f aca="false">"Claude Sonnet 3.5"</f>
        <v>Claude Sonnet 3.5</v>
      </c>
      <c r="C73" s="119" t="str">
        <f aca="false">'🤖 Claude Haiku 3.5'!C73</f>
        <v>CoT</v>
      </c>
      <c r="D73" s="143" t="n">
        <f aca="false">'🤖 Claude Haiku 3.5'!E73</f>
        <v>0.004761904762</v>
      </c>
      <c r="E73" s="119" t="n">
        <f aca="false">'🤖 Claude Haiku 3.5'!F73</f>
        <v>0</v>
      </c>
      <c r="F73" s="119" t="n">
        <f aca="false">'🤖 Claude Haiku 3.5'!G73</f>
        <v>0</v>
      </c>
      <c r="G73" s="119" t="n">
        <f aca="false">'🤖 Claude Haiku 3.5'!H73</f>
        <v>0</v>
      </c>
      <c r="H73" s="119" t="n">
        <f aca="false">'🤖 Claude Haiku 3.5'!I73</f>
        <v>0</v>
      </c>
      <c r="I73" s="119" t="n">
        <f aca="false">'🤖 Claude Haiku 3.5'!J73</f>
        <v>0</v>
      </c>
    </row>
    <row r="74" customFormat="false" ht="15.75" hidden="false" customHeight="false" outlineLevel="0" collapsed="false">
      <c r="A74" s="118" t="n">
        <f aca="false">'🤖 Claude Haiku 3.5'!$A$72</f>
        <v>0</v>
      </c>
      <c r="B74" s="4" t="str">
        <f aca="false">"Claude Sonnet 3.5"</f>
        <v>Claude Sonnet 3.5</v>
      </c>
      <c r="C74" s="119" t="str">
        <f aca="false">'🤖 Claude Haiku 3.5'!C74</f>
        <v>5W1H</v>
      </c>
      <c r="D74" s="143" t="n">
        <f aca="false">'🤖 Claude Haiku 3.5'!E74</f>
        <v>0.004761904762</v>
      </c>
      <c r="E74" s="119" t="n">
        <f aca="false">'🤖 Claude Haiku 3.5'!F74</f>
        <v>0</v>
      </c>
      <c r="F74" s="119" t="n">
        <f aca="false">'🤖 Claude Haiku 3.5'!G74</f>
        <v>0</v>
      </c>
      <c r="G74" s="119" t="n">
        <f aca="false">'🤖 Claude Haiku 3.5'!H74</f>
        <v>0</v>
      </c>
      <c r="H74" s="119" t="n">
        <f aca="false">'🤖 Claude Haiku 3.5'!I74</f>
        <v>0</v>
      </c>
      <c r="I74" s="119" t="n">
        <f aca="false">'🤖 Claude Haiku 3.5'!J74</f>
        <v>0</v>
      </c>
    </row>
    <row r="75" customFormat="false" ht="15.75" hidden="false" customHeight="false" outlineLevel="0" collapsed="false">
      <c r="A75" s="118" t="n">
        <f aca="false">'🤖 Claude Haiku 3.5'!$A$72</f>
        <v>0</v>
      </c>
      <c r="B75" s="4" t="str">
        <f aca="false">"Claude Sonnet 3.5"</f>
        <v>Claude Sonnet 3.5</v>
      </c>
      <c r="C75" s="119" t="str">
        <f aca="false">'🤖 Claude Haiku 3.5'!C75</f>
        <v>tldr</v>
      </c>
      <c r="D75" s="143" t="n">
        <f aca="false">'🤖 Claude Haiku 3.5'!E75</f>
        <v>0.004761904762</v>
      </c>
      <c r="E75" s="119" t="n">
        <f aca="false">'🤖 Claude Haiku 3.5'!F75</f>
        <v>0</v>
      </c>
      <c r="F75" s="119" t="n">
        <f aca="false">'🤖 Claude Haiku 3.5'!G75</f>
        <v>0</v>
      </c>
      <c r="G75" s="119" t="n">
        <f aca="false">'🤖 Claude Haiku 3.5'!H75</f>
        <v>0</v>
      </c>
      <c r="H75" s="119" t="n">
        <f aca="false">'🤖 Claude Haiku 3.5'!I75</f>
        <v>0</v>
      </c>
      <c r="I75" s="119" t="n">
        <f aca="false">'🤖 Claude Haiku 3.5'!J75</f>
        <v>0</v>
      </c>
    </row>
    <row r="76" customFormat="false" ht="15.75" hidden="false" customHeight="false" outlineLevel="0" collapsed="false">
      <c r="A76" s="118"/>
      <c r="B76" s="4"/>
      <c r="C76" s="6"/>
      <c r="D76" s="143"/>
      <c r="E76" s="6"/>
      <c r="F76" s="6"/>
      <c r="G76" s="6"/>
      <c r="H76" s="6"/>
      <c r="I76" s="6"/>
    </row>
    <row r="77" customFormat="false" ht="15.75" hidden="false" customHeight="false" outlineLevel="0" collapsed="false">
      <c r="A77" s="118" t="n">
        <f aca="false">'🤖 Claude Haiku 3.5'!$A$77</f>
        <v>0</v>
      </c>
      <c r="B77" s="4" t="str">
        <f aca="false">"Claude Sonnet 3.5"</f>
        <v>Claude Sonnet 3.5</v>
      </c>
      <c r="C77" s="119" t="str">
        <f aca="false">'🤖 Claude Haiku 3.5'!C77</f>
        <v>Base</v>
      </c>
      <c r="D77" s="143" t="n">
        <f aca="false">'🤖 Claude Haiku 3.5'!E77</f>
        <v>0.004761904762</v>
      </c>
      <c r="E77" s="119" t="n">
        <f aca="false">'🤖 Claude Haiku 3.5'!F77</f>
        <v>0</v>
      </c>
      <c r="F77" s="119" t="n">
        <f aca="false">'🤖 Claude Haiku 3.5'!G77</f>
        <v>0</v>
      </c>
      <c r="G77" s="119" t="n">
        <f aca="false">'🤖 Claude Haiku 3.5'!H77</f>
        <v>0</v>
      </c>
      <c r="H77" s="119" t="n">
        <f aca="false">'🤖 Claude Haiku 3.5'!I77</f>
        <v>0</v>
      </c>
      <c r="I77" s="119" t="n">
        <f aca="false">'🤖 Claude Haiku 3.5'!J77</f>
        <v>0</v>
      </c>
    </row>
    <row r="78" customFormat="false" ht="15.75" hidden="false" customHeight="false" outlineLevel="0" collapsed="false">
      <c r="A78" s="118" t="n">
        <f aca="false">'🤖 Claude Haiku 3.5'!$A$77</f>
        <v>0</v>
      </c>
      <c r="B78" s="4" t="str">
        <f aca="false">"Claude Sonnet 3.5"</f>
        <v>Claude Sonnet 3.5</v>
      </c>
      <c r="C78" s="119" t="str">
        <f aca="false">'🤖 Claude Haiku 3.5'!C78</f>
        <v>CoT</v>
      </c>
      <c r="D78" s="143" t="n">
        <f aca="false">'🤖 Claude Haiku 3.5'!E78</f>
        <v>0.004761904762</v>
      </c>
      <c r="E78" s="119" t="n">
        <f aca="false">'🤖 Claude Haiku 3.5'!F78</f>
        <v>0</v>
      </c>
      <c r="F78" s="119" t="n">
        <f aca="false">'🤖 Claude Haiku 3.5'!G78</f>
        <v>0</v>
      </c>
      <c r="G78" s="119" t="n">
        <f aca="false">'🤖 Claude Haiku 3.5'!H78</f>
        <v>0</v>
      </c>
      <c r="H78" s="119" t="n">
        <f aca="false">'🤖 Claude Haiku 3.5'!I78</f>
        <v>0</v>
      </c>
      <c r="I78" s="119" t="n">
        <f aca="false">'🤖 Claude Haiku 3.5'!J78</f>
        <v>0</v>
      </c>
    </row>
    <row r="79" customFormat="false" ht="15.75" hidden="false" customHeight="false" outlineLevel="0" collapsed="false">
      <c r="A79" s="118" t="n">
        <f aca="false">'🤖 Claude Haiku 3.5'!$A$77</f>
        <v>0</v>
      </c>
      <c r="B79" s="4" t="str">
        <f aca="false">"Claude Sonnet 3.5"</f>
        <v>Claude Sonnet 3.5</v>
      </c>
      <c r="C79" s="119" t="str">
        <f aca="false">'🤖 Claude Haiku 3.5'!C79</f>
        <v>5W1H</v>
      </c>
      <c r="D79" s="143" t="n">
        <f aca="false">'🤖 Claude Haiku 3.5'!E79</f>
        <v>0.004761904762</v>
      </c>
      <c r="E79" s="119" t="n">
        <f aca="false">'🤖 Claude Haiku 3.5'!F79</f>
        <v>0</v>
      </c>
      <c r="F79" s="119" t="n">
        <f aca="false">'🤖 Claude Haiku 3.5'!G79</f>
        <v>0</v>
      </c>
      <c r="G79" s="119" t="n">
        <f aca="false">'🤖 Claude Haiku 3.5'!H79</f>
        <v>0</v>
      </c>
      <c r="H79" s="119" t="n">
        <f aca="false">'🤖 Claude Haiku 3.5'!I79</f>
        <v>0</v>
      </c>
      <c r="I79" s="119" t="n">
        <f aca="false">'🤖 Claude Haiku 3.5'!J79</f>
        <v>0</v>
      </c>
    </row>
    <row r="80" customFormat="false" ht="15.75" hidden="false" customHeight="false" outlineLevel="0" collapsed="false">
      <c r="A80" s="118" t="n">
        <f aca="false">'🤖 Claude Haiku 3.5'!$A$77</f>
        <v>0</v>
      </c>
      <c r="B80" s="4" t="str">
        <f aca="false">"Claude Sonnet 3.5"</f>
        <v>Claude Sonnet 3.5</v>
      </c>
      <c r="C80" s="119" t="str">
        <f aca="false">'🤖 Claude Haiku 3.5'!C80</f>
        <v>tldr</v>
      </c>
      <c r="D80" s="143" t="n">
        <f aca="false">'🤖 Claude Haiku 3.5'!E80</f>
        <v>0.004761904762</v>
      </c>
      <c r="E80" s="119" t="n">
        <f aca="false">'🤖 Claude Haiku 3.5'!F80</f>
        <v>0</v>
      </c>
      <c r="F80" s="119" t="n">
        <f aca="false">'🤖 Claude Haiku 3.5'!G80</f>
        <v>0</v>
      </c>
      <c r="G80" s="119" t="n">
        <f aca="false">'🤖 Claude Haiku 3.5'!H80</f>
        <v>0</v>
      </c>
      <c r="H80" s="119" t="n">
        <f aca="false">'🤖 Claude Haiku 3.5'!I80</f>
        <v>0</v>
      </c>
      <c r="I80" s="119" t="n">
        <f aca="false">'🤖 Claude Haiku 3.5'!J80</f>
        <v>0</v>
      </c>
    </row>
    <row r="81" customFormat="false" ht="15.75" hidden="false" customHeight="false" outlineLevel="0" collapsed="false">
      <c r="A81" s="118"/>
      <c r="B81" s="4"/>
      <c r="C81" s="6"/>
      <c r="D81" s="143"/>
      <c r="E81" s="6"/>
      <c r="F81" s="6"/>
      <c r="G81" s="6"/>
      <c r="H81" s="6"/>
      <c r="I81" s="6"/>
    </row>
    <row r="82" customFormat="false" ht="15.75" hidden="false" customHeight="false" outlineLevel="0" collapsed="false">
      <c r="A82" s="118" t="n">
        <f aca="false">'🤖 Claude Haiku 3.5'!$A$82</f>
        <v>0</v>
      </c>
      <c r="B82" s="4" t="str">
        <f aca="false">"Claude Sonnet 3.5"</f>
        <v>Claude Sonnet 3.5</v>
      </c>
      <c r="C82" s="119" t="str">
        <f aca="false">'🤖 Claude Haiku 3.5'!C82</f>
        <v>Base</v>
      </c>
      <c r="D82" s="143" t="n">
        <f aca="false">'🤖 Claude Haiku 3.5'!E82</f>
        <v>0.004761904762</v>
      </c>
      <c r="E82" s="119" t="n">
        <f aca="false">'🤖 Claude Haiku 3.5'!F82</f>
        <v>0</v>
      </c>
      <c r="F82" s="119" t="n">
        <f aca="false">'🤖 Claude Haiku 3.5'!G82</f>
        <v>0</v>
      </c>
      <c r="G82" s="119" t="n">
        <f aca="false">'🤖 Claude Haiku 3.5'!H82</f>
        <v>0</v>
      </c>
      <c r="H82" s="119" t="n">
        <f aca="false">'🤖 Claude Haiku 3.5'!I82</f>
        <v>0</v>
      </c>
      <c r="I82" s="119" t="n">
        <f aca="false">'🤖 Claude Haiku 3.5'!J82</f>
        <v>0</v>
      </c>
    </row>
    <row r="83" customFormat="false" ht="15.75" hidden="false" customHeight="false" outlineLevel="0" collapsed="false">
      <c r="A83" s="118" t="n">
        <f aca="false">'🤖 Claude Haiku 3.5'!$A$82</f>
        <v>0</v>
      </c>
      <c r="B83" s="4" t="str">
        <f aca="false">"Claude Sonnet 3.5"</f>
        <v>Claude Sonnet 3.5</v>
      </c>
      <c r="C83" s="119" t="str">
        <f aca="false">'🤖 Claude Haiku 3.5'!C83</f>
        <v>CoT</v>
      </c>
      <c r="D83" s="143" t="n">
        <f aca="false">'🤖 Claude Haiku 3.5'!E83</f>
        <v>0.004761904762</v>
      </c>
      <c r="E83" s="119" t="n">
        <f aca="false">'🤖 Claude Haiku 3.5'!F83</f>
        <v>0</v>
      </c>
      <c r="F83" s="119" t="n">
        <f aca="false">'🤖 Claude Haiku 3.5'!G83</f>
        <v>0</v>
      </c>
      <c r="G83" s="119" t="n">
        <f aca="false">'🤖 Claude Haiku 3.5'!H83</f>
        <v>0</v>
      </c>
      <c r="H83" s="119" t="n">
        <f aca="false">'🤖 Claude Haiku 3.5'!I83</f>
        <v>0</v>
      </c>
      <c r="I83" s="119" t="n">
        <f aca="false">'🤖 Claude Haiku 3.5'!J83</f>
        <v>0</v>
      </c>
    </row>
    <row r="84" customFormat="false" ht="15.75" hidden="false" customHeight="false" outlineLevel="0" collapsed="false">
      <c r="A84" s="118" t="n">
        <f aca="false">'🤖 Claude Haiku 3.5'!$A$82</f>
        <v>0</v>
      </c>
      <c r="B84" s="4" t="str">
        <f aca="false">"Claude Sonnet 3.5"</f>
        <v>Claude Sonnet 3.5</v>
      </c>
      <c r="C84" s="119" t="str">
        <f aca="false">'🤖 Claude Haiku 3.5'!C84</f>
        <v>5W1H</v>
      </c>
      <c r="D84" s="143" t="n">
        <f aca="false">'🤖 Claude Haiku 3.5'!E84</f>
        <v>0.004761904762</v>
      </c>
      <c r="E84" s="119" t="n">
        <f aca="false">'🤖 Claude Haiku 3.5'!F84</f>
        <v>0</v>
      </c>
      <c r="F84" s="119" t="n">
        <f aca="false">'🤖 Claude Haiku 3.5'!G84</f>
        <v>0</v>
      </c>
      <c r="G84" s="119" t="n">
        <f aca="false">'🤖 Claude Haiku 3.5'!H84</f>
        <v>0</v>
      </c>
      <c r="H84" s="119" t="n">
        <f aca="false">'🤖 Claude Haiku 3.5'!I84</f>
        <v>0</v>
      </c>
      <c r="I84" s="119" t="n">
        <f aca="false">'🤖 Claude Haiku 3.5'!J84</f>
        <v>0</v>
      </c>
    </row>
    <row r="85" customFormat="false" ht="15.75" hidden="false" customHeight="false" outlineLevel="0" collapsed="false">
      <c r="A85" s="118" t="n">
        <f aca="false">'🤖 Claude Haiku 3.5'!$A$82</f>
        <v>0</v>
      </c>
      <c r="B85" s="4" t="str">
        <f aca="false">"Claude Sonnet 3.5"</f>
        <v>Claude Sonnet 3.5</v>
      </c>
      <c r="C85" s="119" t="str">
        <f aca="false">'🤖 Claude Haiku 3.5'!C85</f>
        <v>tldr</v>
      </c>
      <c r="D85" s="143" t="n">
        <f aca="false">'🤖 Claude Haiku 3.5'!E85</f>
        <v>0.004761904762</v>
      </c>
      <c r="E85" s="119" t="n">
        <f aca="false">'🤖 Claude Haiku 3.5'!F85</f>
        <v>0</v>
      </c>
      <c r="F85" s="119" t="n">
        <f aca="false">'🤖 Claude Haiku 3.5'!G85</f>
        <v>0</v>
      </c>
      <c r="G85" s="119" t="n">
        <f aca="false">'🤖 Claude Haiku 3.5'!H85</f>
        <v>0</v>
      </c>
      <c r="H85" s="119" t="n">
        <f aca="false">'🤖 Claude Haiku 3.5'!I85</f>
        <v>0</v>
      </c>
      <c r="I85" s="119" t="n">
        <f aca="false">'🤖 Claude Haiku 3.5'!J85</f>
        <v>0</v>
      </c>
    </row>
    <row r="86" customFormat="false" ht="15.75" hidden="false" customHeight="false" outlineLevel="0" collapsed="false">
      <c r="A86" s="118"/>
      <c r="B86" s="4"/>
      <c r="C86" s="6"/>
      <c r="D86" s="143"/>
      <c r="E86" s="6"/>
      <c r="F86" s="6"/>
      <c r="G86" s="6"/>
      <c r="H86" s="6"/>
      <c r="I86" s="6"/>
    </row>
    <row r="87" customFormat="false" ht="15.75" hidden="false" customHeight="false" outlineLevel="0" collapsed="false">
      <c r="A87" s="118" t="n">
        <f aca="false">'🤖 Claude Haiku 3.5'!$A$87</f>
        <v>0</v>
      </c>
      <c r="B87" s="4" t="str">
        <f aca="false">"Claude Sonnet 3.5"</f>
        <v>Claude Sonnet 3.5</v>
      </c>
      <c r="C87" s="119" t="str">
        <f aca="false">'🤖 Claude Haiku 3.5'!C87</f>
        <v>Base</v>
      </c>
      <c r="D87" s="143" t="n">
        <f aca="false">'🤖 Claude Haiku 3.5'!E87</f>
        <v>0.004761904762</v>
      </c>
      <c r="E87" s="119" t="n">
        <f aca="false">'🤖 Claude Haiku 3.5'!F87</f>
        <v>0</v>
      </c>
      <c r="F87" s="119" t="n">
        <f aca="false">'🤖 Claude Haiku 3.5'!G87</f>
        <v>0</v>
      </c>
      <c r="G87" s="119" t="n">
        <f aca="false">'🤖 Claude Haiku 3.5'!H87</f>
        <v>0</v>
      </c>
      <c r="H87" s="119" t="n">
        <f aca="false">'🤖 Claude Haiku 3.5'!I87</f>
        <v>0</v>
      </c>
      <c r="I87" s="119" t="n">
        <f aca="false">'🤖 Claude Haiku 3.5'!J87</f>
        <v>0</v>
      </c>
    </row>
    <row r="88" customFormat="false" ht="15.75" hidden="false" customHeight="false" outlineLevel="0" collapsed="false">
      <c r="A88" s="118" t="n">
        <f aca="false">'🤖 Claude Haiku 3.5'!$A$87</f>
        <v>0</v>
      </c>
      <c r="B88" s="4" t="str">
        <f aca="false">"Claude Sonnet 3.5"</f>
        <v>Claude Sonnet 3.5</v>
      </c>
      <c r="C88" s="119" t="str">
        <f aca="false">'🤖 Claude Haiku 3.5'!C88</f>
        <v>CoT</v>
      </c>
      <c r="D88" s="143" t="n">
        <f aca="false">'🤖 Claude Haiku 3.5'!E88</f>
        <v>0.004761904762</v>
      </c>
      <c r="E88" s="119" t="n">
        <f aca="false">'🤖 Claude Haiku 3.5'!F88</f>
        <v>0</v>
      </c>
      <c r="F88" s="119" t="n">
        <f aca="false">'🤖 Claude Haiku 3.5'!G88</f>
        <v>0</v>
      </c>
      <c r="G88" s="119" t="n">
        <f aca="false">'🤖 Claude Haiku 3.5'!H88</f>
        <v>0</v>
      </c>
      <c r="H88" s="119" t="n">
        <f aca="false">'🤖 Claude Haiku 3.5'!I88</f>
        <v>0</v>
      </c>
      <c r="I88" s="119" t="n">
        <f aca="false">'🤖 Claude Haiku 3.5'!J88</f>
        <v>0</v>
      </c>
    </row>
    <row r="89" customFormat="false" ht="15.75" hidden="false" customHeight="false" outlineLevel="0" collapsed="false">
      <c r="A89" s="118" t="n">
        <f aca="false">'🤖 Claude Haiku 3.5'!$A$87</f>
        <v>0</v>
      </c>
      <c r="B89" s="4" t="str">
        <f aca="false">"Claude Sonnet 3.5"</f>
        <v>Claude Sonnet 3.5</v>
      </c>
      <c r="C89" s="119" t="str">
        <f aca="false">'🤖 Claude Haiku 3.5'!C89</f>
        <v>5W1H</v>
      </c>
      <c r="D89" s="143" t="n">
        <f aca="false">'🤖 Claude Haiku 3.5'!E89</f>
        <v>0.004761904762</v>
      </c>
      <c r="E89" s="119" t="n">
        <f aca="false">'🤖 Claude Haiku 3.5'!F89</f>
        <v>0</v>
      </c>
      <c r="F89" s="119" t="n">
        <f aca="false">'🤖 Claude Haiku 3.5'!G89</f>
        <v>0</v>
      </c>
      <c r="G89" s="119" t="n">
        <f aca="false">'🤖 Claude Haiku 3.5'!H89</f>
        <v>0</v>
      </c>
      <c r="H89" s="119" t="n">
        <f aca="false">'🤖 Claude Haiku 3.5'!I89</f>
        <v>0</v>
      </c>
      <c r="I89" s="119" t="n">
        <f aca="false">'🤖 Claude Haiku 3.5'!J89</f>
        <v>0</v>
      </c>
    </row>
    <row r="90" customFormat="false" ht="15.75" hidden="false" customHeight="false" outlineLevel="0" collapsed="false">
      <c r="A90" s="118" t="n">
        <f aca="false">'🤖 Claude Haiku 3.5'!$A$87</f>
        <v>0</v>
      </c>
      <c r="B90" s="4" t="str">
        <f aca="false">"Claude Sonnet 3.5"</f>
        <v>Claude Sonnet 3.5</v>
      </c>
      <c r="C90" s="119" t="str">
        <f aca="false">'🤖 Claude Haiku 3.5'!C90</f>
        <v>tldr</v>
      </c>
      <c r="D90" s="143" t="n">
        <f aca="false">'🤖 Claude Haiku 3.5'!E90</f>
        <v>0.004761904762</v>
      </c>
      <c r="E90" s="119" t="n">
        <f aca="false">'🤖 Claude Haiku 3.5'!F90</f>
        <v>0</v>
      </c>
      <c r="F90" s="119" t="n">
        <f aca="false">'🤖 Claude Haiku 3.5'!G90</f>
        <v>0</v>
      </c>
      <c r="G90" s="119" t="n">
        <f aca="false">'🤖 Claude Haiku 3.5'!H90</f>
        <v>0</v>
      </c>
      <c r="H90" s="119" t="n">
        <f aca="false">'🤖 Claude Haiku 3.5'!I90</f>
        <v>0</v>
      </c>
      <c r="I90" s="119" t="n">
        <f aca="false">'🤖 Claude Haiku 3.5'!J90</f>
        <v>0</v>
      </c>
    </row>
    <row r="91" customFormat="false" ht="15.75" hidden="false" customHeight="false" outlineLevel="0" collapsed="false">
      <c r="A91" s="118"/>
      <c r="B91" s="4"/>
      <c r="C91" s="6"/>
      <c r="D91" s="143"/>
      <c r="E91" s="6"/>
      <c r="F91" s="6"/>
      <c r="G91" s="6"/>
      <c r="H91" s="6"/>
      <c r="I91" s="6"/>
    </row>
    <row r="92" customFormat="false" ht="15.75" hidden="false" customHeight="false" outlineLevel="0" collapsed="false">
      <c r="A92" s="118" t="n">
        <f aca="false">'🤖 Claude Haiku 3.5'!$A$92</f>
        <v>0</v>
      </c>
      <c r="B92" s="4" t="str">
        <f aca="false">"Claude Sonnet 3.5"</f>
        <v>Claude Sonnet 3.5</v>
      </c>
      <c r="C92" s="119" t="str">
        <f aca="false">'🤖 Claude Haiku 3.5'!C92</f>
        <v>Base</v>
      </c>
      <c r="D92" s="143" t="n">
        <f aca="false">'🤖 Claude Haiku 3.5'!E92</f>
        <v>0.004761904762</v>
      </c>
      <c r="E92" s="119" t="n">
        <f aca="false">'🤖 Claude Haiku 3.5'!F92</f>
        <v>0</v>
      </c>
      <c r="F92" s="119" t="n">
        <f aca="false">'🤖 Claude Haiku 3.5'!G92</f>
        <v>0</v>
      </c>
      <c r="G92" s="119" t="n">
        <f aca="false">'🤖 Claude Haiku 3.5'!H92</f>
        <v>0</v>
      </c>
      <c r="H92" s="119" t="n">
        <f aca="false">'🤖 Claude Haiku 3.5'!I92</f>
        <v>0</v>
      </c>
      <c r="I92" s="119" t="n">
        <f aca="false">'🤖 Claude Haiku 3.5'!J92</f>
        <v>0</v>
      </c>
    </row>
    <row r="93" customFormat="false" ht="15.75" hidden="false" customHeight="false" outlineLevel="0" collapsed="false">
      <c r="A93" s="118" t="n">
        <f aca="false">'🤖 Claude Haiku 3.5'!$A$92</f>
        <v>0</v>
      </c>
      <c r="B93" s="4" t="str">
        <f aca="false">"Claude Sonnet 3.5"</f>
        <v>Claude Sonnet 3.5</v>
      </c>
      <c r="C93" s="119" t="str">
        <f aca="false">'🤖 Claude Haiku 3.5'!C93</f>
        <v>CoT</v>
      </c>
      <c r="D93" s="143" t="n">
        <f aca="false">'🤖 Claude Haiku 3.5'!E93</f>
        <v>0.004761904762</v>
      </c>
      <c r="E93" s="119" t="n">
        <f aca="false">'🤖 Claude Haiku 3.5'!F93</f>
        <v>0</v>
      </c>
      <c r="F93" s="119" t="n">
        <f aca="false">'🤖 Claude Haiku 3.5'!G93</f>
        <v>0</v>
      </c>
      <c r="G93" s="119" t="n">
        <f aca="false">'🤖 Claude Haiku 3.5'!H93</f>
        <v>0</v>
      </c>
      <c r="H93" s="119" t="n">
        <f aca="false">'🤖 Claude Haiku 3.5'!I93</f>
        <v>0</v>
      </c>
      <c r="I93" s="119" t="n">
        <f aca="false">'🤖 Claude Haiku 3.5'!J93</f>
        <v>0</v>
      </c>
    </row>
    <row r="94" customFormat="false" ht="15.75" hidden="false" customHeight="false" outlineLevel="0" collapsed="false">
      <c r="A94" s="118" t="n">
        <f aca="false">'🤖 Claude Haiku 3.5'!$A$92</f>
        <v>0</v>
      </c>
      <c r="B94" s="4" t="str">
        <f aca="false">"Claude Sonnet 3.5"</f>
        <v>Claude Sonnet 3.5</v>
      </c>
      <c r="C94" s="119" t="str">
        <f aca="false">'🤖 Claude Haiku 3.5'!C94</f>
        <v>5W1H</v>
      </c>
      <c r="D94" s="143" t="n">
        <f aca="false">'🤖 Claude Haiku 3.5'!E94</f>
        <v>0.004761904762</v>
      </c>
      <c r="E94" s="119" t="n">
        <f aca="false">'🤖 Claude Haiku 3.5'!F94</f>
        <v>0</v>
      </c>
      <c r="F94" s="119" t="n">
        <f aca="false">'🤖 Claude Haiku 3.5'!G94</f>
        <v>0</v>
      </c>
      <c r="G94" s="119" t="n">
        <f aca="false">'🤖 Claude Haiku 3.5'!H94</f>
        <v>0</v>
      </c>
      <c r="H94" s="119" t="n">
        <f aca="false">'🤖 Claude Haiku 3.5'!I94</f>
        <v>0</v>
      </c>
      <c r="I94" s="119" t="n">
        <f aca="false">'🤖 Claude Haiku 3.5'!J94</f>
        <v>0</v>
      </c>
    </row>
    <row r="95" customFormat="false" ht="15.75" hidden="false" customHeight="false" outlineLevel="0" collapsed="false">
      <c r="A95" s="118" t="n">
        <f aca="false">'🤖 Claude Haiku 3.5'!$A$92</f>
        <v>0</v>
      </c>
      <c r="B95" s="4" t="str">
        <f aca="false">"Claude Sonnet 3.5"</f>
        <v>Claude Sonnet 3.5</v>
      </c>
      <c r="C95" s="119" t="str">
        <f aca="false">'🤖 Claude Haiku 3.5'!C95</f>
        <v>tldr</v>
      </c>
      <c r="D95" s="143" t="n">
        <f aca="false">'🤖 Claude Haiku 3.5'!E95</f>
        <v>0.004761904762</v>
      </c>
      <c r="E95" s="119" t="n">
        <f aca="false">'🤖 Claude Haiku 3.5'!F95</f>
        <v>0</v>
      </c>
      <c r="F95" s="119" t="n">
        <f aca="false">'🤖 Claude Haiku 3.5'!G95</f>
        <v>0</v>
      </c>
      <c r="G95" s="119" t="n">
        <f aca="false">'🤖 Claude Haiku 3.5'!H95</f>
        <v>0</v>
      </c>
      <c r="H95" s="119" t="n">
        <f aca="false">'🤖 Claude Haiku 3.5'!I95</f>
        <v>0</v>
      </c>
      <c r="I95" s="119" t="n">
        <f aca="false">'🤖 Claude Haiku 3.5'!J95</f>
        <v>0</v>
      </c>
    </row>
    <row r="96" customFormat="false" ht="15.75" hidden="false" customHeight="false" outlineLevel="0" collapsed="false">
      <c r="A96" s="118"/>
      <c r="B96" s="4"/>
      <c r="C96" s="6"/>
      <c r="D96" s="143"/>
      <c r="E96" s="6"/>
      <c r="F96" s="6"/>
      <c r="G96" s="6"/>
      <c r="H96" s="6"/>
      <c r="I96" s="6"/>
    </row>
    <row r="97" customFormat="false" ht="15.75" hidden="false" customHeight="false" outlineLevel="0" collapsed="false">
      <c r="A97" s="118" t="n">
        <f aca="false">'🤖 Claude Haiku 3.5'!$A$97</f>
        <v>0</v>
      </c>
      <c r="B97" s="4" t="str">
        <f aca="false">"Claude Sonnet 3.5"</f>
        <v>Claude Sonnet 3.5</v>
      </c>
      <c r="C97" s="119" t="str">
        <f aca="false">'🤖 Claude Haiku 3.5'!C97</f>
        <v>Base</v>
      </c>
      <c r="D97" s="143" t="n">
        <f aca="false">'🤖 Claude Haiku 3.5'!E97</f>
        <v>0.004761904762</v>
      </c>
      <c r="E97" s="119" t="n">
        <f aca="false">'🤖 Claude Haiku 3.5'!F97</f>
        <v>0</v>
      </c>
      <c r="F97" s="119" t="n">
        <f aca="false">'🤖 Claude Haiku 3.5'!G97</f>
        <v>0</v>
      </c>
      <c r="G97" s="119" t="n">
        <f aca="false">'🤖 Claude Haiku 3.5'!H97</f>
        <v>0</v>
      </c>
      <c r="H97" s="119" t="n">
        <f aca="false">'🤖 Claude Haiku 3.5'!I97</f>
        <v>0</v>
      </c>
      <c r="I97" s="119" t="n">
        <f aca="false">'🤖 Claude Haiku 3.5'!J97</f>
        <v>0</v>
      </c>
    </row>
    <row r="98" customFormat="false" ht="15.75" hidden="false" customHeight="false" outlineLevel="0" collapsed="false">
      <c r="A98" s="118" t="n">
        <f aca="false">'🤖 Claude Haiku 3.5'!$A$97</f>
        <v>0</v>
      </c>
      <c r="B98" s="4" t="str">
        <f aca="false">"Claude Sonnet 3.5"</f>
        <v>Claude Sonnet 3.5</v>
      </c>
      <c r="C98" s="119" t="str">
        <f aca="false">'🤖 Claude Haiku 3.5'!C98</f>
        <v>CoT</v>
      </c>
      <c r="D98" s="143" t="n">
        <f aca="false">'🤖 Claude Haiku 3.5'!E98</f>
        <v>0.004761904762</v>
      </c>
      <c r="E98" s="119" t="n">
        <f aca="false">'🤖 Claude Haiku 3.5'!F98</f>
        <v>0</v>
      </c>
      <c r="F98" s="119" t="n">
        <f aca="false">'🤖 Claude Haiku 3.5'!G98</f>
        <v>0</v>
      </c>
      <c r="G98" s="119" t="n">
        <f aca="false">'🤖 Claude Haiku 3.5'!H98</f>
        <v>0</v>
      </c>
      <c r="H98" s="119" t="n">
        <f aca="false">'🤖 Claude Haiku 3.5'!I98</f>
        <v>0</v>
      </c>
      <c r="I98" s="119" t="n">
        <f aca="false">'🤖 Claude Haiku 3.5'!J98</f>
        <v>0</v>
      </c>
    </row>
    <row r="99" customFormat="false" ht="15.75" hidden="false" customHeight="false" outlineLevel="0" collapsed="false">
      <c r="A99" s="118" t="n">
        <f aca="false">'🤖 Claude Haiku 3.5'!$A$97</f>
        <v>0</v>
      </c>
      <c r="B99" s="4" t="str">
        <f aca="false">"Claude Sonnet 3.5"</f>
        <v>Claude Sonnet 3.5</v>
      </c>
      <c r="C99" s="119" t="str">
        <f aca="false">'🤖 Claude Haiku 3.5'!C99</f>
        <v>5W1H</v>
      </c>
      <c r="D99" s="143" t="n">
        <f aca="false">'🤖 Claude Haiku 3.5'!E99</f>
        <v>0.004761904762</v>
      </c>
      <c r="E99" s="119" t="n">
        <f aca="false">'🤖 Claude Haiku 3.5'!F99</f>
        <v>0</v>
      </c>
      <c r="F99" s="119" t="n">
        <f aca="false">'🤖 Claude Haiku 3.5'!G99</f>
        <v>0</v>
      </c>
      <c r="G99" s="119" t="n">
        <f aca="false">'🤖 Claude Haiku 3.5'!H99</f>
        <v>0</v>
      </c>
      <c r="H99" s="119" t="n">
        <f aca="false">'🤖 Claude Haiku 3.5'!I99</f>
        <v>0</v>
      </c>
      <c r="I99" s="119" t="n">
        <f aca="false">'🤖 Claude Haiku 3.5'!J99</f>
        <v>0</v>
      </c>
    </row>
    <row r="100" customFormat="false" ht="15.75" hidden="false" customHeight="false" outlineLevel="0" collapsed="false">
      <c r="A100" s="118" t="n">
        <f aca="false">'🤖 Claude Haiku 3.5'!$A$97</f>
        <v>0</v>
      </c>
      <c r="B100" s="4" t="str">
        <f aca="false">"Claude Sonnet 3.5"</f>
        <v>Claude Sonnet 3.5</v>
      </c>
      <c r="C100" s="119" t="str">
        <f aca="false">'🤖 Claude Haiku 3.5'!C100</f>
        <v>tldr</v>
      </c>
      <c r="D100" s="143" t="n">
        <f aca="false">'🤖 Claude Haiku 3.5'!E100</f>
        <v>0.004761904762</v>
      </c>
      <c r="E100" s="119" t="n">
        <f aca="false">'🤖 Claude Haiku 3.5'!F100</f>
        <v>0</v>
      </c>
      <c r="F100" s="119" t="n">
        <f aca="false">'🤖 Claude Haiku 3.5'!G100</f>
        <v>0</v>
      </c>
      <c r="G100" s="119" t="n">
        <f aca="false">'🤖 Claude Haiku 3.5'!H100</f>
        <v>0</v>
      </c>
      <c r="H100" s="119" t="n">
        <f aca="false">'🤖 Claude Haiku 3.5'!I100</f>
        <v>0</v>
      </c>
      <c r="I100" s="119" t="n">
        <f aca="false">'🤖 Claude Haiku 3.5'!J100</f>
        <v>0</v>
      </c>
    </row>
    <row r="101" customFormat="false" ht="15.75" hidden="false" customHeight="false" outlineLevel="0" collapsed="false">
      <c r="A101" s="118"/>
      <c r="B101" s="4"/>
      <c r="C101" s="6"/>
      <c r="D101" s="143"/>
      <c r="E101" s="6"/>
      <c r="F101" s="6"/>
      <c r="G101" s="6"/>
      <c r="H101" s="6"/>
      <c r="I101" s="6"/>
    </row>
    <row r="102" customFormat="false" ht="15.75" hidden="false" customHeight="false" outlineLevel="0" collapsed="false">
      <c r="A102" s="118" t="n">
        <f aca="false">'🤖 Claude Haiku 3.5'!$A$102</f>
        <v>0</v>
      </c>
      <c r="B102" s="4" t="str">
        <f aca="false">"Claude Sonnet 3.5"</f>
        <v>Claude Sonnet 3.5</v>
      </c>
      <c r="C102" s="119" t="str">
        <f aca="false">'🤖 Claude Haiku 3.5'!C102</f>
        <v>Base</v>
      </c>
      <c r="D102" s="143" t="n">
        <f aca="false">'🤖 Claude Haiku 3.5'!E102</f>
        <v>0.004761904762</v>
      </c>
      <c r="E102" s="119" t="n">
        <f aca="false">'🤖 Claude Haiku 3.5'!F102</f>
        <v>0</v>
      </c>
      <c r="F102" s="119" t="n">
        <f aca="false">'🤖 Claude Haiku 3.5'!G102</f>
        <v>0</v>
      </c>
      <c r="G102" s="119" t="n">
        <f aca="false">'🤖 Claude Haiku 3.5'!H102</f>
        <v>0</v>
      </c>
      <c r="H102" s="119" t="n">
        <f aca="false">'🤖 Claude Haiku 3.5'!I102</f>
        <v>0</v>
      </c>
      <c r="I102" s="119" t="n">
        <f aca="false">'🤖 Claude Haiku 3.5'!J102</f>
        <v>0</v>
      </c>
    </row>
    <row r="103" customFormat="false" ht="15.75" hidden="false" customHeight="false" outlineLevel="0" collapsed="false">
      <c r="A103" s="118" t="n">
        <f aca="false">'🤖 Claude Haiku 3.5'!$A$102</f>
        <v>0</v>
      </c>
      <c r="B103" s="4" t="str">
        <f aca="false">"Claude Sonnet 3.5"</f>
        <v>Claude Sonnet 3.5</v>
      </c>
      <c r="C103" s="119" t="str">
        <f aca="false">'🤖 Claude Haiku 3.5'!C103</f>
        <v>CoT</v>
      </c>
      <c r="D103" s="143" t="n">
        <f aca="false">'🤖 Claude Haiku 3.5'!E103</f>
        <v>0.004761904762</v>
      </c>
      <c r="E103" s="119" t="n">
        <f aca="false">'🤖 Claude Haiku 3.5'!F103</f>
        <v>0</v>
      </c>
      <c r="F103" s="119" t="n">
        <f aca="false">'🤖 Claude Haiku 3.5'!G103</f>
        <v>0</v>
      </c>
      <c r="G103" s="119" t="n">
        <f aca="false">'🤖 Claude Haiku 3.5'!H103</f>
        <v>0</v>
      </c>
      <c r="H103" s="119" t="n">
        <f aca="false">'🤖 Claude Haiku 3.5'!I103</f>
        <v>0</v>
      </c>
      <c r="I103" s="119" t="n">
        <f aca="false">'🤖 Claude Haiku 3.5'!J103</f>
        <v>0</v>
      </c>
    </row>
    <row r="104" customFormat="false" ht="15.75" hidden="false" customHeight="false" outlineLevel="0" collapsed="false">
      <c r="A104" s="118" t="n">
        <f aca="false">'🤖 Claude Haiku 3.5'!$A$102</f>
        <v>0</v>
      </c>
      <c r="B104" s="4" t="str">
        <f aca="false">"Claude Sonnet 3.5"</f>
        <v>Claude Sonnet 3.5</v>
      </c>
      <c r="C104" s="119" t="str">
        <f aca="false">'🤖 Claude Haiku 3.5'!C104</f>
        <v>5W1H</v>
      </c>
      <c r="D104" s="143" t="n">
        <f aca="false">'🤖 Claude Haiku 3.5'!E104</f>
        <v>0.004761904762</v>
      </c>
      <c r="E104" s="119" t="n">
        <f aca="false">'🤖 Claude Haiku 3.5'!F104</f>
        <v>0</v>
      </c>
      <c r="F104" s="119" t="n">
        <f aca="false">'🤖 Claude Haiku 3.5'!G104</f>
        <v>0</v>
      </c>
      <c r="G104" s="119" t="n">
        <f aca="false">'🤖 Claude Haiku 3.5'!H104</f>
        <v>0</v>
      </c>
      <c r="H104" s="119" t="n">
        <f aca="false">'🤖 Claude Haiku 3.5'!I104</f>
        <v>0</v>
      </c>
      <c r="I104" s="119" t="n">
        <f aca="false">'🤖 Claude Haiku 3.5'!J104</f>
        <v>0</v>
      </c>
    </row>
    <row r="105" customFormat="false" ht="15.75" hidden="false" customHeight="false" outlineLevel="0" collapsed="false">
      <c r="A105" s="118" t="n">
        <f aca="false">'🤖 Claude Haiku 3.5'!$A$102</f>
        <v>0</v>
      </c>
      <c r="B105" s="4" t="str">
        <f aca="false">"Claude Sonnet 3.5"</f>
        <v>Claude Sonnet 3.5</v>
      </c>
      <c r="C105" s="119" t="str">
        <f aca="false">'🤖 Claude Haiku 3.5'!C105</f>
        <v>tldr</v>
      </c>
      <c r="D105" s="143" t="n">
        <f aca="false">'🤖 Claude Haiku 3.5'!E105</f>
        <v>0.004761904762</v>
      </c>
      <c r="E105" s="119" t="n">
        <f aca="false">'🤖 Claude Haiku 3.5'!F105</f>
        <v>0</v>
      </c>
      <c r="F105" s="119" t="n">
        <f aca="false">'🤖 Claude Haiku 3.5'!G105</f>
        <v>0</v>
      </c>
      <c r="G105" s="119" t="n">
        <f aca="false">'🤖 Claude Haiku 3.5'!H105</f>
        <v>0</v>
      </c>
      <c r="H105" s="119" t="n">
        <f aca="false">'🤖 Claude Haiku 3.5'!I105</f>
        <v>0</v>
      </c>
      <c r="I105" s="119" t="n">
        <f aca="false">'🤖 Claude Haiku 3.5'!J105</f>
        <v>0</v>
      </c>
    </row>
    <row r="106" customFormat="false" ht="15.75" hidden="false" customHeight="false" outlineLevel="0" collapsed="false">
      <c r="A106" s="118"/>
      <c r="B106" s="4"/>
      <c r="C106" s="6"/>
      <c r="D106" s="143"/>
      <c r="E106" s="6"/>
      <c r="F106" s="6"/>
      <c r="G106" s="6"/>
      <c r="H106" s="6"/>
      <c r="I106" s="6"/>
    </row>
    <row r="107" customFormat="false" ht="15.75" hidden="false" customHeight="false" outlineLevel="0" collapsed="false">
      <c r="A107" s="118" t="n">
        <f aca="false">'🤖 Claude Haiku 3.5'!$A$107</f>
        <v>0</v>
      </c>
      <c r="B107" s="4" t="str">
        <f aca="false">"Claude Sonnet 3.5"</f>
        <v>Claude Sonnet 3.5</v>
      </c>
      <c r="C107" s="119" t="str">
        <f aca="false">'🤖 Claude Haiku 3.5'!C107</f>
        <v>Base</v>
      </c>
      <c r="D107" s="143" t="n">
        <f aca="false">'🤖 Claude Haiku 3.5'!E107</f>
        <v>0.004761904762</v>
      </c>
      <c r="E107" s="119" t="n">
        <f aca="false">'🤖 Claude Haiku 3.5'!F107</f>
        <v>0</v>
      </c>
      <c r="F107" s="119" t="n">
        <f aca="false">'🤖 Claude Haiku 3.5'!G107</f>
        <v>0</v>
      </c>
      <c r="G107" s="119" t="n">
        <f aca="false">'🤖 Claude Haiku 3.5'!H107</f>
        <v>0</v>
      </c>
      <c r="H107" s="119" t="n">
        <f aca="false">'🤖 Claude Haiku 3.5'!I107</f>
        <v>0</v>
      </c>
      <c r="I107" s="119" t="n">
        <f aca="false">'🤖 Claude Haiku 3.5'!J107</f>
        <v>0</v>
      </c>
    </row>
    <row r="108" customFormat="false" ht="15.75" hidden="false" customHeight="false" outlineLevel="0" collapsed="false">
      <c r="A108" s="118" t="n">
        <f aca="false">'🤖 Claude Haiku 3.5'!$A$107</f>
        <v>0</v>
      </c>
      <c r="B108" s="4" t="str">
        <f aca="false">"Claude Sonnet 3.5"</f>
        <v>Claude Sonnet 3.5</v>
      </c>
      <c r="C108" s="119" t="str">
        <f aca="false">'🤖 Claude Haiku 3.5'!C108</f>
        <v>CoT</v>
      </c>
      <c r="D108" s="143" t="n">
        <f aca="false">'🤖 Claude Haiku 3.5'!E108</f>
        <v>0.004761904762</v>
      </c>
      <c r="E108" s="119" t="n">
        <f aca="false">'🤖 Claude Haiku 3.5'!F108</f>
        <v>0</v>
      </c>
      <c r="F108" s="119" t="n">
        <f aca="false">'🤖 Claude Haiku 3.5'!G108</f>
        <v>0</v>
      </c>
      <c r="G108" s="119" t="n">
        <f aca="false">'🤖 Claude Haiku 3.5'!H108</f>
        <v>0</v>
      </c>
      <c r="H108" s="119" t="n">
        <f aca="false">'🤖 Claude Haiku 3.5'!I108</f>
        <v>0</v>
      </c>
      <c r="I108" s="119" t="n">
        <f aca="false">'🤖 Claude Haiku 3.5'!J108</f>
        <v>0</v>
      </c>
    </row>
    <row r="109" customFormat="false" ht="15.75" hidden="false" customHeight="false" outlineLevel="0" collapsed="false">
      <c r="A109" s="118" t="n">
        <f aca="false">'🤖 Claude Haiku 3.5'!$A$107</f>
        <v>0</v>
      </c>
      <c r="B109" s="4" t="str">
        <f aca="false">"Claude Sonnet 3.5"</f>
        <v>Claude Sonnet 3.5</v>
      </c>
      <c r="C109" s="119" t="str">
        <f aca="false">'🤖 Claude Haiku 3.5'!C109</f>
        <v>5W1H</v>
      </c>
      <c r="D109" s="143" t="n">
        <f aca="false">'🤖 Claude Haiku 3.5'!E109</f>
        <v>0.004761904762</v>
      </c>
      <c r="E109" s="119" t="n">
        <f aca="false">'🤖 Claude Haiku 3.5'!F109</f>
        <v>0</v>
      </c>
      <c r="F109" s="119" t="n">
        <f aca="false">'🤖 Claude Haiku 3.5'!G109</f>
        <v>0</v>
      </c>
      <c r="G109" s="119" t="n">
        <f aca="false">'🤖 Claude Haiku 3.5'!H109</f>
        <v>0</v>
      </c>
      <c r="H109" s="119" t="n">
        <f aca="false">'🤖 Claude Haiku 3.5'!I109</f>
        <v>0</v>
      </c>
      <c r="I109" s="119" t="n">
        <f aca="false">'🤖 Claude Haiku 3.5'!J109</f>
        <v>0</v>
      </c>
    </row>
    <row r="110" customFormat="false" ht="15.75" hidden="false" customHeight="false" outlineLevel="0" collapsed="false">
      <c r="A110" s="118" t="n">
        <f aca="false">'🤖 Claude Haiku 3.5'!$A$107</f>
        <v>0</v>
      </c>
      <c r="B110" s="4" t="str">
        <f aca="false">"Claude Sonnet 3.5"</f>
        <v>Claude Sonnet 3.5</v>
      </c>
      <c r="C110" s="119" t="str">
        <f aca="false">'🤖 Claude Haiku 3.5'!C110</f>
        <v>tldr</v>
      </c>
      <c r="D110" s="143" t="n">
        <f aca="false">'🤖 Claude Haiku 3.5'!E110</f>
        <v>0.004761904762</v>
      </c>
      <c r="E110" s="119" t="n">
        <f aca="false">'🤖 Claude Haiku 3.5'!F110</f>
        <v>0</v>
      </c>
      <c r="F110" s="119" t="n">
        <f aca="false">'🤖 Claude Haiku 3.5'!G110</f>
        <v>0</v>
      </c>
      <c r="G110" s="119" t="n">
        <f aca="false">'🤖 Claude Haiku 3.5'!H110</f>
        <v>0</v>
      </c>
      <c r="H110" s="119" t="n">
        <f aca="false">'🤖 Claude Haiku 3.5'!I110</f>
        <v>0</v>
      </c>
      <c r="I110" s="119" t="n">
        <f aca="false">'🤖 Claude Haiku 3.5'!J110</f>
        <v>0</v>
      </c>
    </row>
    <row r="111" customFormat="false" ht="15.75" hidden="false" customHeight="false" outlineLevel="0" collapsed="false">
      <c r="A111" s="118"/>
      <c r="B111" s="4"/>
      <c r="C111" s="6"/>
      <c r="D111" s="143"/>
      <c r="E111" s="6"/>
      <c r="F111" s="6"/>
      <c r="G111" s="6"/>
      <c r="H111" s="6"/>
      <c r="I111" s="6"/>
    </row>
    <row r="112" customFormat="false" ht="15.75" hidden="false" customHeight="false" outlineLevel="0" collapsed="false">
      <c r="A112" s="118" t="n">
        <f aca="false">'🤖 Claude Haiku 3.5'!$A$112</f>
        <v>0</v>
      </c>
      <c r="B112" s="4" t="str">
        <f aca="false">"Claude Sonnet 3.5"</f>
        <v>Claude Sonnet 3.5</v>
      </c>
      <c r="C112" s="119" t="str">
        <f aca="false">'🤖 Claude Haiku 3.5'!C112</f>
        <v>Base</v>
      </c>
      <c r="D112" s="143" t="n">
        <f aca="false">'🤖 Claude Haiku 3.5'!E112</f>
        <v>0.004761904762</v>
      </c>
      <c r="E112" s="119" t="n">
        <f aca="false">'🤖 Claude Haiku 3.5'!F112</f>
        <v>0</v>
      </c>
      <c r="F112" s="119" t="n">
        <f aca="false">'🤖 Claude Haiku 3.5'!G112</f>
        <v>0</v>
      </c>
      <c r="G112" s="119" t="n">
        <f aca="false">'🤖 Claude Haiku 3.5'!H112</f>
        <v>0</v>
      </c>
      <c r="H112" s="119" t="n">
        <f aca="false">'🤖 Claude Haiku 3.5'!I112</f>
        <v>0</v>
      </c>
      <c r="I112" s="119" t="n">
        <f aca="false">'🤖 Claude Haiku 3.5'!J112</f>
        <v>0</v>
      </c>
    </row>
    <row r="113" customFormat="false" ht="15.75" hidden="false" customHeight="false" outlineLevel="0" collapsed="false">
      <c r="A113" s="118" t="n">
        <f aca="false">'🤖 Claude Haiku 3.5'!$A$112</f>
        <v>0</v>
      </c>
      <c r="B113" s="4" t="str">
        <f aca="false">"Claude Sonnet 3.5"</f>
        <v>Claude Sonnet 3.5</v>
      </c>
      <c r="C113" s="119" t="str">
        <f aca="false">'🤖 Claude Haiku 3.5'!C113</f>
        <v>CoT</v>
      </c>
      <c r="D113" s="143" t="n">
        <f aca="false">'🤖 Claude Haiku 3.5'!E113</f>
        <v>0.004761904762</v>
      </c>
      <c r="E113" s="119" t="n">
        <f aca="false">'🤖 Claude Haiku 3.5'!F113</f>
        <v>0</v>
      </c>
      <c r="F113" s="119" t="n">
        <f aca="false">'🤖 Claude Haiku 3.5'!G113</f>
        <v>0</v>
      </c>
      <c r="G113" s="119" t="n">
        <f aca="false">'🤖 Claude Haiku 3.5'!H113</f>
        <v>0</v>
      </c>
      <c r="H113" s="119" t="n">
        <f aca="false">'🤖 Claude Haiku 3.5'!I113</f>
        <v>0</v>
      </c>
      <c r="I113" s="119" t="n">
        <f aca="false">'🤖 Claude Haiku 3.5'!J113</f>
        <v>0</v>
      </c>
    </row>
    <row r="114" customFormat="false" ht="15.75" hidden="false" customHeight="false" outlineLevel="0" collapsed="false">
      <c r="A114" s="118" t="n">
        <f aca="false">'🤖 Claude Haiku 3.5'!$A$112</f>
        <v>0</v>
      </c>
      <c r="B114" s="4" t="str">
        <f aca="false">"Claude Sonnet 3.5"</f>
        <v>Claude Sonnet 3.5</v>
      </c>
      <c r="C114" s="119" t="str">
        <f aca="false">'🤖 Claude Haiku 3.5'!C114</f>
        <v>5W1H</v>
      </c>
      <c r="D114" s="143" t="n">
        <f aca="false">'🤖 Claude Haiku 3.5'!E114</f>
        <v>0.004761904762</v>
      </c>
      <c r="E114" s="119" t="n">
        <f aca="false">'🤖 Claude Haiku 3.5'!F114</f>
        <v>0</v>
      </c>
      <c r="F114" s="119" t="n">
        <f aca="false">'🤖 Claude Haiku 3.5'!G114</f>
        <v>0</v>
      </c>
      <c r="G114" s="119" t="n">
        <f aca="false">'🤖 Claude Haiku 3.5'!H114</f>
        <v>0</v>
      </c>
      <c r="H114" s="119" t="n">
        <f aca="false">'🤖 Claude Haiku 3.5'!I114</f>
        <v>0</v>
      </c>
      <c r="I114" s="119" t="n">
        <f aca="false">'🤖 Claude Haiku 3.5'!J114</f>
        <v>0</v>
      </c>
    </row>
    <row r="115" customFormat="false" ht="15.75" hidden="false" customHeight="false" outlineLevel="0" collapsed="false">
      <c r="A115" s="118" t="n">
        <f aca="false">'🤖 Claude Haiku 3.5'!$A$112</f>
        <v>0</v>
      </c>
      <c r="B115" s="4" t="str">
        <f aca="false">"Claude Sonnet 3.5"</f>
        <v>Claude Sonnet 3.5</v>
      </c>
      <c r="C115" s="119" t="str">
        <f aca="false">'🤖 Claude Haiku 3.5'!C115</f>
        <v>tldr</v>
      </c>
      <c r="D115" s="143" t="n">
        <f aca="false">'🤖 Claude Haiku 3.5'!E115</f>
        <v>0.004761904762</v>
      </c>
      <c r="E115" s="119" t="n">
        <f aca="false">'🤖 Claude Haiku 3.5'!F115</f>
        <v>0</v>
      </c>
      <c r="F115" s="119" t="n">
        <f aca="false">'🤖 Claude Haiku 3.5'!G115</f>
        <v>0</v>
      </c>
      <c r="G115" s="119" t="n">
        <f aca="false">'🤖 Claude Haiku 3.5'!H115</f>
        <v>0</v>
      </c>
      <c r="H115" s="119" t="n">
        <f aca="false">'🤖 Claude Haiku 3.5'!I115</f>
        <v>0</v>
      </c>
      <c r="I115" s="119" t="n">
        <f aca="false">'🤖 Claude Haiku 3.5'!J115</f>
        <v>0</v>
      </c>
    </row>
    <row r="116" customFormat="false" ht="15.75" hidden="false" customHeight="false" outlineLevel="0" collapsed="false">
      <c r="A116" s="118"/>
      <c r="B116" s="4"/>
      <c r="C116" s="6"/>
      <c r="D116" s="143"/>
      <c r="E116" s="6"/>
      <c r="F116" s="6"/>
      <c r="G116" s="6"/>
      <c r="H116" s="6"/>
      <c r="I116" s="6"/>
    </row>
    <row r="117" customFormat="false" ht="15.75" hidden="false" customHeight="false" outlineLevel="0" collapsed="false">
      <c r="A117" s="118" t="n">
        <f aca="false">'🤖 Claude Haiku 3.5'!$A$117</f>
        <v>0</v>
      </c>
      <c r="B117" s="4" t="str">
        <f aca="false">"Claude Sonnet 3.5"</f>
        <v>Claude Sonnet 3.5</v>
      </c>
      <c r="C117" s="119" t="str">
        <f aca="false">'🤖 Claude Haiku 3.5'!C117</f>
        <v>Base</v>
      </c>
      <c r="D117" s="143" t="n">
        <f aca="false">'🤖 Claude Haiku 3.5'!E117</f>
        <v>0.004761904762</v>
      </c>
      <c r="E117" s="119" t="n">
        <f aca="false">'🤖 Claude Haiku 3.5'!F117</f>
        <v>0</v>
      </c>
      <c r="F117" s="119" t="n">
        <f aca="false">'🤖 Claude Haiku 3.5'!G117</f>
        <v>0</v>
      </c>
      <c r="G117" s="119" t="n">
        <f aca="false">'🤖 Claude Haiku 3.5'!H117</f>
        <v>0</v>
      </c>
      <c r="H117" s="119" t="n">
        <f aca="false">'🤖 Claude Haiku 3.5'!I117</f>
        <v>0</v>
      </c>
      <c r="I117" s="119" t="n">
        <f aca="false">'🤖 Claude Haiku 3.5'!J117</f>
        <v>0</v>
      </c>
    </row>
    <row r="118" customFormat="false" ht="15.75" hidden="false" customHeight="false" outlineLevel="0" collapsed="false">
      <c r="A118" s="118" t="n">
        <f aca="false">'🤖 Claude Haiku 3.5'!$A$117</f>
        <v>0</v>
      </c>
      <c r="B118" s="4" t="str">
        <f aca="false">"Claude Sonnet 3.5"</f>
        <v>Claude Sonnet 3.5</v>
      </c>
      <c r="C118" s="119" t="str">
        <f aca="false">'🤖 Claude Haiku 3.5'!C118</f>
        <v>CoT</v>
      </c>
      <c r="D118" s="143" t="n">
        <f aca="false">'🤖 Claude Haiku 3.5'!E118</f>
        <v>0.004761904762</v>
      </c>
      <c r="E118" s="119" t="n">
        <f aca="false">'🤖 Claude Haiku 3.5'!F118</f>
        <v>0</v>
      </c>
      <c r="F118" s="119" t="n">
        <f aca="false">'🤖 Claude Haiku 3.5'!G118</f>
        <v>0</v>
      </c>
      <c r="G118" s="119" t="n">
        <f aca="false">'🤖 Claude Haiku 3.5'!H118</f>
        <v>0</v>
      </c>
      <c r="H118" s="119" t="n">
        <f aca="false">'🤖 Claude Haiku 3.5'!I118</f>
        <v>0</v>
      </c>
      <c r="I118" s="119" t="n">
        <f aca="false">'🤖 Claude Haiku 3.5'!J118</f>
        <v>0</v>
      </c>
    </row>
    <row r="119" customFormat="false" ht="15.75" hidden="false" customHeight="false" outlineLevel="0" collapsed="false">
      <c r="A119" s="118" t="n">
        <f aca="false">'🤖 Claude Haiku 3.5'!$A$117</f>
        <v>0</v>
      </c>
      <c r="B119" s="4" t="str">
        <f aca="false">"Claude Sonnet 3.5"</f>
        <v>Claude Sonnet 3.5</v>
      </c>
      <c r="C119" s="119" t="str">
        <f aca="false">'🤖 Claude Haiku 3.5'!C119</f>
        <v>5W1H</v>
      </c>
      <c r="D119" s="143" t="n">
        <f aca="false">'🤖 Claude Haiku 3.5'!E119</f>
        <v>0.004761904762</v>
      </c>
      <c r="E119" s="119" t="n">
        <f aca="false">'🤖 Claude Haiku 3.5'!F119</f>
        <v>0</v>
      </c>
      <c r="F119" s="119" t="n">
        <f aca="false">'🤖 Claude Haiku 3.5'!G119</f>
        <v>0</v>
      </c>
      <c r="G119" s="119" t="n">
        <f aca="false">'🤖 Claude Haiku 3.5'!H119</f>
        <v>0</v>
      </c>
      <c r="H119" s="119" t="n">
        <f aca="false">'🤖 Claude Haiku 3.5'!I119</f>
        <v>0</v>
      </c>
      <c r="I119" s="119" t="n">
        <f aca="false">'🤖 Claude Haiku 3.5'!J119</f>
        <v>0</v>
      </c>
    </row>
    <row r="120" customFormat="false" ht="15.75" hidden="false" customHeight="false" outlineLevel="0" collapsed="false">
      <c r="A120" s="118" t="n">
        <f aca="false">'🤖 Claude Haiku 3.5'!$A$117</f>
        <v>0</v>
      </c>
      <c r="B120" s="4" t="str">
        <f aca="false">"Claude Sonnet 3.5"</f>
        <v>Claude Sonnet 3.5</v>
      </c>
      <c r="C120" s="119" t="str">
        <f aca="false">'🤖 Claude Haiku 3.5'!C120</f>
        <v>tldr</v>
      </c>
      <c r="D120" s="143" t="n">
        <f aca="false">'🤖 Claude Haiku 3.5'!E120</f>
        <v>0.004761904762</v>
      </c>
      <c r="E120" s="119" t="n">
        <f aca="false">'🤖 Claude Haiku 3.5'!F120</f>
        <v>0</v>
      </c>
      <c r="F120" s="119" t="n">
        <f aca="false">'🤖 Claude Haiku 3.5'!G120</f>
        <v>0</v>
      </c>
      <c r="G120" s="119" t="n">
        <f aca="false">'🤖 Claude Haiku 3.5'!H120</f>
        <v>0</v>
      </c>
      <c r="H120" s="119" t="n">
        <f aca="false">'🤖 Claude Haiku 3.5'!I120</f>
        <v>0</v>
      </c>
      <c r="I120" s="119" t="n">
        <f aca="false">'🤖 Claude Haiku 3.5'!J120</f>
        <v>0</v>
      </c>
    </row>
    <row r="121" customFormat="false" ht="15.75" hidden="false" customHeight="false" outlineLevel="0" collapsed="false">
      <c r="A121" s="118"/>
      <c r="B121" s="4"/>
      <c r="C121" s="6"/>
      <c r="D121" s="143"/>
      <c r="E121" s="6"/>
      <c r="F121" s="6"/>
      <c r="G121" s="6"/>
      <c r="H121" s="6"/>
      <c r="I121" s="6"/>
    </row>
    <row r="122" customFormat="false" ht="15.75" hidden="false" customHeight="false" outlineLevel="0" collapsed="false">
      <c r="A122" s="118" t="n">
        <f aca="false">'🤖 Claude Haiku 3.5'!$A$122</f>
        <v>0</v>
      </c>
      <c r="B122" s="4" t="str">
        <f aca="false">"Claude Sonnet 3.5"</f>
        <v>Claude Sonnet 3.5</v>
      </c>
      <c r="C122" s="119" t="str">
        <f aca="false">'🤖 Claude Haiku 3.5'!C122</f>
        <v>Base</v>
      </c>
      <c r="D122" s="143" t="n">
        <f aca="false">'🤖 Claude Haiku 3.5'!E122</f>
        <v>0.004761904762</v>
      </c>
      <c r="E122" s="119" t="n">
        <f aca="false">'🤖 Claude Haiku 3.5'!F122</f>
        <v>0</v>
      </c>
      <c r="F122" s="119" t="n">
        <f aca="false">'🤖 Claude Haiku 3.5'!G122</f>
        <v>0</v>
      </c>
      <c r="G122" s="119" t="n">
        <f aca="false">'🤖 Claude Haiku 3.5'!H122</f>
        <v>0</v>
      </c>
      <c r="H122" s="119" t="n">
        <f aca="false">'🤖 Claude Haiku 3.5'!I122</f>
        <v>0</v>
      </c>
      <c r="I122" s="119" t="n">
        <f aca="false">'🤖 Claude Haiku 3.5'!J122</f>
        <v>0</v>
      </c>
    </row>
    <row r="123" customFormat="false" ht="15.75" hidden="false" customHeight="false" outlineLevel="0" collapsed="false">
      <c r="A123" s="118" t="n">
        <f aca="false">'🤖 Claude Haiku 3.5'!$A$122</f>
        <v>0</v>
      </c>
      <c r="B123" s="4" t="str">
        <f aca="false">"Claude Sonnet 3.5"</f>
        <v>Claude Sonnet 3.5</v>
      </c>
      <c r="C123" s="119" t="str">
        <f aca="false">'🤖 Claude Haiku 3.5'!C123</f>
        <v>CoT</v>
      </c>
      <c r="D123" s="143" t="n">
        <f aca="false">'🤖 Claude Haiku 3.5'!E123</f>
        <v>0.004761904762</v>
      </c>
      <c r="E123" s="119" t="n">
        <f aca="false">'🤖 Claude Haiku 3.5'!F123</f>
        <v>0</v>
      </c>
      <c r="F123" s="119" t="n">
        <f aca="false">'🤖 Claude Haiku 3.5'!G123</f>
        <v>0</v>
      </c>
      <c r="G123" s="119" t="n">
        <f aca="false">'🤖 Claude Haiku 3.5'!H123</f>
        <v>0</v>
      </c>
      <c r="H123" s="119" t="n">
        <f aca="false">'🤖 Claude Haiku 3.5'!I123</f>
        <v>0</v>
      </c>
      <c r="I123" s="119" t="n">
        <f aca="false">'🤖 Claude Haiku 3.5'!J123</f>
        <v>0</v>
      </c>
    </row>
    <row r="124" customFormat="false" ht="15.75" hidden="false" customHeight="false" outlineLevel="0" collapsed="false">
      <c r="A124" s="118" t="n">
        <f aca="false">'🤖 Claude Haiku 3.5'!$A$122</f>
        <v>0</v>
      </c>
      <c r="B124" s="4" t="str">
        <f aca="false">"Claude Sonnet 3.5"</f>
        <v>Claude Sonnet 3.5</v>
      </c>
      <c r="C124" s="119" t="str">
        <f aca="false">'🤖 Claude Haiku 3.5'!C124</f>
        <v>5W1H</v>
      </c>
      <c r="D124" s="143" t="n">
        <f aca="false">'🤖 Claude Haiku 3.5'!E124</f>
        <v>0.004761904762</v>
      </c>
      <c r="E124" s="119" t="n">
        <f aca="false">'🤖 Claude Haiku 3.5'!F124</f>
        <v>0</v>
      </c>
      <c r="F124" s="119" t="n">
        <f aca="false">'🤖 Claude Haiku 3.5'!G124</f>
        <v>0</v>
      </c>
      <c r="G124" s="119" t="n">
        <f aca="false">'🤖 Claude Haiku 3.5'!H124</f>
        <v>0</v>
      </c>
      <c r="H124" s="119" t="n">
        <f aca="false">'🤖 Claude Haiku 3.5'!I124</f>
        <v>0</v>
      </c>
      <c r="I124" s="119" t="n">
        <f aca="false">'🤖 Claude Haiku 3.5'!J124</f>
        <v>0</v>
      </c>
    </row>
    <row r="125" customFormat="false" ht="15.75" hidden="false" customHeight="false" outlineLevel="0" collapsed="false">
      <c r="A125" s="118" t="n">
        <f aca="false">'🤖 Claude Haiku 3.5'!$A$122</f>
        <v>0</v>
      </c>
      <c r="B125" s="4" t="str">
        <f aca="false">"Claude Sonnet 3.5"</f>
        <v>Claude Sonnet 3.5</v>
      </c>
      <c r="C125" s="119" t="str">
        <f aca="false">'🤖 Claude Haiku 3.5'!C125</f>
        <v>tldr</v>
      </c>
      <c r="D125" s="143" t="n">
        <f aca="false">'🤖 Claude Haiku 3.5'!E125</f>
        <v>0.004761904762</v>
      </c>
      <c r="E125" s="119" t="n">
        <f aca="false">'🤖 Claude Haiku 3.5'!F125</f>
        <v>0</v>
      </c>
      <c r="F125" s="119" t="n">
        <f aca="false">'🤖 Claude Haiku 3.5'!G125</f>
        <v>0</v>
      </c>
      <c r="G125" s="119" t="n">
        <f aca="false">'🤖 Claude Haiku 3.5'!H125</f>
        <v>0</v>
      </c>
      <c r="H125" s="119" t="n">
        <f aca="false">'🤖 Claude Haiku 3.5'!I125</f>
        <v>0</v>
      </c>
      <c r="I125" s="119" t="n">
        <f aca="false">'🤖 Claude Haiku 3.5'!J125</f>
        <v>0</v>
      </c>
    </row>
    <row r="126" customFormat="false" ht="15.75" hidden="false" customHeight="false" outlineLevel="0" collapsed="false">
      <c r="A126" s="118"/>
      <c r="B126" s="4"/>
      <c r="C126" s="6"/>
      <c r="D126" s="143"/>
      <c r="E126" s="6"/>
      <c r="F126" s="6"/>
      <c r="G126" s="6"/>
      <c r="H126" s="6"/>
      <c r="I126" s="6"/>
    </row>
    <row r="127" customFormat="false" ht="15.75" hidden="false" customHeight="false" outlineLevel="0" collapsed="false">
      <c r="A127" s="118" t="n">
        <f aca="false">'🤖 Claude Haiku 3.5'!$A$127</f>
        <v>0</v>
      </c>
      <c r="B127" s="4" t="str">
        <f aca="false">"Claude Sonnet 3.5"</f>
        <v>Claude Sonnet 3.5</v>
      </c>
      <c r="C127" s="119" t="str">
        <f aca="false">'🤖 Claude Haiku 3.5'!C127</f>
        <v>Base</v>
      </c>
      <c r="D127" s="143" t="n">
        <f aca="false">'🤖 Claude Haiku 3.5'!E127</f>
        <v>0.004761904762</v>
      </c>
      <c r="E127" s="119" t="n">
        <f aca="false">'🤖 Claude Haiku 3.5'!F127</f>
        <v>0</v>
      </c>
      <c r="F127" s="119" t="n">
        <f aca="false">'🤖 Claude Haiku 3.5'!G127</f>
        <v>0</v>
      </c>
      <c r="G127" s="119" t="n">
        <f aca="false">'🤖 Claude Haiku 3.5'!H127</f>
        <v>0</v>
      </c>
      <c r="H127" s="119" t="n">
        <f aca="false">'🤖 Claude Haiku 3.5'!I127</f>
        <v>0</v>
      </c>
      <c r="I127" s="119" t="n">
        <f aca="false">'🤖 Claude Haiku 3.5'!J127</f>
        <v>0</v>
      </c>
    </row>
    <row r="128" customFormat="false" ht="15.75" hidden="false" customHeight="false" outlineLevel="0" collapsed="false">
      <c r="A128" s="118" t="n">
        <f aca="false">'🤖 Claude Haiku 3.5'!$A$127</f>
        <v>0</v>
      </c>
      <c r="B128" s="4" t="str">
        <f aca="false">"Claude Sonnet 3.5"</f>
        <v>Claude Sonnet 3.5</v>
      </c>
      <c r="C128" s="119" t="str">
        <f aca="false">'🤖 Claude Haiku 3.5'!C128</f>
        <v>CoT</v>
      </c>
      <c r="D128" s="143" t="n">
        <f aca="false">'🤖 Claude Haiku 3.5'!E128</f>
        <v>0.004761904762</v>
      </c>
      <c r="E128" s="119" t="n">
        <f aca="false">'🤖 Claude Haiku 3.5'!F128</f>
        <v>0</v>
      </c>
      <c r="F128" s="119" t="n">
        <f aca="false">'🤖 Claude Haiku 3.5'!G128</f>
        <v>0</v>
      </c>
      <c r="G128" s="119" t="n">
        <f aca="false">'🤖 Claude Haiku 3.5'!H128</f>
        <v>0</v>
      </c>
      <c r="H128" s="119" t="n">
        <f aca="false">'🤖 Claude Haiku 3.5'!I128</f>
        <v>0</v>
      </c>
      <c r="I128" s="119" t="n">
        <f aca="false">'🤖 Claude Haiku 3.5'!J128</f>
        <v>0</v>
      </c>
    </row>
    <row r="129" customFormat="false" ht="15.75" hidden="false" customHeight="false" outlineLevel="0" collapsed="false">
      <c r="A129" s="118" t="n">
        <f aca="false">'🤖 Claude Haiku 3.5'!$A$127</f>
        <v>0</v>
      </c>
      <c r="B129" s="4" t="str">
        <f aca="false">"Claude Sonnet 3.5"</f>
        <v>Claude Sonnet 3.5</v>
      </c>
      <c r="C129" s="119" t="str">
        <f aca="false">'🤖 Claude Haiku 3.5'!C129</f>
        <v>5W1H</v>
      </c>
      <c r="D129" s="143" t="n">
        <f aca="false">'🤖 Claude Haiku 3.5'!E129</f>
        <v>0.004761904762</v>
      </c>
      <c r="E129" s="119" t="n">
        <f aca="false">'🤖 Claude Haiku 3.5'!F129</f>
        <v>0</v>
      </c>
      <c r="F129" s="119" t="n">
        <f aca="false">'🤖 Claude Haiku 3.5'!G129</f>
        <v>0</v>
      </c>
      <c r="G129" s="119" t="n">
        <f aca="false">'🤖 Claude Haiku 3.5'!H129</f>
        <v>0</v>
      </c>
      <c r="H129" s="119" t="n">
        <f aca="false">'🤖 Claude Haiku 3.5'!I129</f>
        <v>0</v>
      </c>
      <c r="I129" s="119" t="n">
        <f aca="false">'🤖 Claude Haiku 3.5'!J129</f>
        <v>0</v>
      </c>
    </row>
    <row r="130" customFormat="false" ht="15.75" hidden="false" customHeight="false" outlineLevel="0" collapsed="false">
      <c r="A130" s="118" t="n">
        <f aca="false">'🤖 Claude Haiku 3.5'!$A$127</f>
        <v>0</v>
      </c>
      <c r="B130" s="4" t="str">
        <f aca="false">"Claude Sonnet 3.5"</f>
        <v>Claude Sonnet 3.5</v>
      </c>
      <c r="C130" s="119" t="str">
        <f aca="false">'🤖 Claude Haiku 3.5'!C130</f>
        <v>tldr</v>
      </c>
      <c r="D130" s="143" t="n">
        <f aca="false">'🤖 Claude Haiku 3.5'!E130</f>
        <v>0.004761904762</v>
      </c>
      <c r="E130" s="119" t="n">
        <f aca="false">'🤖 Claude Haiku 3.5'!F130</f>
        <v>0</v>
      </c>
      <c r="F130" s="119" t="n">
        <f aca="false">'🤖 Claude Haiku 3.5'!G130</f>
        <v>0</v>
      </c>
      <c r="G130" s="119" t="n">
        <f aca="false">'🤖 Claude Haiku 3.5'!H130</f>
        <v>0</v>
      </c>
      <c r="H130" s="119" t="n">
        <f aca="false">'🤖 Claude Haiku 3.5'!I130</f>
        <v>0</v>
      </c>
      <c r="I130" s="119" t="n">
        <f aca="false">'🤖 Claude Haiku 3.5'!J130</f>
        <v>0</v>
      </c>
    </row>
    <row r="131" customFormat="false" ht="15.75" hidden="false" customHeight="false" outlineLevel="0" collapsed="false">
      <c r="A131" s="118"/>
      <c r="B131" s="4"/>
      <c r="C131" s="6"/>
      <c r="D131" s="143"/>
      <c r="E131" s="6"/>
      <c r="F131" s="6"/>
      <c r="G131" s="6"/>
      <c r="H131" s="6"/>
      <c r="I131" s="6"/>
    </row>
    <row r="132" customFormat="false" ht="15.75" hidden="false" customHeight="false" outlineLevel="0" collapsed="false">
      <c r="A132" s="118" t="n">
        <f aca="false">'🤖 Claude Haiku 3.5'!$A$132</f>
        <v>0</v>
      </c>
      <c r="B132" s="4" t="str">
        <f aca="false">"Claude Sonnet 3.5"</f>
        <v>Claude Sonnet 3.5</v>
      </c>
      <c r="C132" s="119" t="str">
        <f aca="false">'🤖 Claude Haiku 3.5'!C132</f>
        <v>Base</v>
      </c>
      <c r="D132" s="143" t="n">
        <f aca="false">'🤖 Claude Haiku 3.5'!E132</f>
        <v>0.004761904762</v>
      </c>
      <c r="E132" s="119" t="n">
        <f aca="false">'🤖 Claude Haiku 3.5'!F132</f>
        <v>0</v>
      </c>
      <c r="F132" s="119" t="n">
        <f aca="false">'🤖 Claude Haiku 3.5'!G132</f>
        <v>0</v>
      </c>
      <c r="G132" s="119" t="n">
        <f aca="false">'🤖 Claude Haiku 3.5'!H132</f>
        <v>0</v>
      </c>
      <c r="H132" s="119" t="n">
        <f aca="false">'🤖 Claude Haiku 3.5'!I132</f>
        <v>0</v>
      </c>
      <c r="I132" s="119" t="n">
        <f aca="false">'🤖 Claude Haiku 3.5'!J132</f>
        <v>0</v>
      </c>
    </row>
    <row r="133" customFormat="false" ht="15.75" hidden="false" customHeight="false" outlineLevel="0" collapsed="false">
      <c r="A133" s="118" t="n">
        <f aca="false">'🤖 Claude Haiku 3.5'!$A$132</f>
        <v>0</v>
      </c>
      <c r="B133" s="4" t="str">
        <f aca="false">"Claude Sonnet 3.5"</f>
        <v>Claude Sonnet 3.5</v>
      </c>
      <c r="C133" s="119" t="str">
        <f aca="false">'🤖 Claude Haiku 3.5'!C133</f>
        <v>CoT</v>
      </c>
      <c r="D133" s="143" t="n">
        <f aca="false">'🤖 Claude Haiku 3.5'!E133</f>
        <v>0.004761904762</v>
      </c>
      <c r="E133" s="119" t="n">
        <f aca="false">'🤖 Claude Haiku 3.5'!F133</f>
        <v>0</v>
      </c>
      <c r="F133" s="119" t="n">
        <f aca="false">'🤖 Claude Haiku 3.5'!G133</f>
        <v>0</v>
      </c>
      <c r="G133" s="119" t="n">
        <f aca="false">'🤖 Claude Haiku 3.5'!H133</f>
        <v>0</v>
      </c>
      <c r="H133" s="119" t="n">
        <f aca="false">'🤖 Claude Haiku 3.5'!I133</f>
        <v>0</v>
      </c>
      <c r="I133" s="119" t="n">
        <f aca="false">'🤖 Claude Haiku 3.5'!J133</f>
        <v>0</v>
      </c>
    </row>
    <row r="134" customFormat="false" ht="15.75" hidden="false" customHeight="false" outlineLevel="0" collapsed="false">
      <c r="A134" s="118" t="n">
        <f aca="false">'🤖 Claude Haiku 3.5'!$A$132</f>
        <v>0</v>
      </c>
      <c r="B134" s="4" t="str">
        <f aca="false">"Claude Sonnet 3.5"</f>
        <v>Claude Sonnet 3.5</v>
      </c>
      <c r="C134" s="119" t="str">
        <f aca="false">'🤖 Claude Haiku 3.5'!C134</f>
        <v>5W1H</v>
      </c>
      <c r="D134" s="143" t="n">
        <f aca="false">'🤖 Claude Haiku 3.5'!E134</f>
        <v>0.004761904762</v>
      </c>
      <c r="E134" s="119" t="n">
        <f aca="false">'🤖 Claude Haiku 3.5'!F134</f>
        <v>0</v>
      </c>
      <c r="F134" s="119" t="n">
        <f aca="false">'🤖 Claude Haiku 3.5'!G134</f>
        <v>0</v>
      </c>
      <c r="G134" s="119" t="n">
        <f aca="false">'🤖 Claude Haiku 3.5'!H134</f>
        <v>0</v>
      </c>
      <c r="H134" s="119" t="n">
        <f aca="false">'🤖 Claude Haiku 3.5'!I134</f>
        <v>0</v>
      </c>
      <c r="I134" s="119" t="n">
        <f aca="false">'🤖 Claude Haiku 3.5'!J134</f>
        <v>0</v>
      </c>
    </row>
    <row r="135" customFormat="false" ht="15.75" hidden="false" customHeight="false" outlineLevel="0" collapsed="false">
      <c r="A135" s="118" t="n">
        <f aca="false">'🤖 Claude Haiku 3.5'!$A$132</f>
        <v>0</v>
      </c>
      <c r="B135" s="4" t="str">
        <f aca="false">"Claude Sonnet 3.5"</f>
        <v>Claude Sonnet 3.5</v>
      </c>
      <c r="C135" s="119" t="str">
        <f aca="false">'🤖 Claude Haiku 3.5'!C135</f>
        <v>tldr</v>
      </c>
      <c r="D135" s="143" t="n">
        <f aca="false">'🤖 Claude Haiku 3.5'!E135</f>
        <v>0.004761904762</v>
      </c>
      <c r="E135" s="119" t="n">
        <f aca="false">'🤖 Claude Haiku 3.5'!F135</f>
        <v>0</v>
      </c>
      <c r="F135" s="119" t="n">
        <f aca="false">'🤖 Claude Haiku 3.5'!G135</f>
        <v>0</v>
      </c>
      <c r="G135" s="119" t="n">
        <f aca="false">'🤖 Claude Haiku 3.5'!H135</f>
        <v>0</v>
      </c>
      <c r="H135" s="119" t="n">
        <f aca="false">'🤖 Claude Haiku 3.5'!I135</f>
        <v>0</v>
      </c>
      <c r="I135" s="119" t="n">
        <f aca="false">'🤖 Claude Haiku 3.5'!J135</f>
        <v>0</v>
      </c>
    </row>
    <row r="136" customFormat="false" ht="15.75" hidden="false" customHeight="false" outlineLevel="0" collapsed="false">
      <c r="A136" s="118"/>
      <c r="B136" s="4"/>
      <c r="C136" s="6"/>
      <c r="D136" s="143"/>
      <c r="E136" s="6"/>
      <c r="F136" s="6"/>
      <c r="G136" s="6"/>
      <c r="H136" s="6"/>
      <c r="I136" s="6"/>
    </row>
    <row r="137" customFormat="false" ht="15.75" hidden="false" customHeight="false" outlineLevel="0" collapsed="false">
      <c r="A137" s="118" t="n">
        <f aca="false">'🤖 Claude Haiku 3.5'!$A$137</f>
        <v>0</v>
      </c>
      <c r="B137" s="4" t="str">
        <f aca="false">"Claude Sonnet 3.5"</f>
        <v>Claude Sonnet 3.5</v>
      </c>
      <c r="C137" s="119" t="str">
        <f aca="false">'🤖 Claude Haiku 3.5'!C137</f>
        <v>Base</v>
      </c>
      <c r="D137" s="143" t="n">
        <f aca="false">'🤖 Claude Haiku 3.5'!E137</f>
        <v>0.004761904762</v>
      </c>
      <c r="E137" s="119" t="n">
        <f aca="false">'🤖 Claude Haiku 3.5'!F137</f>
        <v>0</v>
      </c>
      <c r="F137" s="119" t="n">
        <f aca="false">'🤖 Claude Haiku 3.5'!G137</f>
        <v>0</v>
      </c>
      <c r="G137" s="119" t="n">
        <f aca="false">'🤖 Claude Haiku 3.5'!H137</f>
        <v>0</v>
      </c>
      <c r="H137" s="119" t="n">
        <f aca="false">'🤖 Claude Haiku 3.5'!I137</f>
        <v>0</v>
      </c>
      <c r="I137" s="119" t="n">
        <f aca="false">'🤖 Claude Haiku 3.5'!J137</f>
        <v>0</v>
      </c>
    </row>
    <row r="138" customFormat="false" ht="15.75" hidden="false" customHeight="false" outlineLevel="0" collapsed="false">
      <c r="A138" s="118" t="n">
        <f aca="false">'🤖 Claude Haiku 3.5'!$A$137</f>
        <v>0</v>
      </c>
      <c r="B138" s="4" t="str">
        <f aca="false">"Claude Sonnet 3.5"</f>
        <v>Claude Sonnet 3.5</v>
      </c>
      <c r="C138" s="119" t="str">
        <f aca="false">'🤖 Claude Haiku 3.5'!C138</f>
        <v>CoT</v>
      </c>
      <c r="D138" s="143" t="n">
        <f aca="false">'🤖 Claude Haiku 3.5'!E138</f>
        <v>0.004761904762</v>
      </c>
      <c r="E138" s="119" t="n">
        <f aca="false">'🤖 Claude Haiku 3.5'!F138</f>
        <v>0</v>
      </c>
      <c r="F138" s="119" t="n">
        <f aca="false">'🤖 Claude Haiku 3.5'!G138</f>
        <v>0</v>
      </c>
      <c r="G138" s="119" t="n">
        <f aca="false">'🤖 Claude Haiku 3.5'!H138</f>
        <v>0</v>
      </c>
      <c r="H138" s="119" t="n">
        <f aca="false">'🤖 Claude Haiku 3.5'!I138</f>
        <v>0</v>
      </c>
      <c r="I138" s="119" t="n">
        <f aca="false">'🤖 Claude Haiku 3.5'!J138</f>
        <v>0</v>
      </c>
    </row>
    <row r="139" customFormat="false" ht="15.75" hidden="false" customHeight="false" outlineLevel="0" collapsed="false">
      <c r="A139" s="118" t="n">
        <f aca="false">'🤖 Claude Haiku 3.5'!$A$137</f>
        <v>0</v>
      </c>
      <c r="B139" s="4" t="str">
        <f aca="false">"Claude Sonnet 3.5"</f>
        <v>Claude Sonnet 3.5</v>
      </c>
      <c r="C139" s="119" t="str">
        <f aca="false">'🤖 Claude Haiku 3.5'!C139</f>
        <v>5W1H</v>
      </c>
      <c r="D139" s="143" t="n">
        <f aca="false">'🤖 Claude Haiku 3.5'!E139</f>
        <v>0.004761904762</v>
      </c>
      <c r="E139" s="119" t="n">
        <f aca="false">'🤖 Claude Haiku 3.5'!F139</f>
        <v>0</v>
      </c>
      <c r="F139" s="119" t="n">
        <f aca="false">'🤖 Claude Haiku 3.5'!G139</f>
        <v>0</v>
      </c>
      <c r="G139" s="119" t="n">
        <f aca="false">'🤖 Claude Haiku 3.5'!H139</f>
        <v>0</v>
      </c>
      <c r="H139" s="119" t="n">
        <f aca="false">'🤖 Claude Haiku 3.5'!I139</f>
        <v>0</v>
      </c>
      <c r="I139" s="119" t="n">
        <f aca="false">'🤖 Claude Haiku 3.5'!J139</f>
        <v>0</v>
      </c>
    </row>
    <row r="140" customFormat="false" ht="15.75" hidden="false" customHeight="false" outlineLevel="0" collapsed="false">
      <c r="A140" s="118" t="n">
        <f aca="false">'🤖 Claude Haiku 3.5'!$A$137</f>
        <v>0</v>
      </c>
      <c r="B140" s="4" t="str">
        <f aca="false">"Claude Sonnet 3.5"</f>
        <v>Claude Sonnet 3.5</v>
      </c>
      <c r="C140" s="119" t="str">
        <f aca="false">'🤖 Claude Haiku 3.5'!C140</f>
        <v>tldr</v>
      </c>
      <c r="D140" s="143" t="n">
        <f aca="false">'🤖 Claude Haiku 3.5'!E140</f>
        <v>0.004761904762</v>
      </c>
      <c r="E140" s="119" t="n">
        <f aca="false">'🤖 Claude Haiku 3.5'!F140</f>
        <v>0</v>
      </c>
      <c r="F140" s="119" t="n">
        <f aca="false">'🤖 Claude Haiku 3.5'!G140</f>
        <v>0</v>
      </c>
      <c r="G140" s="119" t="n">
        <f aca="false">'🤖 Claude Haiku 3.5'!H140</f>
        <v>0</v>
      </c>
      <c r="H140" s="119" t="n">
        <f aca="false">'🤖 Claude Haiku 3.5'!I140</f>
        <v>0</v>
      </c>
      <c r="I140" s="119" t="n">
        <f aca="false">'🤖 Claude Haiku 3.5'!J140</f>
        <v>0</v>
      </c>
    </row>
    <row r="141" customFormat="false" ht="15.75" hidden="false" customHeight="false" outlineLevel="0" collapsed="false">
      <c r="A141" s="118"/>
      <c r="B141" s="4"/>
      <c r="C141" s="6"/>
      <c r="D141" s="143"/>
      <c r="E141" s="6"/>
      <c r="F141" s="6"/>
      <c r="G141" s="6"/>
      <c r="H141" s="6"/>
      <c r="I141" s="6"/>
    </row>
    <row r="142" customFormat="false" ht="15.75" hidden="false" customHeight="false" outlineLevel="0" collapsed="false">
      <c r="A142" s="118" t="n">
        <f aca="false">'🤖 Claude Haiku 3.5'!$A$142</f>
        <v>0</v>
      </c>
      <c r="B142" s="4" t="str">
        <f aca="false">"Claude Sonnet 3.5"</f>
        <v>Claude Sonnet 3.5</v>
      </c>
      <c r="C142" s="119" t="str">
        <f aca="false">'🤖 Claude Haiku 3.5'!C142</f>
        <v>Base</v>
      </c>
      <c r="D142" s="143" t="n">
        <f aca="false">'🤖 Claude Haiku 3.5'!E142</f>
        <v>0.004761904762</v>
      </c>
      <c r="E142" s="119" t="n">
        <f aca="false">'🤖 Claude Haiku 3.5'!F142</f>
        <v>0</v>
      </c>
      <c r="F142" s="119" t="n">
        <f aca="false">'🤖 Claude Haiku 3.5'!G142</f>
        <v>0</v>
      </c>
      <c r="G142" s="119" t="n">
        <f aca="false">'🤖 Claude Haiku 3.5'!H142</f>
        <v>0</v>
      </c>
      <c r="H142" s="119" t="n">
        <f aca="false">'🤖 Claude Haiku 3.5'!I142</f>
        <v>0</v>
      </c>
      <c r="I142" s="119" t="n">
        <f aca="false">'🤖 Claude Haiku 3.5'!J142</f>
        <v>0</v>
      </c>
    </row>
    <row r="143" customFormat="false" ht="15.75" hidden="false" customHeight="false" outlineLevel="0" collapsed="false">
      <c r="A143" s="118" t="n">
        <f aca="false">'🤖 Claude Haiku 3.5'!$A$142</f>
        <v>0</v>
      </c>
      <c r="B143" s="4" t="str">
        <f aca="false">"Claude Sonnet 3.5"</f>
        <v>Claude Sonnet 3.5</v>
      </c>
      <c r="C143" s="119" t="str">
        <f aca="false">'🤖 Claude Haiku 3.5'!C143</f>
        <v>CoT</v>
      </c>
      <c r="D143" s="143" t="n">
        <f aca="false">'🤖 Claude Haiku 3.5'!E143</f>
        <v>0.004761904762</v>
      </c>
      <c r="E143" s="119" t="n">
        <f aca="false">'🤖 Claude Haiku 3.5'!F143</f>
        <v>0</v>
      </c>
      <c r="F143" s="119" t="n">
        <f aca="false">'🤖 Claude Haiku 3.5'!G143</f>
        <v>0</v>
      </c>
      <c r="G143" s="119" t="n">
        <f aca="false">'🤖 Claude Haiku 3.5'!H143</f>
        <v>0</v>
      </c>
      <c r="H143" s="119" t="n">
        <f aca="false">'🤖 Claude Haiku 3.5'!I143</f>
        <v>0</v>
      </c>
      <c r="I143" s="119" t="n">
        <f aca="false">'🤖 Claude Haiku 3.5'!J143</f>
        <v>0</v>
      </c>
    </row>
    <row r="144" customFormat="false" ht="15.75" hidden="false" customHeight="false" outlineLevel="0" collapsed="false">
      <c r="A144" s="118" t="n">
        <f aca="false">'🤖 Claude Haiku 3.5'!$A$142</f>
        <v>0</v>
      </c>
      <c r="B144" s="4" t="str">
        <f aca="false">"Claude Sonnet 3.5"</f>
        <v>Claude Sonnet 3.5</v>
      </c>
      <c r="C144" s="119" t="str">
        <f aca="false">'🤖 Claude Haiku 3.5'!C144</f>
        <v>5W1H</v>
      </c>
      <c r="D144" s="143" t="n">
        <f aca="false">'🤖 Claude Haiku 3.5'!E144</f>
        <v>0.004761904762</v>
      </c>
      <c r="E144" s="119" t="n">
        <f aca="false">'🤖 Claude Haiku 3.5'!F144</f>
        <v>0</v>
      </c>
      <c r="F144" s="119" t="n">
        <f aca="false">'🤖 Claude Haiku 3.5'!G144</f>
        <v>0</v>
      </c>
      <c r="G144" s="119" t="n">
        <f aca="false">'🤖 Claude Haiku 3.5'!H144</f>
        <v>0</v>
      </c>
      <c r="H144" s="119" t="n">
        <f aca="false">'🤖 Claude Haiku 3.5'!I144</f>
        <v>0</v>
      </c>
      <c r="I144" s="119" t="n">
        <f aca="false">'🤖 Claude Haiku 3.5'!J144</f>
        <v>0</v>
      </c>
    </row>
    <row r="145" customFormat="false" ht="15.75" hidden="false" customHeight="false" outlineLevel="0" collapsed="false">
      <c r="A145" s="118" t="n">
        <f aca="false">'🤖 Claude Haiku 3.5'!$A$142</f>
        <v>0</v>
      </c>
      <c r="B145" s="4" t="str">
        <f aca="false">"Claude Sonnet 3.5"</f>
        <v>Claude Sonnet 3.5</v>
      </c>
      <c r="C145" s="119" t="str">
        <f aca="false">'🤖 Claude Haiku 3.5'!C145</f>
        <v>tldr</v>
      </c>
      <c r="D145" s="143" t="n">
        <f aca="false">'🤖 Claude Haiku 3.5'!E145</f>
        <v>0.004761904762</v>
      </c>
      <c r="E145" s="119" t="n">
        <f aca="false">'🤖 Claude Haiku 3.5'!F145</f>
        <v>0</v>
      </c>
      <c r="F145" s="119" t="n">
        <f aca="false">'🤖 Claude Haiku 3.5'!G145</f>
        <v>0</v>
      </c>
      <c r="G145" s="119" t="n">
        <f aca="false">'🤖 Claude Haiku 3.5'!H145</f>
        <v>0</v>
      </c>
      <c r="H145" s="119" t="n">
        <f aca="false">'🤖 Claude Haiku 3.5'!I145</f>
        <v>0</v>
      </c>
      <c r="I145" s="119" t="n">
        <f aca="false">'🤖 Claude Haiku 3.5'!J145</f>
        <v>0</v>
      </c>
    </row>
    <row r="146" customFormat="false" ht="15.75" hidden="false" customHeight="false" outlineLevel="0" collapsed="false">
      <c r="A146" s="118"/>
      <c r="B146" s="4"/>
      <c r="C146" s="6"/>
      <c r="D146" s="143"/>
      <c r="E146" s="6"/>
      <c r="F146" s="6"/>
      <c r="G146" s="6"/>
      <c r="H146" s="6"/>
      <c r="I146" s="6"/>
    </row>
    <row r="147" customFormat="false" ht="15.75" hidden="false" customHeight="false" outlineLevel="0" collapsed="false">
      <c r="A147" s="118" t="n">
        <f aca="false">'🤖 Claude Haiku 3.5'!$A$147</f>
        <v>0</v>
      </c>
      <c r="B147" s="4" t="str">
        <f aca="false">"Claude Sonnet 3.5"</f>
        <v>Claude Sonnet 3.5</v>
      </c>
      <c r="C147" s="119" t="str">
        <f aca="false">'🤖 Claude Haiku 3.5'!C147</f>
        <v>Base</v>
      </c>
      <c r="D147" s="143" t="n">
        <f aca="false">'🤖 Claude Haiku 3.5'!E147</f>
        <v>0.004761904762</v>
      </c>
      <c r="E147" s="119" t="n">
        <f aca="false">'🤖 Claude Haiku 3.5'!F147</f>
        <v>0</v>
      </c>
      <c r="F147" s="119" t="n">
        <f aca="false">'🤖 Claude Haiku 3.5'!G147</f>
        <v>0</v>
      </c>
      <c r="G147" s="119" t="n">
        <f aca="false">'🤖 Claude Haiku 3.5'!H147</f>
        <v>0</v>
      </c>
      <c r="H147" s="119" t="n">
        <f aca="false">'🤖 Claude Haiku 3.5'!I147</f>
        <v>0</v>
      </c>
      <c r="I147" s="119" t="n">
        <f aca="false">'🤖 Claude Haiku 3.5'!J147</f>
        <v>0</v>
      </c>
    </row>
    <row r="148" customFormat="false" ht="15.75" hidden="false" customHeight="false" outlineLevel="0" collapsed="false">
      <c r="A148" s="118" t="n">
        <f aca="false">'🤖 Claude Haiku 3.5'!$A$147</f>
        <v>0</v>
      </c>
      <c r="B148" s="4" t="str">
        <f aca="false">"Claude Sonnet 3.5"</f>
        <v>Claude Sonnet 3.5</v>
      </c>
      <c r="C148" s="119" t="str">
        <f aca="false">'🤖 Claude Haiku 3.5'!C148</f>
        <v>CoT</v>
      </c>
      <c r="D148" s="143" t="n">
        <f aca="false">'🤖 Claude Haiku 3.5'!E148</f>
        <v>0.004761904762</v>
      </c>
      <c r="E148" s="119" t="n">
        <f aca="false">'🤖 Claude Haiku 3.5'!F148</f>
        <v>0</v>
      </c>
      <c r="F148" s="119" t="n">
        <f aca="false">'🤖 Claude Haiku 3.5'!G148</f>
        <v>0</v>
      </c>
      <c r="G148" s="119" t="n">
        <f aca="false">'🤖 Claude Haiku 3.5'!H148</f>
        <v>0</v>
      </c>
      <c r="H148" s="119" t="n">
        <f aca="false">'🤖 Claude Haiku 3.5'!I148</f>
        <v>0</v>
      </c>
      <c r="I148" s="119" t="n">
        <f aca="false">'🤖 Claude Haiku 3.5'!J148</f>
        <v>0</v>
      </c>
    </row>
    <row r="149" customFormat="false" ht="15.75" hidden="false" customHeight="false" outlineLevel="0" collapsed="false">
      <c r="A149" s="118" t="n">
        <f aca="false">'🤖 Claude Haiku 3.5'!$A$147</f>
        <v>0</v>
      </c>
      <c r="B149" s="4" t="str">
        <f aca="false">"Claude Sonnet 3.5"</f>
        <v>Claude Sonnet 3.5</v>
      </c>
      <c r="C149" s="119" t="str">
        <f aca="false">'🤖 Claude Haiku 3.5'!C149</f>
        <v>5W1H</v>
      </c>
      <c r="D149" s="143" t="n">
        <f aca="false">'🤖 Claude Haiku 3.5'!E149</f>
        <v>0.004761904762</v>
      </c>
      <c r="E149" s="119" t="n">
        <f aca="false">'🤖 Claude Haiku 3.5'!F149</f>
        <v>0</v>
      </c>
      <c r="F149" s="119" t="n">
        <f aca="false">'🤖 Claude Haiku 3.5'!G149</f>
        <v>0</v>
      </c>
      <c r="G149" s="119" t="n">
        <f aca="false">'🤖 Claude Haiku 3.5'!H149</f>
        <v>0</v>
      </c>
      <c r="H149" s="119" t="n">
        <f aca="false">'🤖 Claude Haiku 3.5'!I149</f>
        <v>0</v>
      </c>
      <c r="I149" s="119" t="n">
        <f aca="false">'🤖 Claude Haiku 3.5'!J149</f>
        <v>0</v>
      </c>
    </row>
    <row r="150" customFormat="false" ht="15.75" hidden="false" customHeight="false" outlineLevel="0" collapsed="false">
      <c r="A150" s="118" t="n">
        <f aca="false">'🤖 Claude Haiku 3.5'!$A$147</f>
        <v>0</v>
      </c>
      <c r="B150" s="4" t="str">
        <f aca="false">"Claude Sonnet 3.5"</f>
        <v>Claude Sonnet 3.5</v>
      </c>
      <c r="C150" s="119" t="str">
        <f aca="false">'🤖 Claude Haiku 3.5'!C150</f>
        <v>tldr</v>
      </c>
      <c r="D150" s="143" t="n">
        <f aca="false">'🤖 Claude Haiku 3.5'!E150</f>
        <v>0.004761904762</v>
      </c>
      <c r="E150" s="119" t="n">
        <f aca="false">'🤖 Claude Haiku 3.5'!F150</f>
        <v>0</v>
      </c>
      <c r="F150" s="119" t="n">
        <f aca="false">'🤖 Claude Haiku 3.5'!G150</f>
        <v>0</v>
      </c>
      <c r="G150" s="119" t="n">
        <f aca="false">'🤖 Claude Haiku 3.5'!H150</f>
        <v>0</v>
      </c>
      <c r="H150" s="119" t="n">
        <f aca="false">'🤖 Claude Haiku 3.5'!I150</f>
        <v>0</v>
      </c>
      <c r="I150" s="119" t="n">
        <f aca="false">'🤖 Claude Haiku 3.5'!J150</f>
        <v>0</v>
      </c>
    </row>
    <row r="151" customFormat="false" ht="15.75" hidden="false" customHeight="false" outlineLevel="0" collapsed="false">
      <c r="A151" s="118"/>
      <c r="B151" s="4"/>
      <c r="C151" s="6"/>
      <c r="D151" s="143"/>
      <c r="E151" s="6"/>
      <c r="F151" s="6"/>
      <c r="G151" s="6"/>
      <c r="H151" s="6"/>
      <c r="I151" s="6"/>
    </row>
    <row r="152" customFormat="false" ht="15.75" hidden="false" customHeight="false" outlineLevel="0" collapsed="false">
      <c r="A152" s="118" t="n">
        <f aca="false">'🤖 Claude Haiku 3.5'!$A$152</f>
        <v>0</v>
      </c>
      <c r="B152" s="4" t="str">
        <f aca="false">"Claude Sonnet 3.5"</f>
        <v>Claude Sonnet 3.5</v>
      </c>
      <c r="C152" s="119" t="str">
        <f aca="false">'🤖 Claude Haiku 3.5'!C152</f>
        <v>Base</v>
      </c>
      <c r="D152" s="143" t="n">
        <f aca="false">'🤖 Claude Haiku 3.5'!E152</f>
        <v>0.004761904762</v>
      </c>
      <c r="E152" s="119" t="n">
        <f aca="false">'🤖 Claude Haiku 3.5'!F152</f>
        <v>0</v>
      </c>
      <c r="F152" s="119" t="n">
        <f aca="false">'🤖 Claude Haiku 3.5'!G152</f>
        <v>0</v>
      </c>
      <c r="G152" s="119" t="n">
        <f aca="false">'🤖 Claude Haiku 3.5'!H152</f>
        <v>0</v>
      </c>
      <c r="H152" s="119" t="n">
        <f aca="false">'🤖 Claude Haiku 3.5'!I152</f>
        <v>0</v>
      </c>
      <c r="I152" s="119" t="n">
        <f aca="false">'🤖 Claude Haiku 3.5'!J152</f>
        <v>0</v>
      </c>
    </row>
    <row r="153" customFormat="false" ht="15.75" hidden="false" customHeight="false" outlineLevel="0" collapsed="false">
      <c r="A153" s="118" t="n">
        <f aca="false">'🤖 Claude Haiku 3.5'!$A$152</f>
        <v>0</v>
      </c>
      <c r="B153" s="4" t="str">
        <f aca="false">"Claude Sonnet 3.5"</f>
        <v>Claude Sonnet 3.5</v>
      </c>
      <c r="C153" s="119" t="str">
        <f aca="false">'🤖 Claude Haiku 3.5'!C153</f>
        <v>CoT</v>
      </c>
      <c r="D153" s="143" t="n">
        <f aca="false">'🤖 Claude Haiku 3.5'!E153</f>
        <v>0.004761904762</v>
      </c>
      <c r="E153" s="119" t="n">
        <f aca="false">'🤖 Claude Haiku 3.5'!F153</f>
        <v>0</v>
      </c>
      <c r="F153" s="119" t="n">
        <f aca="false">'🤖 Claude Haiku 3.5'!G153</f>
        <v>0</v>
      </c>
      <c r="G153" s="119" t="n">
        <f aca="false">'🤖 Claude Haiku 3.5'!H153</f>
        <v>0</v>
      </c>
      <c r="H153" s="119" t="n">
        <f aca="false">'🤖 Claude Haiku 3.5'!I153</f>
        <v>0</v>
      </c>
      <c r="I153" s="119" t="n">
        <f aca="false">'🤖 Claude Haiku 3.5'!J153</f>
        <v>0</v>
      </c>
    </row>
    <row r="154" customFormat="false" ht="15.75" hidden="false" customHeight="false" outlineLevel="0" collapsed="false">
      <c r="A154" s="118" t="n">
        <f aca="false">'🤖 Claude Haiku 3.5'!$A$152</f>
        <v>0</v>
      </c>
      <c r="B154" s="4" t="str">
        <f aca="false">"Claude Sonnet 3.5"</f>
        <v>Claude Sonnet 3.5</v>
      </c>
      <c r="C154" s="119" t="str">
        <f aca="false">'🤖 Claude Haiku 3.5'!C154</f>
        <v>5W1H</v>
      </c>
      <c r="D154" s="143" t="n">
        <f aca="false">'🤖 Claude Haiku 3.5'!E154</f>
        <v>0.004761904762</v>
      </c>
      <c r="E154" s="119" t="n">
        <f aca="false">'🤖 Claude Haiku 3.5'!F154</f>
        <v>0</v>
      </c>
      <c r="F154" s="119" t="n">
        <f aca="false">'🤖 Claude Haiku 3.5'!G154</f>
        <v>0</v>
      </c>
      <c r="G154" s="119" t="n">
        <f aca="false">'🤖 Claude Haiku 3.5'!H154</f>
        <v>0</v>
      </c>
      <c r="H154" s="119" t="n">
        <f aca="false">'🤖 Claude Haiku 3.5'!I154</f>
        <v>0</v>
      </c>
      <c r="I154" s="119" t="n">
        <f aca="false">'🤖 Claude Haiku 3.5'!J154</f>
        <v>0</v>
      </c>
    </row>
    <row r="155" customFormat="false" ht="15.75" hidden="false" customHeight="false" outlineLevel="0" collapsed="false">
      <c r="A155" s="118" t="n">
        <f aca="false">'🤖 Claude Haiku 3.5'!$A$152</f>
        <v>0</v>
      </c>
      <c r="B155" s="4" t="str">
        <f aca="false">"Claude Sonnet 3.5"</f>
        <v>Claude Sonnet 3.5</v>
      </c>
      <c r="C155" s="119" t="str">
        <f aca="false">'🤖 Claude Haiku 3.5'!C155</f>
        <v>tldr</v>
      </c>
      <c r="D155" s="143" t="n">
        <f aca="false">'🤖 Claude Haiku 3.5'!E155</f>
        <v>0.004761904762</v>
      </c>
      <c r="E155" s="119" t="n">
        <f aca="false">'🤖 Claude Haiku 3.5'!F155</f>
        <v>0</v>
      </c>
      <c r="F155" s="119" t="n">
        <f aca="false">'🤖 Claude Haiku 3.5'!G155</f>
        <v>0</v>
      </c>
      <c r="G155" s="119" t="n">
        <f aca="false">'🤖 Claude Haiku 3.5'!H155</f>
        <v>0</v>
      </c>
      <c r="H155" s="119" t="n">
        <f aca="false">'🤖 Claude Haiku 3.5'!I155</f>
        <v>0</v>
      </c>
      <c r="I155" s="119" t="n">
        <f aca="false">'🤖 Claude Haiku 3.5'!J155</f>
        <v>0</v>
      </c>
    </row>
    <row r="156" customFormat="false" ht="15.75" hidden="false" customHeight="false" outlineLevel="0" collapsed="false">
      <c r="A156" s="118"/>
      <c r="B156" s="4"/>
      <c r="C156" s="6"/>
      <c r="D156" s="143"/>
      <c r="E156" s="6"/>
      <c r="F156" s="6"/>
      <c r="G156" s="6"/>
      <c r="H156" s="6"/>
      <c r="I156" s="6"/>
    </row>
    <row r="157" customFormat="false" ht="15.75" hidden="false" customHeight="false" outlineLevel="0" collapsed="false">
      <c r="A157" s="118" t="n">
        <f aca="false">'🤖 Claude Haiku 3.5'!$A$157</f>
        <v>0</v>
      </c>
      <c r="B157" s="4" t="str">
        <f aca="false">"Claude Sonnet 3.5"</f>
        <v>Claude Sonnet 3.5</v>
      </c>
      <c r="C157" s="119" t="str">
        <f aca="false">'🤖 Claude Haiku 3.5'!C157</f>
        <v>Base</v>
      </c>
      <c r="D157" s="143" t="n">
        <f aca="false">'🤖 Claude Haiku 3.5'!E157</f>
        <v>0.004761904762</v>
      </c>
      <c r="E157" s="119" t="n">
        <f aca="false">'🤖 Claude Haiku 3.5'!F157</f>
        <v>0</v>
      </c>
      <c r="F157" s="119" t="n">
        <f aca="false">'🤖 Claude Haiku 3.5'!G157</f>
        <v>0</v>
      </c>
      <c r="G157" s="119" t="n">
        <f aca="false">'🤖 Claude Haiku 3.5'!H157</f>
        <v>0</v>
      </c>
      <c r="H157" s="119" t="n">
        <f aca="false">'🤖 Claude Haiku 3.5'!I157</f>
        <v>0</v>
      </c>
      <c r="I157" s="119" t="n">
        <f aca="false">'🤖 Claude Haiku 3.5'!J157</f>
        <v>0</v>
      </c>
    </row>
    <row r="158" customFormat="false" ht="15.75" hidden="false" customHeight="false" outlineLevel="0" collapsed="false">
      <c r="A158" s="118" t="n">
        <f aca="false">'🤖 Claude Haiku 3.5'!$A$157</f>
        <v>0</v>
      </c>
      <c r="B158" s="4" t="str">
        <f aca="false">"Claude Sonnet 3.5"</f>
        <v>Claude Sonnet 3.5</v>
      </c>
      <c r="C158" s="119" t="str">
        <f aca="false">'🤖 Claude Haiku 3.5'!C158</f>
        <v>CoT</v>
      </c>
      <c r="D158" s="143" t="n">
        <f aca="false">'🤖 Claude Haiku 3.5'!E158</f>
        <v>0.004761904762</v>
      </c>
      <c r="E158" s="119" t="n">
        <f aca="false">'🤖 Claude Haiku 3.5'!F158</f>
        <v>0</v>
      </c>
      <c r="F158" s="119" t="n">
        <f aca="false">'🤖 Claude Haiku 3.5'!G158</f>
        <v>0</v>
      </c>
      <c r="G158" s="119" t="n">
        <f aca="false">'🤖 Claude Haiku 3.5'!H158</f>
        <v>0</v>
      </c>
      <c r="H158" s="119" t="n">
        <f aca="false">'🤖 Claude Haiku 3.5'!I158</f>
        <v>0</v>
      </c>
      <c r="I158" s="119" t="n">
        <f aca="false">'🤖 Claude Haiku 3.5'!J158</f>
        <v>0</v>
      </c>
    </row>
    <row r="159" customFormat="false" ht="15.75" hidden="false" customHeight="false" outlineLevel="0" collapsed="false">
      <c r="A159" s="118" t="n">
        <f aca="false">'🤖 Claude Haiku 3.5'!$A$157</f>
        <v>0</v>
      </c>
      <c r="B159" s="4" t="str">
        <f aca="false">"Claude Sonnet 3.5"</f>
        <v>Claude Sonnet 3.5</v>
      </c>
      <c r="C159" s="119" t="str">
        <f aca="false">'🤖 Claude Haiku 3.5'!C159</f>
        <v>5W1H</v>
      </c>
      <c r="D159" s="143" t="n">
        <f aca="false">'🤖 Claude Haiku 3.5'!E159</f>
        <v>0.004761904762</v>
      </c>
      <c r="E159" s="119" t="n">
        <f aca="false">'🤖 Claude Haiku 3.5'!F159</f>
        <v>0</v>
      </c>
      <c r="F159" s="119" t="n">
        <f aca="false">'🤖 Claude Haiku 3.5'!G159</f>
        <v>0</v>
      </c>
      <c r="G159" s="119" t="n">
        <f aca="false">'🤖 Claude Haiku 3.5'!H159</f>
        <v>0</v>
      </c>
      <c r="H159" s="119" t="n">
        <f aca="false">'🤖 Claude Haiku 3.5'!I159</f>
        <v>0</v>
      </c>
      <c r="I159" s="119" t="n">
        <f aca="false">'🤖 Claude Haiku 3.5'!J159</f>
        <v>0</v>
      </c>
    </row>
    <row r="160" customFormat="false" ht="15.75" hidden="false" customHeight="false" outlineLevel="0" collapsed="false">
      <c r="A160" s="118" t="n">
        <f aca="false">'🤖 Claude Haiku 3.5'!$A$157</f>
        <v>0</v>
      </c>
      <c r="B160" s="4" t="str">
        <f aca="false">"Claude Sonnet 3.5"</f>
        <v>Claude Sonnet 3.5</v>
      </c>
      <c r="C160" s="119" t="str">
        <f aca="false">'🤖 Claude Haiku 3.5'!C160</f>
        <v>tldr</v>
      </c>
      <c r="D160" s="143" t="n">
        <f aca="false">'🤖 Claude Haiku 3.5'!E160</f>
        <v>0.004761904762</v>
      </c>
      <c r="E160" s="119" t="n">
        <f aca="false">'🤖 Claude Haiku 3.5'!F160</f>
        <v>0</v>
      </c>
      <c r="F160" s="119" t="n">
        <f aca="false">'🤖 Claude Haiku 3.5'!G160</f>
        <v>0</v>
      </c>
      <c r="G160" s="119" t="n">
        <f aca="false">'🤖 Claude Haiku 3.5'!H160</f>
        <v>0</v>
      </c>
      <c r="H160" s="119" t="n">
        <f aca="false">'🤖 Claude Haiku 3.5'!I160</f>
        <v>0</v>
      </c>
      <c r="I160" s="119" t="n">
        <f aca="false">'🤖 Claude Haiku 3.5'!J160</f>
        <v>0</v>
      </c>
    </row>
    <row r="161" customFormat="false" ht="15.75" hidden="false" customHeight="false" outlineLevel="0" collapsed="false">
      <c r="A161" s="118"/>
      <c r="B161" s="4"/>
      <c r="C161" s="6"/>
      <c r="D161" s="143"/>
      <c r="E161" s="6"/>
      <c r="F161" s="6"/>
      <c r="G161" s="6"/>
      <c r="H161" s="6"/>
      <c r="I161" s="6"/>
    </row>
    <row r="162" customFormat="false" ht="15.75" hidden="false" customHeight="false" outlineLevel="0" collapsed="false">
      <c r="A162" s="118" t="n">
        <f aca="false">'🤖 Claude Haiku 3.5'!$A$162</f>
        <v>0</v>
      </c>
      <c r="B162" s="4" t="str">
        <f aca="false">"Claude Sonnet 3.5"</f>
        <v>Claude Sonnet 3.5</v>
      </c>
      <c r="C162" s="119" t="str">
        <f aca="false">'🤖 Claude Haiku 3.5'!C162</f>
        <v>Base</v>
      </c>
      <c r="D162" s="143" t="n">
        <f aca="false">'🤖 Claude Haiku 3.5'!E162</f>
        <v>0.004761904762</v>
      </c>
      <c r="E162" s="119" t="n">
        <f aca="false">'🤖 Claude Haiku 3.5'!F162</f>
        <v>0</v>
      </c>
      <c r="F162" s="119" t="n">
        <f aca="false">'🤖 Claude Haiku 3.5'!G162</f>
        <v>0</v>
      </c>
      <c r="G162" s="119" t="n">
        <f aca="false">'🤖 Claude Haiku 3.5'!H162</f>
        <v>0</v>
      </c>
      <c r="H162" s="119" t="n">
        <f aca="false">'🤖 Claude Haiku 3.5'!I162</f>
        <v>0</v>
      </c>
      <c r="I162" s="119" t="n">
        <f aca="false">'🤖 Claude Haiku 3.5'!J162</f>
        <v>0</v>
      </c>
    </row>
    <row r="163" customFormat="false" ht="15.75" hidden="false" customHeight="false" outlineLevel="0" collapsed="false">
      <c r="A163" s="118" t="n">
        <f aca="false">'🤖 Claude Haiku 3.5'!$A$162</f>
        <v>0</v>
      </c>
      <c r="B163" s="4" t="str">
        <f aca="false">"Claude Sonnet 3.5"</f>
        <v>Claude Sonnet 3.5</v>
      </c>
      <c r="C163" s="119" t="str">
        <f aca="false">'🤖 Claude Haiku 3.5'!C163</f>
        <v>CoT</v>
      </c>
      <c r="D163" s="143" t="n">
        <f aca="false">'🤖 Claude Haiku 3.5'!E163</f>
        <v>0.004761904762</v>
      </c>
      <c r="E163" s="119" t="n">
        <f aca="false">'🤖 Claude Haiku 3.5'!F163</f>
        <v>0</v>
      </c>
      <c r="F163" s="119" t="n">
        <f aca="false">'🤖 Claude Haiku 3.5'!G163</f>
        <v>0</v>
      </c>
      <c r="G163" s="119" t="n">
        <f aca="false">'🤖 Claude Haiku 3.5'!H163</f>
        <v>0</v>
      </c>
      <c r="H163" s="119" t="n">
        <f aca="false">'🤖 Claude Haiku 3.5'!I163</f>
        <v>0</v>
      </c>
      <c r="I163" s="119" t="n">
        <f aca="false">'🤖 Claude Haiku 3.5'!J163</f>
        <v>0</v>
      </c>
    </row>
    <row r="164" customFormat="false" ht="15.75" hidden="false" customHeight="false" outlineLevel="0" collapsed="false">
      <c r="A164" s="118" t="n">
        <f aca="false">'🤖 Claude Haiku 3.5'!$A$162</f>
        <v>0</v>
      </c>
      <c r="B164" s="4" t="str">
        <f aca="false">"Claude Sonnet 3.5"</f>
        <v>Claude Sonnet 3.5</v>
      </c>
      <c r="C164" s="119" t="str">
        <f aca="false">'🤖 Claude Haiku 3.5'!C164</f>
        <v>5W1H</v>
      </c>
      <c r="D164" s="143" t="n">
        <f aca="false">'🤖 Claude Haiku 3.5'!E164</f>
        <v>0.004761904762</v>
      </c>
      <c r="E164" s="119" t="n">
        <f aca="false">'🤖 Claude Haiku 3.5'!F164</f>
        <v>0</v>
      </c>
      <c r="F164" s="119" t="n">
        <f aca="false">'🤖 Claude Haiku 3.5'!G164</f>
        <v>0</v>
      </c>
      <c r="G164" s="119" t="n">
        <f aca="false">'🤖 Claude Haiku 3.5'!H164</f>
        <v>0</v>
      </c>
      <c r="H164" s="119" t="n">
        <f aca="false">'🤖 Claude Haiku 3.5'!I164</f>
        <v>0</v>
      </c>
      <c r="I164" s="119" t="n">
        <f aca="false">'🤖 Claude Haiku 3.5'!J164</f>
        <v>0</v>
      </c>
    </row>
    <row r="165" customFormat="false" ht="15.75" hidden="false" customHeight="false" outlineLevel="0" collapsed="false">
      <c r="A165" s="118" t="n">
        <f aca="false">'🤖 Claude Haiku 3.5'!$A$162</f>
        <v>0</v>
      </c>
      <c r="B165" s="4" t="str">
        <f aca="false">"Claude Sonnet 3.5"</f>
        <v>Claude Sonnet 3.5</v>
      </c>
      <c r="C165" s="119" t="str">
        <f aca="false">'🤖 Claude Haiku 3.5'!C165</f>
        <v>tldr</v>
      </c>
      <c r="D165" s="143" t="n">
        <f aca="false">'🤖 Claude Haiku 3.5'!E165</f>
        <v>0.004761904762</v>
      </c>
      <c r="E165" s="119" t="n">
        <f aca="false">'🤖 Claude Haiku 3.5'!F165</f>
        <v>0</v>
      </c>
      <c r="F165" s="119" t="n">
        <f aca="false">'🤖 Claude Haiku 3.5'!G165</f>
        <v>0</v>
      </c>
      <c r="G165" s="119" t="n">
        <f aca="false">'🤖 Claude Haiku 3.5'!H165</f>
        <v>0</v>
      </c>
      <c r="H165" s="119" t="n">
        <f aca="false">'🤖 Claude Haiku 3.5'!I165</f>
        <v>0</v>
      </c>
      <c r="I165" s="119" t="n">
        <f aca="false">'🤖 Claude Haiku 3.5'!J165</f>
        <v>0</v>
      </c>
    </row>
    <row r="166" customFormat="false" ht="15.75" hidden="false" customHeight="false" outlineLevel="0" collapsed="false">
      <c r="A166" s="9"/>
      <c r="B166" s="9"/>
      <c r="C166" s="51"/>
      <c r="D166" s="9"/>
      <c r="E166" s="51"/>
      <c r="F166" s="51"/>
      <c r="G166" s="51"/>
      <c r="H166" s="51"/>
      <c r="I166" s="51"/>
    </row>
    <row r="167" customFormat="false" ht="15.75" hidden="false" customHeight="false" outlineLevel="0" collapsed="false">
      <c r="A167" s="118" t="str">
        <f aca="false">'🤖 Command R+'!$A$2</f>
        <v>https://www.berria.eus/ekonomia/urte-eta-erdiko-kartzela-zigorra-eta-30000-euroko-kalte-ordainak-zorroza-gestion-enpresan-hil-zen-langileagatik_2124960_102.html</v>
      </c>
      <c r="B167" s="4" t="s">
        <v>21</v>
      </c>
      <c r="C167" s="119" t="str">
        <f aca="false">'🤖 Command R+'!C2</f>
        <v>Base</v>
      </c>
      <c r="D167" s="127" t="n">
        <f aca="false">'🤖 Command R+'!E2</f>
        <v>0.9128205128</v>
      </c>
      <c r="E167" s="119" t="n">
        <f aca="false">'🤖 Command R+'!F2</f>
        <v>2</v>
      </c>
      <c r="F167" s="119" t="n">
        <f aca="false">'🤖 Command R+'!G2</f>
        <v>3</v>
      </c>
      <c r="G167" s="119" t="n">
        <f aca="false">'🤖 Command R+'!H2</f>
        <v>2</v>
      </c>
      <c r="H167" s="119" t="n">
        <f aca="false">'🤖 Command R+'!I2</f>
        <v>2</v>
      </c>
      <c r="I167" s="119" t="n">
        <f aca="false">'🤖 Command R+'!J2</f>
        <v>3</v>
      </c>
    </row>
    <row r="168" customFormat="false" ht="15.75" hidden="false" customHeight="false" outlineLevel="0" collapsed="false">
      <c r="A168" s="118" t="str">
        <f aca="false">'🤖 Command R+'!$A$2</f>
        <v>https://www.berria.eus/ekonomia/urte-eta-erdiko-kartzela-zigorra-eta-30000-euroko-kalte-ordainak-zorroza-gestion-enpresan-hil-zen-langileagatik_2124960_102.html</v>
      </c>
      <c r="B168" s="4" t="s">
        <v>21</v>
      </c>
      <c r="C168" s="119" t="str">
        <f aca="false">'🤖 Command R+'!C3</f>
        <v>CoT</v>
      </c>
      <c r="D168" s="127" t="n">
        <f aca="false">'🤖 Command R+'!E3</f>
        <v>0.3846153846</v>
      </c>
      <c r="E168" s="119" t="n">
        <f aca="false">'🤖 Command R+'!F3</f>
        <v>2</v>
      </c>
      <c r="F168" s="119" t="n">
        <f aca="false">'🤖 Command R+'!G3</f>
        <v>4</v>
      </c>
      <c r="G168" s="119" t="n">
        <f aca="false">'🤖 Command R+'!H3</f>
        <v>3</v>
      </c>
      <c r="H168" s="119" t="n">
        <f aca="false">'🤖 Command R+'!I3</f>
        <v>3</v>
      </c>
      <c r="I168" s="119" t="n">
        <f aca="false">'🤖 Command R+'!J3</f>
        <v>3</v>
      </c>
    </row>
    <row r="169" customFormat="false" ht="15.75" hidden="false" customHeight="false" outlineLevel="0" collapsed="false">
      <c r="A169" s="118" t="str">
        <f aca="false">'🤖 Command R+'!$A$2</f>
        <v>https://www.berria.eus/ekonomia/urte-eta-erdiko-kartzela-zigorra-eta-30000-euroko-kalte-ordainak-zorroza-gestion-enpresan-hil-zen-langileagatik_2124960_102.html</v>
      </c>
      <c r="B169" s="4" t="s">
        <v>21</v>
      </c>
      <c r="C169" s="119" t="str">
        <f aca="false">'🤖 Command R+'!C4</f>
        <v>5W1H</v>
      </c>
      <c r="D169" s="120" t="n">
        <f aca="false">'🤖 Command R+'!E4</f>
        <v>0.7179487179</v>
      </c>
      <c r="E169" s="119" t="n">
        <f aca="false">'🤖 Command R+'!F4</f>
        <v>3</v>
      </c>
      <c r="F169" s="119" t="n">
        <f aca="false">'🤖 Command R+'!G4</f>
        <v>5</v>
      </c>
      <c r="G169" s="119" t="n">
        <f aca="false">'🤖 Command R+'!H4</f>
        <v>3</v>
      </c>
      <c r="H169" s="119" t="n">
        <f aca="false">'🤖 Command R+'!I4</f>
        <v>4</v>
      </c>
      <c r="I169" s="119" t="n">
        <f aca="false">'🤖 Command R+'!J4</f>
        <v>4</v>
      </c>
    </row>
    <row r="170" customFormat="false" ht="15.75" hidden="false" customHeight="false" outlineLevel="0" collapsed="false">
      <c r="A170" s="118" t="str">
        <f aca="false">'🤖 Command R+'!$A$2</f>
        <v>https://www.berria.eus/ekonomia/urte-eta-erdiko-kartzela-zigorra-eta-30000-euroko-kalte-ordainak-zorroza-gestion-enpresan-hil-zen-langileagatik_2124960_102.html</v>
      </c>
      <c r="B170" s="4" t="s">
        <v>21</v>
      </c>
      <c r="C170" s="119" t="str">
        <f aca="false">'🤖 Command R+'!C5</f>
        <v>tldr</v>
      </c>
      <c r="D170" s="133" t="n">
        <f aca="false">'🤖 Command R+'!E5</f>
        <v>0.7641025641</v>
      </c>
      <c r="E170" s="119" t="n">
        <f aca="false">'🤖 Command R+'!F5</f>
        <v>3</v>
      </c>
      <c r="F170" s="119" t="n">
        <f aca="false">'🤖 Command R+'!G5</f>
        <v>4</v>
      </c>
      <c r="G170" s="119" t="n">
        <f aca="false">'🤖 Command R+'!H5</f>
        <v>3</v>
      </c>
      <c r="H170" s="119" t="n">
        <f aca="false">'🤖 Command R+'!I5</f>
        <v>2</v>
      </c>
      <c r="I170" s="119" t="n">
        <f aca="false">'🤖 Command R+'!J5</f>
        <v>5</v>
      </c>
    </row>
    <row r="171" customFormat="false" ht="15.75" hidden="false" customHeight="false" outlineLevel="0" collapsed="false">
      <c r="A171" s="9"/>
      <c r="B171" s="9"/>
      <c r="C171" s="51"/>
      <c r="D171" s="9"/>
      <c r="E171" s="51"/>
      <c r="F171" s="51"/>
      <c r="G171" s="51"/>
      <c r="H171" s="51"/>
      <c r="I171" s="51"/>
    </row>
    <row r="172" customFormat="false" ht="15.75" hidden="false" customHeight="false" outlineLevel="0" collapsed="false">
      <c r="A172" s="118" t="str">
        <f aca="false">'🤖 Command R+'!$A$7</f>
        <v>https://www.berria.eus/kirola/hirutik-hiru-jaka-mariezkurrenarentzat_2117677_102.html</v>
      </c>
      <c r="B172" s="4" t="s">
        <v>21</v>
      </c>
      <c r="C172" s="119" t="str">
        <f aca="false">'🤖 Command R+'!C7</f>
        <v>Base</v>
      </c>
      <c r="D172" s="144" t="n">
        <f aca="false">'🤖 Command R+'!E7</f>
        <v>0.9345238095</v>
      </c>
      <c r="E172" s="119" t="n">
        <f aca="false">'🤖 Command R+'!F7</f>
        <v>3</v>
      </c>
      <c r="F172" s="119" t="n">
        <f aca="false">'🤖 Command R+'!G7</f>
        <v>2</v>
      </c>
      <c r="G172" s="119" t="n">
        <f aca="false">'🤖 Command R+'!H7</f>
        <v>2</v>
      </c>
      <c r="H172" s="119" t="n">
        <f aca="false">'🤖 Command R+'!I7</f>
        <v>1</v>
      </c>
      <c r="I172" s="119" t="n">
        <f aca="false">'🤖 Command R+'!J7</f>
        <v>4</v>
      </c>
    </row>
    <row r="173" customFormat="false" ht="15.75" hidden="false" customHeight="false" outlineLevel="0" collapsed="false">
      <c r="A173" s="118" t="str">
        <f aca="false">'🤖 Command R+'!$A$7</f>
        <v>https://www.berria.eus/kirola/hirutik-hiru-jaka-mariezkurrenarentzat_2117677_102.html</v>
      </c>
      <c r="B173" s="4" t="s">
        <v>21</v>
      </c>
      <c r="C173" s="119" t="str">
        <f aca="false">'🤖 Command R+'!C8</f>
        <v>CoT</v>
      </c>
      <c r="D173" s="141" t="n">
        <f aca="false">'🤖 Command R+'!E8</f>
        <v>0.8095238095</v>
      </c>
      <c r="E173" s="119" t="n">
        <f aca="false">'🤖 Command R+'!F8</f>
        <v>2</v>
      </c>
      <c r="F173" s="119" t="n">
        <f aca="false">'🤖 Command R+'!G8</f>
        <v>2</v>
      </c>
      <c r="G173" s="119" t="n">
        <f aca="false">'🤖 Command R+'!H8</f>
        <v>2</v>
      </c>
      <c r="H173" s="119" t="n">
        <f aca="false">'🤖 Command R+'!I8</f>
        <v>2</v>
      </c>
      <c r="I173" s="119" t="n">
        <f aca="false">'🤖 Command R+'!J8</f>
        <v>2</v>
      </c>
    </row>
    <row r="174" customFormat="false" ht="15.75" hidden="false" customHeight="false" outlineLevel="0" collapsed="false">
      <c r="A174" s="118" t="str">
        <f aca="false">'🤖 Command R+'!$A$7</f>
        <v>https://www.berria.eus/kirola/hirutik-hiru-jaka-mariezkurrenarentzat_2117677_102.html</v>
      </c>
      <c r="B174" s="4" t="s">
        <v>21</v>
      </c>
      <c r="C174" s="119" t="str">
        <f aca="false">'🤖 Command R+'!C9</f>
        <v>5W1H</v>
      </c>
      <c r="D174" s="131" t="n">
        <f aca="false">'🤖 Command R+'!E9</f>
        <v>0.9583333333</v>
      </c>
      <c r="E174" s="119" t="n">
        <f aca="false">'🤖 Command R+'!F9</f>
        <v>3</v>
      </c>
      <c r="F174" s="119" t="n">
        <f aca="false">'🤖 Command R+'!G9</f>
        <v>4</v>
      </c>
      <c r="G174" s="119" t="n">
        <f aca="false">'🤖 Command R+'!H9</f>
        <v>3</v>
      </c>
      <c r="H174" s="119" t="n">
        <f aca="false">'🤖 Command R+'!I9</f>
        <v>3</v>
      </c>
      <c r="I174" s="119" t="n">
        <f aca="false">'🤖 Command R+'!J9</f>
        <v>4</v>
      </c>
    </row>
    <row r="175" customFormat="false" ht="15.75" hidden="false" customHeight="false" outlineLevel="0" collapsed="false">
      <c r="A175" s="118" t="str">
        <f aca="false">'🤖 Command R+'!$A$7</f>
        <v>https://www.berria.eus/kirola/hirutik-hiru-jaka-mariezkurrenarentzat_2117677_102.html</v>
      </c>
      <c r="B175" s="4" t="s">
        <v>21</v>
      </c>
      <c r="C175" s="119" t="str">
        <f aca="false">'🤖 Command R+'!C10</f>
        <v>tldr</v>
      </c>
      <c r="D175" s="127" t="n">
        <f aca="false">'🤖 Command R+'!E10</f>
        <v>0.1130952381</v>
      </c>
      <c r="E175" s="119" t="n">
        <f aca="false">'🤖 Command R+'!F10</f>
        <v>4</v>
      </c>
      <c r="F175" s="119" t="n">
        <f aca="false">'🤖 Command R+'!G10</f>
        <v>5</v>
      </c>
      <c r="G175" s="119" t="n">
        <f aca="false">'🤖 Command R+'!H10</f>
        <v>3</v>
      </c>
      <c r="H175" s="119" t="n">
        <f aca="false">'🤖 Command R+'!I10</f>
        <v>4</v>
      </c>
      <c r="I175" s="119" t="n">
        <f aca="false">'🤖 Command R+'!J10</f>
        <v>2</v>
      </c>
    </row>
    <row r="176" customFormat="false" ht="15.75" hidden="false" customHeight="false" outlineLevel="0" collapsed="false">
      <c r="A176" s="9"/>
      <c r="B176" s="9"/>
      <c r="C176" s="51"/>
      <c r="D176" s="9"/>
      <c r="E176" s="51"/>
      <c r="F176" s="51"/>
      <c r="G176" s="51"/>
      <c r="H176" s="51"/>
      <c r="I176" s="51"/>
    </row>
    <row r="177" customFormat="false" ht="15.75" hidden="false" customHeight="false" outlineLevel="0" collapsed="false">
      <c r="A177" s="118" t="str">
        <f aca="false">'🤖 Command R+'!$A$12</f>
        <v>https://www.berria.eus/bizigiro/larreen-eta-larrabereen-balioaz_2126273_102.html</v>
      </c>
      <c r="B177" s="4" t="s">
        <v>21</v>
      </c>
      <c r="C177" s="119" t="str">
        <f aca="false">'🤖 Command R+'!C12</f>
        <v>Base</v>
      </c>
      <c r="D177" s="132" t="n">
        <f aca="false">'🤖 Command R+'!E12</f>
        <v>0.6842105263</v>
      </c>
      <c r="E177" s="119" t="n">
        <f aca="false">'🤖 Command R+'!F12</f>
        <v>4</v>
      </c>
      <c r="F177" s="119" t="n">
        <f aca="false">'🤖 Command R+'!G12</f>
        <v>4</v>
      </c>
      <c r="G177" s="119" t="n">
        <f aca="false">'🤖 Command R+'!H12</f>
        <v>2</v>
      </c>
      <c r="H177" s="119" t="n">
        <f aca="false">'🤖 Command R+'!I12</f>
        <v>2</v>
      </c>
      <c r="I177" s="119" t="n">
        <f aca="false">'🤖 Command R+'!J12</f>
        <v>4</v>
      </c>
    </row>
    <row r="178" customFormat="false" ht="15.75" hidden="false" customHeight="false" outlineLevel="0" collapsed="false">
      <c r="A178" s="118" t="str">
        <f aca="false">'🤖 Command R+'!$A$12</f>
        <v>https://www.berria.eus/bizigiro/larreen-eta-larrabereen-balioaz_2126273_102.html</v>
      </c>
      <c r="B178" s="4" t="s">
        <v>21</v>
      </c>
      <c r="C178" s="119" t="str">
        <f aca="false">'🤖 Command R+'!C13</f>
        <v>CoT</v>
      </c>
      <c r="D178" s="132" t="n">
        <f aca="false">'🤖 Command R+'!E13</f>
        <v>0.1693363844</v>
      </c>
      <c r="E178" s="119" t="n">
        <f aca="false">'🤖 Command R+'!F13</f>
        <v>2</v>
      </c>
      <c r="F178" s="119" t="n">
        <f aca="false">'🤖 Command R+'!G13</f>
        <v>5</v>
      </c>
      <c r="G178" s="119" t="n">
        <f aca="false">'🤖 Command R+'!H13</f>
        <v>4</v>
      </c>
      <c r="H178" s="119" t="n">
        <f aca="false">'🤖 Command R+'!I13</f>
        <v>2</v>
      </c>
      <c r="I178" s="119" t="n">
        <f aca="false">'🤖 Command R+'!J13</f>
        <v>2</v>
      </c>
    </row>
    <row r="179" customFormat="false" ht="15.75" hidden="false" customHeight="false" outlineLevel="0" collapsed="false">
      <c r="A179" s="118" t="str">
        <f aca="false">'🤖 Command R+'!$A$12</f>
        <v>https://www.berria.eus/bizigiro/larreen-eta-larrabereen-balioaz_2126273_102.html</v>
      </c>
      <c r="B179" s="4" t="s">
        <v>21</v>
      </c>
      <c r="C179" s="119" t="str">
        <f aca="false">'🤖 Command R+'!C14</f>
        <v>5W1H</v>
      </c>
      <c r="D179" s="128" t="n">
        <f aca="false">'🤖 Command R+'!E14</f>
        <v>0.1647597254</v>
      </c>
      <c r="E179" s="119" t="n">
        <f aca="false">'🤖 Command R+'!F14</f>
        <v>3</v>
      </c>
      <c r="F179" s="119" t="n">
        <f aca="false">'🤖 Command R+'!G14</f>
        <v>3</v>
      </c>
      <c r="G179" s="119" t="n">
        <f aca="false">'🤖 Command R+'!H14</f>
        <v>4</v>
      </c>
      <c r="H179" s="119" t="n">
        <f aca="false">'🤖 Command R+'!I14</f>
        <v>3</v>
      </c>
      <c r="I179" s="119" t="n">
        <f aca="false">'🤖 Command R+'!J14</f>
        <v>3</v>
      </c>
    </row>
    <row r="180" customFormat="false" ht="15.75" hidden="false" customHeight="false" outlineLevel="0" collapsed="false">
      <c r="A180" s="118" t="str">
        <f aca="false">'🤖 Command R+'!$A$12</f>
        <v>https://www.berria.eus/bizigiro/larreen-eta-larrabereen-balioaz_2126273_102.html</v>
      </c>
      <c r="B180" s="4" t="s">
        <v>21</v>
      </c>
      <c r="C180" s="119" t="str">
        <f aca="false">'🤖 Command R+'!C15</f>
        <v>tldr</v>
      </c>
      <c r="D180" s="145" t="n">
        <f aca="false">'🤖 Command R+'!E15</f>
        <v>0.180778032</v>
      </c>
      <c r="E180" s="119" t="n">
        <f aca="false">'🤖 Command R+'!F15</f>
        <v>1</v>
      </c>
      <c r="F180" s="119" t="n">
        <f aca="false">'🤖 Command R+'!G15</f>
        <v>3</v>
      </c>
      <c r="G180" s="119" t="n">
        <f aca="false">'🤖 Command R+'!H15</f>
        <v>3</v>
      </c>
      <c r="H180" s="119" t="n">
        <f aca="false">'🤖 Command R+'!I15</f>
        <v>4</v>
      </c>
      <c r="I180" s="119" t="n">
        <f aca="false">'🤖 Command R+'!J15</f>
        <v>3</v>
      </c>
    </row>
    <row r="181" customFormat="false" ht="15.75" hidden="false" customHeight="false" outlineLevel="0" collapsed="false">
      <c r="A181" s="9"/>
      <c r="B181" s="9"/>
      <c r="C181" s="51"/>
      <c r="D181" s="9"/>
      <c r="E181" s="51"/>
      <c r="F181" s="51"/>
      <c r="G181" s="51"/>
      <c r="H181" s="51"/>
      <c r="I181" s="51"/>
    </row>
    <row r="182" customFormat="false" ht="15.75" hidden="false" customHeight="false" outlineLevel="0" collapsed="false">
      <c r="A182" s="118" t="str">
        <f aca="false">'🤖 Command R+'!$A$17</f>
        <v>https://www.berria.eus/kirola/olatua-hartuta-parisera_2121856_102.html</v>
      </c>
      <c r="B182" s="4" t="s">
        <v>21</v>
      </c>
      <c r="C182" s="119" t="str">
        <f aca="false">'🤖 Command R+'!C17</f>
        <v>Base</v>
      </c>
      <c r="D182" s="146" t="n">
        <f aca="false">'🤖 Command R+'!E17</f>
        <v>0.4340101523</v>
      </c>
      <c r="E182" s="119" t="n">
        <f aca="false">'🤖 Command R+'!F17</f>
        <v>3</v>
      </c>
      <c r="F182" s="119" t="n">
        <f aca="false">'🤖 Command R+'!G17</f>
        <v>4</v>
      </c>
      <c r="G182" s="119" t="n">
        <f aca="false">'🤖 Command R+'!H17</f>
        <v>2</v>
      </c>
      <c r="H182" s="119" t="n">
        <f aca="false">'🤖 Command R+'!I17</f>
        <v>4</v>
      </c>
      <c r="I182" s="119" t="n">
        <f aca="false">'🤖 Command R+'!J17</f>
        <v>4</v>
      </c>
    </row>
    <row r="183" customFormat="false" ht="15.75" hidden="false" customHeight="false" outlineLevel="0" collapsed="false">
      <c r="A183" s="118" t="str">
        <f aca="false">'🤖 Command R+'!$A$17</f>
        <v>https://www.berria.eus/kirola/olatua-hartuta-parisera_2121856_102.html</v>
      </c>
      <c r="B183" s="4" t="s">
        <v>21</v>
      </c>
      <c r="C183" s="119" t="str">
        <f aca="false">'🤖 Command R+'!C18</f>
        <v>CoT</v>
      </c>
      <c r="D183" s="147" t="n">
        <f aca="false">'🤖 Command R+'!E18</f>
        <v>0.5482233503</v>
      </c>
      <c r="E183" s="119" t="n">
        <f aca="false">'🤖 Command R+'!F18</f>
        <v>1</v>
      </c>
      <c r="F183" s="119" t="n">
        <f aca="false">'🤖 Command R+'!G18</f>
        <v>2</v>
      </c>
      <c r="G183" s="119" t="n">
        <f aca="false">'🤖 Command R+'!H18</f>
        <v>2</v>
      </c>
      <c r="H183" s="119" t="n">
        <f aca="false">'🤖 Command R+'!I18</f>
        <v>2</v>
      </c>
      <c r="I183" s="119" t="n">
        <f aca="false">'🤖 Command R+'!J18</f>
        <v>2</v>
      </c>
    </row>
    <row r="184" customFormat="false" ht="15.75" hidden="false" customHeight="false" outlineLevel="0" collapsed="false">
      <c r="A184" s="118" t="str">
        <f aca="false">'🤖 Command R+'!$A$17</f>
        <v>https://www.berria.eus/kirola/olatua-hartuta-parisera_2121856_102.html</v>
      </c>
      <c r="B184" s="4" t="s">
        <v>21</v>
      </c>
      <c r="C184" s="119" t="str">
        <f aca="false">'🤖 Command R+'!C19</f>
        <v>5W1H</v>
      </c>
      <c r="D184" s="135" t="n">
        <f aca="false">'🤖 Command R+'!E19</f>
        <v>0.230964467</v>
      </c>
      <c r="E184" s="119" t="n">
        <f aca="false">'🤖 Command R+'!F19</f>
        <v>2</v>
      </c>
      <c r="F184" s="119" t="n">
        <f aca="false">'🤖 Command R+'!G19</f>
        <v>2</v>
      </c>
      <c r="G184" s="119" t="n">
        <f aca="false">'🤖 Command R+'!H19</f>
        <v>1</v>
      </c>
      <c r="H184" s="119" t="n">
        <f aca="false">'🤖 Command R+'!I19</f>
        <v>5</v>
      </c>
      <c r="I184" s="119" t="n">
        <f aca="false">'🤖 Command R+'!J19</f>
        <v>2</v>
      </c>
    </row>
    <row r="185" customFormat="false" ht="15.75" hidden="false" customHeight="false" outlineLevel="0" collapsed="false">
      <c r="A185" s="118" t="str">
        <f aca="false">'🤖 Command R+'!$A$17</f>
        <v>https://www.berria.eus/kirola/olatua-hartuta-parisera_2121856_102.html</v>
      </c>
      <c r="B185" s="4" t="s">
        <v>21</v>
      </c>
      <c r="C185" s="119" t="str">
        <f aca="false">'🤖 Command R+'!C20</f>
        <v>tldr</v>
      </c>
      <c r="D185" s="148" t="n">
        <f aca="false">'🤖 Command R+'!E20</f>
        <v>2.04822335</v>
      </c>
      <c r="E185" s="119" t="n">
        <f aca="false">'🤖 Command R+'!F20</f>
        <v>1</v>
      </c>
      <c r="F185" s="119" t="n">
        <f aca="false">'🤖 Command R+'!G20</f>
        <v>5</v>
      </c>
      <c r="G185" s="119" t="n">
        <f aca="false">'🤖 Command R+'!H20</f>
        <v>1</v>
      </c>
      <c r="H185" s="119" t="n">
        <f aca="false">'🤖 Command R+'!I20</f>
        <v>1</v>
      </c>
      <c r="I185" s="119" t="n">
        <f aca="false">'🤖 Command R+'!J20</f>
        <v>5</v>
      </c>
    </row>
    <row r="186" customFormat="false" ht="15.75" hidden="false" customHeight="false" outlineLevel="0" collapsed="false">
      <c r="A186" s="9"/>
      <c r="B186" s="9"/>
      <c r="C186" s="51"/>
      <c r="D186" s="9"/>
      <c r="E186" s="51"/>
      <c r="F186" s="51"/>
      <c r="G186" s="51"/>
      <c r="H186" s="51"/>
      <c r="I186" s="51"/>
    </row>
    <row r="187" customFormat="false" ht="15.75" hidden="false" customHeight="false" outlineLevel="0" collapsed="false">
      <c r="A187" s="118" t="str">
        <f aca="false">'🤖 Command R+'!$A$22</f>
        <v>https://www.berria.eus/bizigiro/badago-ezkutuan-dagoen-sektore-bat-sarietatik-kanpo-idazten-ari-dena_2119644_102.html</v>
      </c>
      <c r="B187" s="4" t="s">
        <v>21</v>
      </c>
      <c r="C187" s="119" t="str">
        <f aca="false">'🤖 Command R+'!C22</f>
        <v>Base</v>
      </c>
      <c r="D187" s="133" t="n">
        <f aca="false">'🤖 Command R+'!E22</f>
        <v>0.7415730337</v>
      </c>
      <c r="E187" s="119" t="n">
        <f aca="false">'🤖 Command R+'!F22</f>
        <v>1</v>
      </c>
      <c r="F187" s="119" t="n">
        <f aca="false">'🤖 Command R+'!G22</f>
        <v>2</v>
      </c>
      <c r="G187" s="119" t="n">
        <f aca="false">'🤖 Command R+'!H22</f>
        <v>2</v>
      </c>
      <c r="H187" s="119" t="n">
        <f aca="false">'🤖 Command R+'!I22</f>
        <v>2</v>
      </c>
      <c r="I187" s="119" t="n">
        <f aca="false">'🤖 Command R+'!J22</f>
        <v>3</v>
      </c>
    </row>
    <row r="188" customFormat="false" ht="15.75" hidden="false" customHeight="false" outlineLevel="0" collapsed="false">
      <c r="A188" s="118" t="str">
        <f aca="false">'🤖 Command R+'!$A$22</f>
        <v>https://www.berria.eus/bizigiro/badago-ezkutuan-dagoen-sektore-bat-sarietatik-kanpo-idazten-ari-dena_2119644_102.html</v>
      </c>
      <c r="B188" s="4" t="s">
        <v>21</v>
      </c>
      <c r="C188" s="119" t="str">
        <f aca="false">'🤖 Command R+'!C23</f>
        <v>CoT</v>
      </c>
      <c r="D188" s="139" t="n">
        <f aca="false">'🤖 Command R+'!E23</f>
        <v>0.1438202247</v>
      </c>
      <c r="E188" s="119" t="n">
        <f aca="false">'🤖 Command R+'!F23</f>
        <v>1</v>
      </c>
      <c r="F188" s="119" t="n">
        <f aca="false">'🤖 Command R+'!G23</f>
        <v>1</v>
      </c>
      <c r="G188" s="119" t="n">
        <f aca="false">'🤖 Command R+'!H23</f>
        <v>2</v>
      </c>
      <c r="H188" s="119" t="n">
        <f aca="false">'🤖 Command R+'!I23</f>
        <v>1</v>
      </c>
      <c r="I188" s="119" t="n">
        <f aca="false">'🤖 Command R+'!J23</f>
        <v>1</v>
      </c>
    </row>
    <row r="189" customFormat="false" ht="15.75" hidden="false" customHeight="false" outlineLevel="0" collapsed="false">
      <c r="A189" s="118" t="str">
        <f aca="false">'🤖 Command R+'!$A$22</f>
        <v>https://www.berria.eus/bizigiro/badago-ezkutuan-dagoen-sektore-bat-sarietatik-kanpo-idazten-ari-dena_2119644_102.html</v>
      </c>
      <c r="B189" s="4" t="s">
        <v>21</v>
      </c>
      <c r="C189" s="119" t="str">
        <f aca="false">'🤖 Command R+'!C24</f>
        <v>5W1H</v>
      </c>
      <c r="D189" s="149" t="n">
        <f aca="false">'🤖 Command R+'!E24</f>
        <v>0.4741573034</v>
      </c>
      <c r="E189" s="119" t="n">
        <f aca="false">'🤖 Command R+'!F24</f>
        <v>2</v>
      </c>
      <c r="F189" s="119" t="n">
        <f aca="false">'🤖 Command R+'!G24</f>
        <v>2</v>
      </c>
      <c r="G189" s="119" t="n">
        <f aca="false">'🤖 Command R+'!H24</f>
        <v>3</v>
      </c>
      <c r="H189" s="119" t="n">
        <f aca="false">'🤖 Command R+'!I24</f>
        <v>2</v>
      </c>
      <c r="I189" s="119" t="n">
        <f aca="false">'🤖 Command R+'!J24</f>
        <v>3</v>
      </c>
    </row>
    <row r="190" customFormat="false" ht="15.75" hidden="false" customHeight="false" outlineLevel="0" collapsed="false">
      <c r="A190" s="118" t="str">
        <f aca="false">'🤖 Command R+'!$A$22</f>
        <v>https://www.berria.eus/bizigiro/badago-ezkutuan-dagoen-sektore-bat-sarietatik-kanpo-idazten-ari-dena_2119644_102.html</v>
      </c>
      <c r="B190" s="4" t="s">
        <v>21</v>
      </c>
      <c r="C190" s="119" t="str">
        <f aca="false">'🤖 Command R+'!C25</f>
        <v>tldr</v>
      </c>
      <c r="D190" s="126" t="n">
        <f aca="false">'🤖 Command R+'!E25</f>
        <v>1.561797753</v>
      </c>
      <c r="E190" s="119" t="n">
        <f aca="false">'🤖 Command R+'!F25</f>
        <v>4</v>
      </c>
      <c r="F190" s="119" t="n">
        <f aca="false">'🤖 Command R+'!G25</f>
        <v>2</v>
      </c>
      <c r="G190" s="119" t="n">
        <f aca="false">'🤖 Command R+'!H25</f>
        <v>1</v>
      </c>
      <c r="H190" s="119" t="n">
        <f aca="false">'🤖 Command R+'!I25</f>
        <v>1</v>
      </c>
      <c r="I190" s="119" t="n">
        <f aca="false">'🤖 Command R+'!J25</f>
        <v>4</v>
      </c>
    </row>
    <row r="191" customFormat="false" ht="15.75" hidden="false" customHeight="false" outlineLevel="0" collapsed="false">
      <c r="A191" s="9"/>
      <c r="B191" s="9"/>
      <c r="C191" s="51"/>
      <c r="D191" s="9"/>
      <c r="E191" s="51"/>
      <c r="F191" s="51"/>
      <c r="G191" s="51"/>
      <c r="H191" s="51"/>
      <c r="I191" s="51"/>
    </row>
    <row r="192" customFormat="false" ht="15.75" hidden="false" customHeight="false" outlineLevel="0" collapsed="false">
      <c r="A192" s="118" t="str">
        <f aca="false">'🤖 Command R+'!$A$27</f>
        <v>https://www.berria.eus/bizigiro/istorioak-irudien-bidez-kontatzen-ditut-oso-hizkuntza-unibertsala-da_2121576_102.html</v>
      </c>
      <c r="B192" s="4" t="s">
        <v>21</v>
      </c>
      <c r="C192" s="119" t="str">
        <f aca="false">'🤖 Command R+'!C27</f>
        <v>Base</v>
      </c>
      <c r="D192" s="146" t="n">
        <f aca="false">'🤖 Command R+'!E27</f>
        <v>0.1862527716</v>
      </c>
      <c r="E192" s="119" t="n">
        <f aca="false">'🤖 Command R+'!F27</f>
        <v>1</v>
      </c>
      <c r="F192" s="119" t="n">
        <f aca="false">'🤖 Command R+'!G27</f>
        <v>1</v>
      </c>
      <c r="G192" s="119" t="n">
        <f aca="false">'🤖 Command R+'!H27</f>
        <v>2</v>
      </c>
      <c r="H192" s="119" t="n">
        <f aca="false">'🤖 Command R+'!I27</f>
        <v>1</v>
      </c>
      <c r="I192" s="119" t="n">
        <f aca="false">'🤖 Command R+'!J27</f>
        <v>1</v>
      </c>
      <c r="J192" s="9" t="n">
        <f aca="false">VLOOKUP(B192,__lookup__!A:B,2,FALSE())</f>
        <v>2</v>
      </c>
      <c r="K192" s="9" t="n">
        <f aca="false">VLOOKUP(C192,__lookup__!A:B,2,FALSE())</f>
        <v>10</v>
      </c>
    </row>
    <row r="193" customFormat="false" ht="15.75" hidden="false" customHeight="false" outlineLevel="0" collapsed="false">
      <c r="A193" s="118" t="str">
        <f aca="false">'🤖 Command R+'!$A$27</f>
        <v>https://www.berria.eus/bizigiro/istorioak-irudien-bidez-kontatzen-ditut-oso-hizkuntza-unibertsala-da_2121576_102.html</v>
      </c>
      <c r="B193" s="4" t="s">
        <v>21</v>
      </c>
      <c r="C193" s="119" t="str">
        <f aca="false">'🤖 Command R+'!C28</f>
        <v>CoT</v>
      </c>
      <c r="D193" s="150" t="n">
        <f aca="false">'🤖 Command R+'!E28</f>
        <v>0.7139689579</v>
      </c>
      <c r="E193" s="119" t="n">
        <f aca="false">'🤖 Command R+'!F28</f>
        <v>1</v>
      </c>
      <c r="F193" s="119" t="n">
        <f aca="false">'🤖 Command R+'!G28</f>
        <v>2</v>
      </c>
      <c r="G193" s="119" t="n">
        <f aca="false">'🤖 Command R+'!H28</f>
        <v>2</v>
      </c>
      <c r="H193" s="119" t="n">
        <f aca="false">'🤖 Command R+'!I28</f>
        <v>2</v>
      </c>
      <c r="I193" s="119" t="n">
        <f aca="false">'🤖 Command R+'!J28</f>
        <v>3</v>
      </c>
    </row>
    <row r="194" customFormat="false" ht="15.75" hidden="false" customHeight="false" outlineLevel="0" collapsed="false">
      <c r="A194" s="118" t="str">
        <f aca="false">'🤖 Command R+'!$A$27</f>
        <v>https://www.berria.eus/bizigiro/istorioak-irudien-bidez-kontatzen-ditut-oso-hizkuntza-unibertsala-da_2121576_102.html</v>
      </c>
      <c r="B194" s="4" t="s">
        <v>21</v>
      </c>
      <c r="C194" s="119" t="str">
        <f aca="false">'🤖 Command R+'!C29</f>
        <v>5W1H</v>
      </c>
      <c r="D194" s="135" t="n">
        <f aca="false">'🤖 Command R+'!E29</f>
        <v>0.487804878</v>
      </c>
      <c r="E194" s="119" t="n">
        <f aca="false">'🤖 Command R+'!F29</f>
        <v>1</v>
      </c>
      <c r="F194" s="119" t="n">
        <f aca="false">'🤖 Command R+'!G29</f>
        <v>4</v>
      </c>
      <c r="G194" s="119" t="n">
        <f aca="false">'🤖 Command R+'!H29</f>
        <v>3</v>
      </c>
      <c r="H194" s="119" t="n">
        <f aca="false">'🤖 Command R+'!I29</f>
        <v>4</v>
      </c>
      <c r="I194" s="119" t="n">
        <f aca="false">'🤖 Command R+'!J29</f>
        <v>3</v>
      </c>
    </row>
    <row r="195" customFormat="false" ht="15.75" hidden="false" customHeight="false" outlineLevel="0" collapsed="false">
      <c r="A195" s="118" t="str">
        <f aca="false">'🤖 Command R+'!$A$27</f>
        <v>https://www.berria.eus/bizigiro/istorioak-irudien-bidez-kontatzen-ditut-oso-hizkuntza-unibertsala-da_2121576_102.html</v>
      </c>
      <c r="B195" s="4" t="s">
        <v>21</v>
      </c>
      <c r="C195" s="119" t="str">
        <f aca="false">'🤖 Command R+'!C30</f>
        <v>tldr</v>
      </c>
      <c r="D195" s="140" t="n">
        <f aca="false">'🤖 Command R+'!E30</f>
        <v>0.4855875831</v>
      </c>
      <c r="E195" s="119" t="n">
        <f aca="false">'🤖 Command R+'!F30</f>
        <v>2</v>
      </c>
      <c r="F195" s="119" t="n">
        <f aca="false">'🤖 Command R+'!G30</f>
        <v>5</v>
      </c>
      <c r="G195" s="119" t="n">
        <f aca="false">'🤖 Command R+'!H30</f>
        <v>3</v>
      </c>
      <c r="H195" s="119" t="n">
        <f aca="false">'🤖 Command R+'!I30</f>
        <v>4</v>
      </c>
      <c r="I195" s="119" t="n">
        <f aca="false">'🤖 Command R+'!J30</f>
        <v>4</v>
      </c>
    </row>
    <row r="196" customFormat="false" ht="15.75" hidden="false" customHeight="false" outlineLevel="0" collapsed="false">
      <c r="A196" s="9"/>
      <c r="B196" s="9"/>
      <c r="C196" s="51"/>
      <c r="D196" s="9"/>
      <c r="E196" s="51"/>
      <c r="F196" s="51"/>
      <c r="G196" s="51"/>
      <c r="H196" s="51"/>
      <c r="I196" s="51"/>
    </row>
    <row r="197" customFormat="false" ht="15.75" hidden="false" customHeight="false" outlineLevel="0" collapsed="false">
      <c r="A197" s="118" t="str">
        <f aca="false">'🤖 Command R+'!$A$32</f>
        <v>https://www.berria.eus/euskal-herria/etxeko-atxiloaldia-ezarri-diote-labioko-hiltzaileari_2124515_102.html</v>
      </c>
      <c r="B197" s="4" t="s">
        <v>21</v>
      </c>
      <c r="C197" s="119" t="str">
        <f aca="false">'🤖 Command R+'!C32</f>
        <v>Base</v>
      </c>
      <c r="D197" s="151" t="n">
        <f aca="false">'🤖 Command R+'!E32</f>
        <v>0.7296296296</v>
      </c>
      <c r="E197" s="119" t="n">
        <f aca="false">'🤖 Command R+'!F32</f>
        <v>3</v>
      </c>
      <c r="F197" s="119" t="n">
        <f aca="false">'🤖 Command R+'!G32</f>
        <v>2</v>
      </c>
      <c r="G197" s="119" t="n">
        <f aca="false">'🤖 Command R+'!H32</f>
        <v>2</v>
      </c>
      <c r="H197" s="119" t="n">
        <f aca="false">'🤖 Command R+'!I32</f>
        <v>2</v>
      </c>
      <c r="I197" s="119" t="n">
        <f aca="false">'🤖 Command R+'!J32</f>
        <v>3</v>
      </c>
    </row>
    <row r="198" customFormat="false" ht="15.75" hidden="false" customHeight="false" outlineLevel="0" collapsed="false">
      <c r="A198" s="118" t="str">
        <f aca="false">'🤖 Command R+'!$A$32</f>
        <v>https://www.berria.eus/euskal-herria/etxeko-atxiloaldia-ezarri-diote-labioko-hiltzaileari_2124515_102.html</v>
      </c>
      <c r="B198" s="4" t="s">
        <v>21</v>
      </c>
      <c r="C198" s="119" t="str">
        <f aca="false">'🤖 Command R+'!C33</f>
        <v>CoT</v>
      </c>
      <c r="D198" s="152" t="n">
        <f aca="false">'🤖 Command R+'!E33</f>
        <v>0.8037037037</v>
      </c>
      <c r="E198" s="119" t="n">
        <f aca="false">'🤖 Command R+'!F33</f>
        <v>3</v>
      </c>
      <c r="F198" s="119" t="n">
        <f aca="false">'🤖 Command R+'!G33</f>
        <v>5</v>
      </c>
      <c r="G198" s="119" t="n">
        <f aca="false">'🤖 Command R+'!H33</f>
        <v>2</v>
      </c>
      <c r="H198" s="119" t="n">
        <f aca="false">'🤖 Command R+'!I33</f>
        <v>2</v>
      </c>
      <c r="I198" s="119" t="n">
        <f aca="false">'🤖 Command R+'!J33</f>
        <v>5</v>
      </c>
    </row>
    <row r="199" customFormat="false" ht="15.75" hidden="false" customHeight="false" outlineLevel="0" collapsed="false">
      <c r="A199" s="118" t="str">
        <f aca="false">'🤖 Command R+'!$A$32</f>
        <v>https://www.berria.eus/euskal-herria/etxeko-atxiloaldia-ezarri-diote-labioko-hiltzaileari_2124515_102.html</v>
      </c>
      <c r="B199" s="4" t="s">
        <v>21</v>
      </c>
      <c r="C199" s="119" t="str">
        <f aca="false">'🤖 Command R+'!C34</f>
        <v>5W1H</v>
      </c>
      <c r="D199" s="153" t="n">
        <f aca="false">'🤖 Command R+'!E34</f>
        <v>0.4851851852</v>
      </c>
      <c r="E199" s="119" t="n">
        <f aca="false">'🤖 Command R+'!F34</f>
        <v>1</v>
      </c>
      <c r="F199" s="119" t="n">
        <f aca="false">'🤖 Command R+'!G34</f>
        <v>2</v>
      </c>
      <c r="G199" s="119" t="n">
        <f aca="false">'🤖 Command R+'!H34</f>
        <v>2</v>
      </c>
      <c r="H199" s="119" t="n">
        <f aca="false">'🤖 Command R+'!I34</f>
        <v>3</v>
      </c>
      <c r="I199" s="119" t="n">
        <f aca="false">'🤖 Command R+'!J34</f>
        <v>4</v>
      </c>
    </row>
    <row r="200" customFormat="false" ht="15.75" hidden="false" customHeight="false" outlineLevel="0" collapsed="false">
      <c r="A200" s="118" t="str">
        <f aca="false">'🤖 Command R+'!$A$32</f>
        <v>https://www.berria.eus/euskal-herria/etxeko-atxiloaldia-ezarri-diote-labioko-hiltzaileari_2124515_102.html</v>
      </c>
      <c r="B200" s="4" t="s">
        <v>21</v>
      </c>
      <c r="C200" s="119" t="str">
        <f aca="false">'🤖 Command R+'!C35</f>
        <v>tldr</v>
      </c>
      <c r="D200" s="154" t="n">
        <f aca="false">'🤖 Command R+'!E35</f>
        <v>1.307407407</v>
      </c>
      <c r="E200" s="119" t="n">
        <f aca="false">'🤖 Command R+'!F35</f>
        <v>4</v>
      </c>
      <c r="F200" s="119" t="n">
        <f aca="false">'🤖 Command R+'!G35</f>
        <v>1</v>
      </c>
      <c r="G200" s="119" t="n">
        <f aca="false">'🤖 Command R+'!H35</f>
        <v>1</v>
      </c>
      <c r="H200" s="119" t="n">
        <f aca="false">'🤖 Command R+'!I35</f>
        <v>1</v>
      </c>
      <c r="I200" s="119" t="n">
        <f aca="false">'🤖 Command R+'!J35</f>
        <v>1</v>
      </c>
    </row>
    <row r="201" customFormat="false" ht="15.75" hidden="false" customHeight="false" outlineLevel="0" collapsed="false">
      <c r="A201" s="9"/>
      <c r="B201" s="9"/>
      <c r="C201" s="51"/>
      <c r="D201" s="9"/>
      <c r="E201" s="51"/>
      <c r="F201" s="51"/>
      <c r="G201" s="51"/>
      <c r="H201" s="51"/>
      <c r="I201" s="51"/>
    </row>
    <row r="202" customFormat="false" ht="15.75" hidden="false" customHeight="false" outlineLevel="0" collapsed="false">
      <c r="A202" s="118" t="str">
        <f aca="false">'🤖 Command R+'!$A$37</f>
        <v>https://www.berria.eus/ekonomia/sektore-eolikoa-eta-milaka-lanpostu-desagertzeko-arriskuaz-ohartarazi-du-elak_233844_102.html</v>
      </c>
      <c r="B202" s="4" t="s">
        <v>21</v>
      </c>
      <c r="C202" s="119" t="str">
        <f aca="false">'🤖 Command R+'!C37</f>
        <v>Base</v>
      </c>
      <c r="D202" s="123" t="n">
        <f aca="false">'🤖 Command R+'!E37</f>
        <v>0.3891509434</v>
      </c>
      <c r="E202" s="119" t="n">
        <f aca="false">'🤖 Command R+'!F37</f>
        <v>3</v>
      </c>
      <c r="F202" s="119" t="n">
        <f aca="false">'🤖 Command R+'!G37</f>
        <v>4</v>
      </c>
      <c r="G202" s="119" t="n">
        <f aca="false">'🤖 Command R+'!H37</f>
        <v>2</v>
      </c>
      <c r="H202" s="119" t="n">
        <f aca="false">'🤖 Command R+'!I37</f>
        <v>4</v>
      </c>
      <c r="I202" s="119" t="n">
        <f aca="false">'🤖 Command R+'!J37</f>
        <v>3</v>
      </c>
    </row>
    <row r="203" customFormat="false" ht="15.75" hidden="false" customHeight="false" outlineLevel="0" collapsed="false">
      <c r="A203" s="118" t="str">
        <f aca="false">'🤖 Command R+'!$A$37</f>
        <v>https://www.berria.eus/ekonomia/sektore-eolikoa-eta-milaka-lanpostu-desagertzeko-arriskuaz-ohartarazi-du-elak_233844_102.html</v>
      </c>
      <c r="B203" s="4" t="s">
        <v>21</v>
      </c>
      <c r="C203" s="119" t="str">
        <f aca="false">'🤖 Command R+'!C38</f>
        <v>CoT</v>
      </c>
      <c r="D203" s="125" t="n">
        <f aca="false">'🤖 Command R+'!E38</f>
        <v>0.3490566038</v>
      </c>
      <c r="E203" s="119" t="n">
        <f aca="false">'🤖 Command R+'!F38</f>
        <v>1</v>
      </c>
      <c r="F203" s="119" t="n">
        <f aca="false">'🤖 Command R+'!G38</f>
        <v>5</v>
      </c>
      <c r="G203" s="119" t="n">
        <f aca="false">'🤖 Command R+'!H38</f>
        <v>4</v>
      </c>
      <c r="H203" s="119" t="n">
        <f aca="false">'🤖 Command R+'!I38</f>
        <v>2</v>
      </c>
      <c r="I203" s="119" t="n">
        <f aca="false">'🤖 Command R+'!J38</f>
        <v>2</v>
      </c>
    </row>
    <row r="204" customFormat="false" ht="15.75" hidden="false" customHeight="false" outlineLevel="0" collapsed="false">
      <c r="A204" s="118" t="str">
        <f aca="false">'🤖 Command R+'!$A$37</f>
        <v>https://www.berria.eus/ekonomia/sektore-eolikoa-eta-milaka-lanpostu-desagertzeko-arriskuaz-ohartarazi-du-elak_233844_102.html</v>
      </c>
      <c r="B204" s="4" t="s">
        <v>21</v>
      </c>
      <c r="C204" s="119" t="str">
        <f aca="false">'🤖 Command R+'!C39</f>
        <v>5W1H</v>
      </c>
      <c r="D204" s="123" t="n">
        <f aca="false">'🤖 Command R+'!E39</f>
        <v>0.2570754717</v>
      </c>
      <c r="E204" s="119" t="n">
        <f aca="false">'🤖 Command R+'!F39</f>
        <v>2</v>
      </c>
      <c r="F204" s="119" t="n">
        <f aca="false">'🤖 Command R+'!G39</f>
        <v>5</v>
      </c>
      <c r="G204" s="119" t="n">
        <f aca="false">'🤖 Command R+'!H39</f>
        <v>3</v>
      </c>
      <c r="H204" s="119" t="n">
        <f aca="false">'🤖 Command R+'!I39</f>
        <v>3</v>
      </c>
      <c r="I204" s="119" t="n">
        <f aca="false">'🤖 Command R+'!J39</f>
        <v>3</v>
      </c>
    </row>
    <row r="205" customFormat="false" ht="15.75" hidden="false" customHeight="false" outlineLevel="0" collapsed="false">
      <c r="A205" s="118" t="str">
        <f aca="false">'🤖 Command R+'!$A$37</f>
        <v>https://www.berria.eus/ekonomia/sektore-eolikoa-eta-milaka-lanpostu-desagertzeko-arriskuaz-ohartarazi-du-elak_233844_102.html</v>
      </c>
      <c r="B205" s="4" t="s">
        <v>21</v>
      </c>
      <c r="C205" s="119" t="str">
        <f aca="false">'🤖 Command R+'!C40</f>
        <v>tldr</v>
      </c>
      <c r="D205" s="155" t="n">
        <f aca="false">'🤖 Command R+'!E40</f>
        <v>0.5235849057</v>
      </c>
      <c r="E205" s="119" t="n">
        <f aca="false">'🤖 Command R+'!F40</f>
        <v>3</v>
      </c>
      <c r="F205" s="119" t="n">
        <f aca="false">'🤖 Command R+'!G40</f>
        <v>3</v>
      </c>
      <c r="G205" s="119" t="n">
        <f aca="false">'🤖 Command R+'!H40</f>
        <v>2</v>
      </c>
      <c r="H205" s="119" t="n">
        <f aca="false">'🤖 Command R+'!I40</f>
        <v>3</v>
      </c>
      <c r="I205" s="119" t="n">
        <f aca="false">'🤖 Command R+'!J40</f>
        <v>4</v>
      </c>
    </row>
    <row r="206" customFormat="false" ht="15.75" hidden="false" customHeight="false" outlineLevel="0" collapsed="false">
      <c r="A206" s="9"/>
      <c r="B206" s="9"/>
      <c r="C206" s="51"/>
      <c r="D206" s="9"/>
      <c r="E206" s="51"/>
      <c r="F206" s="51"/>
      <c r="G206" s="51"/>
      <c r="H206" s="51"/>
      <c r="I206" s="51"/>
    </row>
    <row r="207" customFormat="false" ht="15.75" hidden="false" customHeight="false" outlineLevel="0" collapsed="false">
      <c r="A207" s="118" t="str">
        <f aca="false">'🤖 Command R+'!$A$42</f>
        <v>https://www.berria.eus/kultura/mikroipuinak-txikiak-baina-ez-hutsalak_2121931_102.html</v>
      </c>
      <c r="B207" s="4" t="s">
        <v>21</v>
      </c>
      <c r="C207" s="119" t="str">
        <f aca="false">'🤖 Command R+'!C42</f>
        <v>Base</v>
      </c>
      <c r="D207" s="156" t="n">
        <f aca="false">'🤖 Command R+'!E42</f>
        <v>0.392733564</v>
      </c>
      <c r="E207" s="119" t="n">
        <f aca="false">'🤖 Command R+'!F42</f>
        <v>2</v>
      </c>
      <c r="F207" s="119" t="n">
        <f aca="false">'🤖 Command R+'!G42</f>
        <v>4</v>
      </c>
      <c r="G207" s="119" t="n">
        <f aca="false">'🤖 Command R+'!H42</f>
        <v>3</v>
      </c>
      <c r="H207" s="119" t="n">
        <f aca="false">'🤖 Command R+'!I42</f>
        <v>3</v>
      </c>
      <c r="I207" s="119" t="n">
        <f aca="false">'🤖 Command R+'!J42</f>
        <v>5</v>
      </c>
    </row>
    <row r="208" customFormat="false" ht="15.75" hidden="false" customHeight="false" outlineLevel="0" collapsed="false">
      <c r="A208" s="118" t="str">
        <f aca="false">'🤖 Command R+'!$A$42</f>
        <v>https://www.berria.eus/kultura/mikroipuinak-txikiak-baina-ez-hutsalak_2121931_102.html</v>
      </c>
      <c r="B208" s="4" t="s">
        <v>21</v>
      </c>
      <c r="C208" s="119" t="str">
        <f aca="false">'🤖 Command R+'!C43</f>
        <v>CoT</v>
      </c>
      <c r="D208" s="157" t="n">
        <f aca="false">'🤖 Command R+'!E43</f>
        <v>0.1297577855</v>
      </c>
      <c r="E208" s="119" t="n">
        <f aca="false">'🤖 Command R+'!F43</f>
        <v>4</v>
      </c>
      <c r="F208" s="119" t="n">
        <f aca="false">'🤖 Command R+'!G43</f>
        <v>4</v>
      </c>
      <c r="G208" s="119" t="n">
        <f aca="false">'🤖 Command R+'!H43</f>
        <v>2</v>
      </c>
      <c r="H208" s="119" t="n">
        <f aca="false">'🤖 Command R+'!I43</f>
        <v>4</v>
      </c>
      <c r="I208" s="119" t="n">
        <f aca="false">'🤖 Command R+'!J43</f>
        <v>2</v>
      </c>
    </row>
    <row r="209" customFormat="false" ht="15.75" hidden="false" customHeight="false" outlineLevel="0" collapsed="false">
      <c r="A209" s="118" t="str">
        <f aca="false">'🤖 Command R+'!$A$42</f>
        <v>https://www.berria.eus/kultura/mikroipuinak-txikiak-baina-ez-hutsalak_2121931_102.html</v>
      </c>
      <c r="B209" s="4" t="s">
        <v>21</v>
      </c>
      <c r="C209" s="119" t="str">
        <f aca="false">'🤖 Command R+'!C44</f>
        <v>5W1H</v>
      </c>
      <c r="D209" s="158" t="n">
        <f aca="false">'🤖 Command R+'!E44</f>
        <v>0.1764705882</v>
      </c>
      <c r="E209" s="119" t="n">
        <f aca="false">'🤖 Command R+'!F44</f>
        <v>2</v>
      </c>
      <c r="F209" s="119" t="n">
        <f aca="false">'🤖 Command R+'!G44</f>
        <v>4</v>
      </c>
      <c r="G209" s="119" t="n">
        <f aca="false">'🤖 Command R+'!H44</f>
        <v>3</v>
      </c>
      <c r="H209" s="119" t="n">
        <f aca="false">'🤖 Command R+'!I44</f>
        <v>4</v>
      </c>
      <c r="I209" s="119" t="n">
        <f aca="false">'🤖 Command R+'!J44</f>
        <v>3</v>
      </c>
    </row>
    <row r="210" customFormat="false" ht="15.75" hidden="false" customHeight="false" outlineLevel="0" collapsed="false">
      <c r="A210" s="118" t="str">
        <f aca="false">'🤖 Command R+'!$A$42</f>
        <v>https://www.berria.eus/kultura/mikroipuinak-txikiak-baina-ez-hutsalak_2121931_102.html</v>
      </c>
      <c r="B210" s="4" t="s">
        <v>21</v>
      </c>
      <c r="C210" s="119" t="str">
        <f aca="false">'🤖 Command R+'!C45</f>
        <v>tldr</v>
      </c>
      <c r="D210" s="123" t="n">
        <f aca="false">'🤖 Command R+'!E45</f>
        <v>0.8996539792</v>
      </c>
      <c r="E210" s="119" t="n">
        <f aca="false">'🤖 Command R+'!F45</f>
        <v>5</v>
      </c>
      <c r="F210" s="119" t="n">
        <f aca="false">'🤖 Command R+'!G45</f>
        <v>3</v>
      </c>
      <c r="G210" s="119" t="n">
        <f aca="false">'🤖 Command R+'!H45</f>
        <v>1</v>
      </c>
      <c r="H210" s="119" t="n">
        <f aca="false">'🤖 Command R+'!I45</f>
        <v>1</v>
      </c>
      <c r="I210" s="119" t="n">
        <f aca="false">'🤖 Command R+'!J45</f>
        <v>5</v>
      </c>
    </row>
    <row r="211" customFormat="false" ht="15.75" hidden="false" customHeight="false" outlineLevel="0" collapsed="false">
      <c r="A211" s="9"/>
      <c r="B211" s="9"/>
      <c r="C211" s="51"/>
      <c r="D211" s="9"/>
      <c r="E211" s="51"/>
      <c r="F211" s="51"/>
      <c r="G211" s="51"/>
      <c r="H211" s="51"/>
      <c r="I211" s="51"/>
    </row>
    <row r="212" customFormat="false" ht="15.75" hidden="false" customHeight="false" outlineLevel="0" collapsed="false">
      <c r="A212" s="118" t="str">
        <f aca="false">'🤖 Command R+'!$A$47</f>
        <v>https://www.berria.eus/euskal-herria/guardia-zibilak-dio-europako-speed-laborategi-handiena-aurkitu-duela-euskal-herrian_2125543_102.html</v>
      </c>
      <c r="B212" s="4" t="s">
        <v>21</v>
      </c>
      <c r="C212" s="119" t="str">
        <f aca="false">'🤖 Command R+'!C47</f>
        <v>Base</v>
      </c>
      <c r="D212" s="133" t="n">
        <f aca="false">'🤖 Command R+'!E47</f>
        <v>0.7857142857</v>
      </c>
      <c r="E212" s="119" t="n">
        <f aca="false">'🤖 Command R+'!F47</f>
        <v>3</v>
      </c>
      <c r="F212" s="119" t="n">
        <f aca="false">'🤖 Command R+'!G47</f>
        <v>4</v>
      </c>
      <c r="G212" s="119" t="n">
        <f aca="false">'🤖 Command R+'!H47</f>
        <v>3</v>
      </c>
      <c r="H212" s="119" t="n">
        <f aca="false">'🤖 Command R+'!I47</f>
        <v>3</v>
      </c>
      <c r="I212" s="119" t="n">
        <f aca="false">'🤖 Command R+'!J47</f>
        <v>5</v>
      </c>
    </row>
    <row r="213" customFormat="false" ht="15.75" hidden="false" customHeight="false" outlineLevel="0" collapsed="false">
      <c r="A213" s="118" t="str">
        <f aca="false">'🤖 Command R+'!$A$47</f>
        <v>https://www.berria.eus/euskal-herria/guardia-zibilak-dio-europako-speed-laborategi-handiena-aurkitu-duela-euskal-herrian_2125543_102.html</v>
      </c>
      <c r="B213" s="4" t="s">
        <v>21</v>
      </c>
      <c r="C213" s="119" t="str">
        <f aca="false">'🤖 Command R+'!C48</f>
        <v>CoT</v>
      </c>
      <c r="D213" s="139" t="n">
        <f aca="false">'🤖 Command R+'!E48</f>
        <v>0.6428571429</v>
      </c>
      <c r="E213" s="119" t="n">
        <f aca="false">'🤖 Command R+'!F48</f>
        <v>2</v>
      </c>
      <c r="F213" s="119" t="n">
        <f aca="false">'🤖 Command R+'!G48</f>
        <v>5</v>
      </c>
      <c r="G213" s="119" t="n">
        <f aca="false">'🤖 Command R+'!H48</f>
        <v>3</v>
      </c>
      <c r="H213" s="119" t="n">
        <f aca="false">'🤖 Command R+'!I48</f>
        <v>2</v>
      </c>
      <c r="I213" s="119" t="n">
        <f aca="false">'🤖 Command R+'!J48</f>
        <v>2</v>
      </c>
    </row>
    <row r="214" customFormat="false" ht="15.75" hidden="false" customHeight="false" outlineLevel="0" collapsed="false">
      <c r="A214" s="118" t="str">
        <f aca="false">'🤖 Command R+'!$A$47</f>
        <v>https://www.berria.eus/euskal-herria/guardia-zibilak-dio-europako-speed-laborategi-handiena-aurkitu-duela-euskal-herrian_2125543_102.html</v>
      </c>
      <c r="B214" s="4" t="s">
        <v>21</v>
      </c>
      <c r="C214" s="119" t="str">
        <f aca="false">'🤖 Command R+'!C49</f>
        <v>5W1H</v>
      </c>
      <c r="D214" s="149" t="n">
        <f aca="false">'🤖 Command R+'!E49</f>
        <v>0.8</v>
      </c>
      <c r="E214" s="119" t="n">
        <f aca="false">'🤖 Command R+'!F49</f>
        <v>2</v>
      </c>
      <c r="F214" s="119" t="n">
        <f aca="false">'🤖 Command R+'!G49</f>
        <v>4</v>
      </c>
      <c r="G214" s="119" t="n">
        <f aca="false">'🤖 Command R+'!H49</f>
        <v>3</v>
      </c>
      <c r="H214" s="119" t="n">
        <f aca="false">'🤖 Command R+'!I49</f>
        <v>3</v>
      </c>
      <c r="I214" s="119" t="n">
        <f aca="false">'🤖 Command R+'!J49</f>
        <v>5</v>
      </c>
    </row>
    <row r="215" customFormat="false" ht="15.75" hidden="false" customHeight="false" outlineLevel="0" collapsed="false">
      <c r="A215" s="118" t="str">
        <f aca="false">'🤖 Command R+'!$A$47</f>
        <v>https://www.berria.eus/euskal-herria/guardia-zibilak-dio-europako-speed-laborategi-handiena-aurkitu-duela-euskal-herrian_2125543_102.html</v>
      </c>
      <c r="B215" s="4" t="s">
        <v>21</v>
      </c>
      <c r="C215" s="119" t="str">
        <f aca="false">'🤖 Command R+'!C50</f>
        <v>tldr</v>
      </c>
      <c r="D215" s="159" t="n">
        <f aca="false">'🤖 Command R+'!E50</f>
        <v>0.2619047619</v>
      </c>
      <c r="E215" s="119" t="n">
        <f aca="false">'🤖 Command R+'!F50</f>
        <v>2</v>
      </c>
      <c r="F215" s="119" t="n">
        <f aca="false">'🤖 Command R+'!G50</f>
        <v>4</v>
      </c>
      <c r="G215" s="119" t="n">
        <f aca="false">'🤖 Command R+'!H50</f>
        <v>3</v>
      </c>
      <c r="H215" s="119" t="n">
        <f aca="false">'🤖 Command R+'!I50</f>
        <v>4</v>
      </c>
      <c r="I215" s="119" t="n">
        <f aca="false">'🤖 Command R+'!J50</f>
        <v>3</v>
      </c>
    </row>
    <row r="216" customFormat="false" ht="15.75" hidden="false" customHeight="false" outlineLevel="0" collapsed="false">
      <c r="A216" s="118"/>
      <c r="B216" s="4"/>
      <c r="C216" s="6"/>
      <c r="D216" s="159"/>
      <c r="E216" s="6"/>
      <c r="F216" s="6"/>
      <c r="G216" s="6"/>
      <c r="H216" s="6"/>
      <c r="I216" s="6"/>
    </row>
    <row r="217" customFormat="false" ht="15.75" hidden="false" customHeight="false" outlineLevel="0" collapsed="false">
      <c r="A217" s="118" t="n">
        <f aca="false">'🤖 Command R+'!$A$52</f>
        <v>0</v>
      </c>
      <c r="B217" s="4" t="s">
        <v>21</v>
      </c>
      <c r="C217" s="119" t="str">
        <f aca="false">'🤖 Command R+'!C52</f>
        <v>Base</v>
      </c>
      <c r="D217" s="159" t="n">
        <f aca="false">'🤖 Command R+'!E52</f>
        <v>0.004761904762</v>
      </c>
      <c r="E217" s="119" t="n">
        <f aca="false">'🤖 Command R+'!F52</f>
        <v>0</v>
      </c>
      <c r="F217" s="119" t="n">
        <f aca="false">'🤖 Command R+'!G52</f>
        <v>0</v>
      </c>
      <c r="G217" s="119" t="n">
        <f aca="false">'🤖 Command R+'!H52</f>
        <v>0</v>
      </c>
      <c r="H217" s="119" t="n">
        <f aca="false">'🤖 Command R+'!I52</f>
        <v>0</v>
      </c>
      <c r="I217" s="119" t="n">
        <f aca="false">'🤖 Command R+'!J52</f>
        <v>0</v>
      </c>
    </row>
    <row r="218" customFormat="false" ht="15.75" hidden="false" customHeight="false" outlineLevel="0" collapsed="false">
      <c r="A218" s="118" t="n">
        <f aca="false">'🤖 Command R+'!$A$52</f>
        <v>0</v>
      </c>
      <c r="B218" s="4" t="s">
        <v>21</v>
      </c>
      <c r="C218" s="119" t="str">
        <f aca="false">'🤖 Command R+'!C53</f>
        <v>CoT</v>
      </c>
      <c r="D218" s="159" t="n">
        <f aca="false">'🤖 Command R+'!E53</f>
        <v>0.004761904762</v>
      </c>
      <c r="E218" s="119" t="n">
        <f aca="false">'🤖 Command R+'!F53</f>
        <v>0</v>
      </c>
      <c r="F218" s="119" t="n">
        <f aca="false">'🤖 Command R+'!G53</f>
        <v>0</v>
      </c>
      <c r="G218" s="119" t="n">
        <f aca="false">'🤖 Command R+'!H53</f>
        <v>0</v>
      </c>
      <c r="H218" s="119" t="n">
        <f aca="false">'🤖 Command R+'!I53</f>
        <v>0</v>
      </c>
      <c r="I218" s="119" t="n">
        <f aca="false">'🤖 Command R+'!J53</f>
        <v>0</v>
      </c>
    </row>
    <row r="219" customFormat="false" ht="15.75" hidden="false" customHeight="false" outlineLevel="0" collapsed="false">
      <c r="A219" s="118" t="n">
        <f aca="false">'🤖 Command R+'!$A$52</f>
        <v>0</v>
      </c>
      <c r="B219" s="4" t="s">
        <v>21</v>
      </c>
      <c r="C219" s="119" t="str">
        <f aca="false">'🤖 Command R+'!C54</f>
        <v>5W1H</v>
      </c>
      <c r="D219" s="159" t="n">
        <f aca="false">'🤖 Command R+'!E54</f>
        <v>0.004761904762</v>
      </c>
      <c r="E219" s="119" t="n">
        <f aca="false">'🤖 Command R+'!F54</f>
        <v>0</v>
      </c>
      <c r="F219" s="119" t="n">
        <f aca="false">'🤖 Command R+'!G54</f>
        <v>0</v>
      </c>
      <c r="G219" s="119" t="n">
        <f aca="false">'🤖 Command R+'!H54</f>
        <v>0</v>
      </c>
      <c r="H219" s="119" t="n">
        <f aca="false">'🤖 Command R+'!I54</f>
        <v>0</v>
      </c>
      <c r="I219" s="119" t="n">
        <f aca="false">'🤖 Command R+'!J54</f>
        <v>0</v>
      </c>
    </row>
    <row r="220" customFormat="false" ht="15.75" hidden="false" customHeight="false" outlineLevel="0" collapsed="false">
      <c r="A220" s="118" t="n">
        <f aca="false">'🤖 Command R+'!$A$52</f>
        <v>0</v>
      </c>
      <c r="B220" s="4" t="s">
        <v>21</v>
      </c>
      <c r="C220" s="119" t="str">
        <f aca="false">'🤖 Command R+'!C55</f>
        <v>tldr</v>
      </c>
      <c r="D220" s="159" t="n">
        <f aca="false">'🤖 Command R+'!E55</f>
        <v>0.004761904762</v>
      </c>
      <c r="E220" s="119" t="n">
        <f aca="false">'🤖 Command R+'!F55</f>
        <v>0</v>
      </c>
      <c r="F220" s="119" t="n">
        <f aca="false">'🤖 Command R+'!G55</f>
        <v>0</v>
      </c>
      <c r="G220" s="119" t="n">
        <f aca="false">'🤖 Command R+'!H55</f>
        <v>0</v>
      </c>
      <c r="H220" s="119" t="n">
        <f aca="false">'🤖 Command R+'!I55</f>
        <v>0</v>
      </c>
      <c r="I220" s="119" t="n">
        <f aca="false">'🤖 Command R+'!J55</f>
        <v>0</v>
      </c>
    </row>
    <row r="221" customFormat="false" ht="15.75" hidden="false" customHeight="false" outlineLevel="0" collapsed="false">
      <c r="A221" s="118"/>
      <c r="B221" s="4"/>
      <c r="C221" s="6"/>
      <c r="D221" s="159"/>
      <c r="E221" s="6"/>
      <c r="F221" s="6"/>
      <c r="G221" s="6"/>
      <c r="H221" s="6"/>
      <c r="I221" s="6"/>
    </row>
    <row r="222" customFormat="false" ht="15.75" hidden="false" customHeight="false" outlineLevel="0" collapsed="false">
      <c r="A222" s="118" t="n">
        <f aca="false">'🤖 Command R+'!$A$57</f>
        <v>0</v>
      </c>
      <c r="B222" s="4" t="s">
        <v>21</v>
      </c>
      <c r="C222" s="119" t="str">
        <f aca="false">'🤖 Command R+'!C57</f>
        <v>Base</v>
      </c>
      <c r="D222" s="159" t="n">
        <f aca="false">'🤖 Command R+'!E57</f>
        <v>0.004761904762</v>
      </c>
      <c r="E222" s="119" t="n">
        <f aca="false">'🤖 Command R+'!F57</f>
        <v>0</v>
      </c>
      <c r="F222" s="119" t="n">
        <f aca="false">'🤖 Command R+'!G57</f>
        <v>0</v>
      </c>
      <c r="G222" s="119" t="n">
        <f aca="false">'🤖 Command R+'!H57</f>
        <v>0</v>
      </c>
      <c r="H222" s="119" t="n">
        <f aca="false">'🤖 Command R+'!I57</f>
        <v>0</v>
      </c>
      <c r="I222" s="119" t="n">
        <f aca="false">'🤖 Command R+'!J57</f>
        <v>0</v>
      </c>
    </row>
    <row r="223" customFormat="false" ht="15.75" hidden="false" customHeight="false" outlineLevel="0" collapsed="false">
      <c r="A223" s="118" t="n">
        <f aca="false">'🤖 Command R+'!$A$57</f>
        <v>0</v>
      </c>
      <c r="B223" s="4" t="s">
        <v>21</v>
      </c>
      <c r="C223" s="119" t="str">
        <f aca="false">'🤖 Command R+'!C58</f>
        <v>CoT</v>
      </c>
      <c r="D223" s="159" t="n">
        <f aca="false">'🤖 Command R+'!E58</f>
        <v>0.004761904762</v>
      </c>
      <c r="E223" s="119" t="n">
        <f aca="false">'🤖 Command R+'!F58</f>
        <v>0</v>
      </c>
      <c r="F223" s="119" t="n">
        <f aca="false">'🤖 Command R+'!G58</f>
        <v>0</v>
      </c>
      <c r="G223" s="119" t="n">
        <f aca="false">'🤖 Command R+'!H58</f>
        <v>0</v>
      </c>
      <c r="H223" s="119" t="n">
        <f aca="false">'🤖 Command R+'!I58</f>
        <v>0</v>
      </c>
      <c r="I223" s="119" t="n">
        <f aca="false">'🤖 Command R+'!J58</f>
        <v>0</v>
      </c>
    </row>
    <row r="224" customFormat="false" ht="15.75" hidden="false" customHeight="false" outlineLevel="0" collapsed="false">
      <c r="A224" s="118" t="n">
        <f aca="false">'🤖 Command R+'!$A$57</f>
        <v>0</v>
      </c>
      <c r="B224" s="4" t="s">
        <v>21</v>
      </c>
      <c r="C224" s="119" t="str">
        <f aca="false">'🤖 Command R+'!C59</f>
        <v>5W1H</v>
      </c>
      <c r="D224" s="159" t="n">
        <f aca="false">'🤖 Command R+'!E59</f>
        <v>0.004761904762</v>
      </c>
      <c r="E224" s="119" t="n">
        <f aca="false">'🤖 Command R+'!F59</f>
        <v>0</v>
      </c>
      <c r="F224" s="119" t="n">
        <f aca="false">'🤖 Command R+'!G59</f>
        <v>0</v>
      </c>
      <c r="G224" s="119" t="n">
        <f aca="false">'🤖 Command R+'!H59</f>
        <v>0</v>
      </c>
      <c r="H224" s="119" t="n">
        <f aca="false">'🤖 Command R+'!I59</f>
        <v>0</v>
      </c>
      <c r="I224" s="119" t="n">
        <f aca="false">'🤖 Command R+'!J59</f>
        <v>0</v>
      </c>
    </row>
    <row r="225" customFormat="false" ht="15.75" hidden="false" customHeight="false" outlineLevel="0" collapsed="false">
      <c r="A225" s="118" t="n">
        <f aca="false">'🤖 Command R+'!$A$57</f>
        <v>0</v>
      </c>
      <c r="B225" s="4" t="s">
        <v>21</v>
      </c>
      <c r="C225" s="119" t="str">
        <f aca="false">'🤖 Command R+'!C60</f>
        <v>tldr</v>
      </c>
      <c r="D225" s="159" t="n">
        <f aca="false">'🤖 Command R+'!E60</f>
        <v>0.004761904762</v>
      </c>
      <c r="E225" s="119" t="n">
        <f aca="false">'🤖 Command R+'!F60</f>
        <v>0</v>
      </c>
      <c r="F225" s="119" t="n">
        <f aca="false">'🤖 Command R+'!G60</f>
        <v>0</v>
      </c>
      <c r="G225" s="119" t="n">
        <f aca="false">'🤖 Command R+'!H60</f>
        <v>0</v>
      </c>
      <c r="H225" s="119" t="n">
        <f aca="false">'🤖 Command R+'!I60</f>
        <v>0</v>
      </c>
      <c r="I225" s="119" t="n">
        <f aca="false">'🤖 Command R+'!J60</f>
        <v>0</v>
      </c>
    </row>
    <row r="226" customFormat="false" ht="15.75" hidden="false" customHeight="false" outlineLevel="0" collapsed="false">
      <c r="A226" s="118"/>
      <c r="B226" s="4"/>
      <c r="C226" s="6"/>
      <c r="D226" s="159"/>
      <c r="E226" s="6"/>
      <c r="F226" s="6"/>
      <c r="G226" s="6"/>
      <c r="H226" s="6"/>
      <c r="I226" s="6"/>
    </row>
    <row r="227" customFormat="false" ht="15.75" hidden="false" customHeight="false" outlineLevel="0" collapsed="false">
      <c r="A227" s="118" t="n">
        <f aca="false">'🤖 Command R+'!$A$62</f>
        <v>0</v>
      </c>
      <c r="B227" s="4" t="s">
        <v>21</v>
      </c>
      <c r="C227" s="119" t="str">
        <f aca="false">'🤖 Command R+'!C62</f>
        <v>Base</v>
      </c>
      <c r="D227" s="159" t="n">
        <f aca="false">'🤖 Command R+'!E62</f>
        <v>0.004761904762</v>
      </c>
      <c r="E227" s="119" t="n">
        <f aca="false">'🤖 Command R+'!F62</f>
        <v>0</v>
      </c>
      <c r="F227" s="119" t="n">
        <f aca="false">'🤖 Command R+'!G62</f>
        <v>0</v>
      </c>
      <c r="G227" s="119" t="n">
        <f aca="false">'🤖 Command R+'!H62</f>
        <v>0</v>
      </c>
      <c r="H227" s="119" t="n">
        <f aca="false">'🤖 Command R+'!I62</f>
        <v>0</v>
      </c>
      <c r="I227" s="119" t="n">
        <f aca="false">'🤖 Command R+'!J62</f>
        <v>0</v>
      </c>
    </row>
    <row r="228" customFormat="false" ht="15.75" hidden="false" customHeight="false" outlineLevel="0" collapsed="false">
      <c r="A228" s="118" t="n">
        <f aca="false">'🤖 Command R+'!$A$62</f>
        <v>0</v>
      </c>
      <c r="B228" s="4" t="s">
        <v>21</v>
      </c>
      <c r="C228" s="119" t="str">
        <f aca="false">'🤖 Command R+'!C63</f>
        <v>CoT</v>
      </c>
      <c r="D228" s="159" t="n">
        <f aca="false">'🤖 Command R+'!E63</f>
        <v>0.004761904762</v>
      </c>
      <c r="E228" s="119" t="n">
        <f aca="false">'🤖 Command R+'!F63</f>
        <v>0</v>
      </c>
      <c r="F228" s="119" t="n">
        <f aca="false">'🤖 Command R+'!G63</f>
        <v>0</v>
      </c>
      <c r="G228" s="119" t="n">
        <f aca="false">'🤖 Command R+'!H63</f>
        <v>0</v>
      </c>
      <c r="H228" s="119" t="n">
        <f aca="false">'🤖 Command R+'!I63</f>
        <v>0</v>
      </c>
      <c r="I228" s="119" t="n">
        <f aca="false">'🤖 Command R+'!J63</f>
        <v>0</v>
      </c>
    </row>
    <row r="229" customFormat="false" ht="15.75" hidden="false" customHeight="false" outlineLevel="0" collapsed="false">
      <c r="A229" s="118" t="n">
        <f aca="false">'🤖 Command R+'!$A$62</f>
        <v>0</v>
      </c>
      <c r="B229" s="4" t="s">
        <v>21</v>
      </c>
      <c r="C229" s="119" t="str">
        <f aca="false">'🤖 Command R+'!C64</f>
        <v>5W1H</v>
      </c>
      <c r="D229" s="159" t="n">
        <f aca="false">'🤖 Command R+'!E64</f>
        <v>0.004761904762</v>
      </c>
      <c r="E229" s="119" t="n">
        <f aca="false">'🤖 Command R+'!F64</f>
        <v>0</v>
      </c>
      <c r="F229" s="119" t="n">
        <f aca="false">'🤖 Command R+'!G64</f>
        <v>0</v>
      </c>
      <c r="G229" s="119" t="n">
        <f aca="false">'🤖 Command R+'!H64</f>
        <v>0</v>
      </c>
      <c r="H229" s="119" t="n">
        <f aca="false">'🤖 Command R+'!I64</f>
        <v>0</v>
      </c>
      <c r="I229" s="119" t="n">
        <f aca="false">'🤖 Command R+'!J64</f>
        <v>0</v>
      </c>
    </row>
    <row r="230" customFormat="false" ht="15.75" hidden="false" customHeight="false" outlineLevel="0" collapsed="false">
      <c r="A230" s="118" t="n">
        <f aca="false">'🤖 Command R+'!$A$62</f>
        <v>0</v>
      </c>
      <c r="B230" s="4" t="s">
        <v>21</v>
      </c>
      <c r="C230" s="119" t="str">
        <f aca="false">'🤖 Command R+'!C65</f>
        <v>tldr</v>
      </c>
      <c r="D230" s="159" t="n">
        <f aca="false">'🤖 Command R+'!E65</f>
        <v>0.004761904762</v>
      </c>
      <c r="E230" s="119" t="n">
        <f aca="false">'🤖 Command R+'!F65</f>
        <v>0</v>
      </c>
      <c r="F230" s="119" t="n">
        <f aca="false">'🤖 Command R+'!G65</f>
        <v>0</v>
      </c>
      <c r="G230" s="119" t="n">
        <f aca="false">'🤖 Command R+'!H65</f>
        <v>0</v>
      </c>
      <c r="H230" s="119" t="n">
        <f aca="false">'🤖 Command R+'!I65</f>
        <v>0</v>
      </c>
      <c r="I230" s="119" t="n">
        <f aca="false">'🤖 Command R+'!J65</f>
        <v>0</v>
      </c>
    </row>
    <row r="231" customFormat="false" ht="15.75" hidden="false" customHeight="false" outlineLevel="0" collapsed="false">
      <c r="A231" s="118"/>
      <c r="B231" s="4"/>
      <c r="C231" s="6"/>
      <c r="D231" s="159"/>
      <c r="E231" s="6"/>
      <c r="F231" s="6"/>
      <c r="G231" s="6"/>
      <c r="H231" s="6"/>
      <c r="I231" s="6"/>
    </row>
    <row r="232" customFormat="false" ht="15.75" hidden="false" customHeight="false" outlineLevel="0" collapsed="false">
      <c r="A232" s="118" t="n">
        <f aca="false">'🤖 Command R+'!$A$67</f>
        <v>0</v>
      </c>
      <c r="B232" s="4" t="s">
        <v>21</v>
      </c>
      <c r="C232" s="119" t="str">
        <f aca="false">'🤖 Command R+'!C67</f>
        <v>Base</v>
      </c>
      <c r="D232" s="159" t="n">
        <f aca="false">'🤖 Command R+'!E67</f>
        <v>0.004761904762</v>
      </c>
      <c r="E232" s="119" t="n">
        <f aca="false">'🤖 Command R+'!F67</f>
        <v>0</v>
      </c>
      <c r="F232" s="119" t="n">
        <f aca="false">'🤖 Command R+'!G67</f>
        <v>0</v>
      </c>
      <c r="G232" s="119" t="n">
        <f aca="false">'🤖 Command R+'!H67</f>
        <v>0</v>
      </c>
      <c r="H232" s="119" t="n">
        <f aca="false">'🤖 Command R+'!I67</f>
        <v>0</v>
      </c>
      <c r="I232" s="119" t="n">
        <f aca="false">'🤖 Command R+'!J67</f>
        <v>0</v>
      </c>
    </row>
    <row r="233" customFormat="false" ht="15.75" hidden="false" customHeight="false" outlineLevel="0" collapsed="false">
      <c r="A233" s="118" t="n">
        <f aca="false">'🤖 Command R+'!$A$67</f>
        <v>0</v>
      </c>
      <c r="B233" s="4" t="s">
        <v>21</v>
      </c>
      <c r="C233" s="119" t="str">
        <f aca="false">'🤖 Command R+'!C68</f>
        <v>CoT</v>
      </c>
      <c r="D233" s="159" t="n">
        <f aca="false">'🤖 Command R+'!E68</f>
        <v>0.004761904762</v>
      </c>
      <c r="E233" s="119" t="n">
        <f aca="false">'🤖 Command R+'!F68</f>
        <v>0</v>
      </c>
      <c r="F233" s="119" t="n">
        <f aca="false">'🤖 Command R+'!G68</f>
        <v>0</v>
      </c>
      <c r="G233" s="119" t="n">
        <f aca="false">'🤖 Command R+'!H68</f>
        <v>0</v>
      </c>
      <c r="H233" s="119" t="n">
        <f aca="false">'🤖 Command R+'!I68</f>
        <v>0</v>
      </c>
      <c r="I233" s="119" t="n">
        <f aca="false">'🤖 Command R+'!J68</f>
        <v>0</v>
      </c>
    </row>
    <row r="234" customFormat="false" ht="15.75" hidden="false" customHeight="false" outlineLevel="0" collapsed="false">
      <c r="A234" s="118" t="n">
        <f aca="false">'🤖 Command R+'!$A$67</f>
        <v>0</v>
      </c>
      <c r="B234" s="4" t="s">
        <v>21</v>
      </c>
      <c r="C234" s="119" t="str">
        <f aca="false">'🤖 Command R+'!C69</f>
        <v>5W1H</v>
      </c>
      <c r="D234" s="159" t="n">
        <f aca="false">'🤖 Command R+'!E69</f>
        <v>0.004761904762</v>
      </c>
      <c r="E234" s="119" t="n">
        <f aca="false">'🤖 Command R+'!F69</f>
        <v>0</v>
      </c>
      <c r="F234" s="119" t="n">
        <f aca="false">'🤖 Command R+'!G69</f>
        <v>0</v>
      </c>
      <c r="G234" s="119" t="n">
        <f aca="false">'🤖 Command R+'!H69</f>
        <v>0</v>
      </c>
      <c r="H234" s="119" t="n">
        <f aca="false">'🤖 Command R+'!I69</f>
        <v>0</v>
      </c>
      <c r="I234" s="119" t="n">
        <f aca="false">'🤖 Command R+'!J69</f>
        <v>0</v>
      </c>
    </row>
    <row r="235" customFormat="false" ht="15.75" hidden="false" customHeight="false" outlineLevel="0" collapsed="false">
      <c r="A235" s="118" t="n">
        <f aca="false">'🤖 Command R+'!$A$67</f>
        <v>0</v>
      </c>
      <c r="B235" s="4" t="s">
        <v>21</v>
      </c>
      <c r="C235" s="119" t="str">
        <f aca="false">'🤖 Command R+'!C70</f>
        <v>tldr</v>
      </c>
      <c r="D235" s="159" t="n">
        <f aca="false">'🤖 Command R+'!E70</f>
        <v>0.004761904762</v>
      </c>
      <c r="E235" s="119" t="n">
        <f aca="false">'🤖 Command R+'!F70</f>
        <v>0</v>
      </c>
      <c r="F235" s="119" t="n">
        <f aca="false">'🤖 Command R+'!G70</f>
        <v>0</v>
      </c>
      <c r="G235" s="119" t="n">
        <f aca="false">'🤖 Command R+'!H70</f>
        <v>0</v>
      </c>
      <c r="H235" s="119" t="n">
        <f aca="false">'🤖 Command R+'!I70</f>
        <v>0</v>
      </c>
      <c r="I235" s="119" t="n">
        <f aca="false">'🤖 Command R+'!J70</f>
        <v>0</v>
      </c>
    </row>
    <row r="236" customFormat="false" ht="15.75" hidden="false" customHeight="false" outlineLevel="0" collapsed="false">
      <c r="A236" s="118"/>
      <c r="B236" s="4"/>
      <c r="C236" s="6"/>
      <c r="D236" s="159"/>
      <c r="E236" s="6"/>
      <c r="F236" s="6"/>
      <c r="G236" s="6"/>
      <c r="H236" s="6"/>
      <c r="I236" s="6"/>
    </row>
    <row r="237" customFormat="false" ht="15.75" hidden="false" customHeight="false" outlineLevel="0" collapsed="false">
      <c r="A237" s="118" t="n">
        <f aca="false">'🤖 Command R+'!$A$72</f>
        <v>0</v>
      </c>
      <c r="B237" s="4" t="s">
        <v>21</v>
      </c>
      <c r="C237" s="119" t="str">
        <f aca="false">'🤖 Command R+'!C72</f>
        <v>Base</v>
      </c>
      <c r="D237" s="159" t="n">
        <f aca="false">'🤖 Command R+'!E72</f>
        <v>0.004761904762</v>
      </c>
      <c r="E237" s="119" t="n">
        <f aca="false">'🤖 Command R+'!F72</f>
        <v>0</v>
      </c>
      <c r="F237" s="119" t="n">
        <f aca="false">'🤖 Command R+'!G72</f>
        <v>0</v>
      </c>
      <c r="G237" s="119" t="n">
        <f aca="false">'🤖 Command R+'!H72</f>
        <v>0</v>
      </c>
      <c r="H237" s="119" t="n">
        <f aca="false">'🤖 Command R+'!I72</f>
        <v>0</v>
      </c>
      <c r="I237" s="119" t="n">
        <f aca="false">'🤖 Command R+'!J72</f>
        <v>0</v>
      </c>
    </row>
    <row r="238" customFormat="false" ht="15.75" hidden="false" customHeight="false" outlineLevel="0" collapsed="false">
      <c r="A238" s="118" t="n">
        <f aca="false">'🤖 Command R+'!$A$72</f>
        <v>0</v>
      </c>
      <c r="B238" s="4" t="s">
        <v>21</v>
      </c>
      <c r="C238" s="119" t="str">
        <f aca="false">'🤖 Command R+'!C73</f>
        <v>CoT</v>
      </c>
      <c r="D238" s="159" t="n">
        <f aca="false">'🤖 Command R+'!E73</f>
        <v>0.004761904762</v>
      </c>
      <c r="E238" s="119" t="n">
        <f aca="false">'🤖 Command R+'!F73</f>
        <v>0</v>
      </c>
      <c r="F238" s="119" t="n">
        <f aca="false">'🤖 Command R+'!G73</f>
        <v>0</v>
      </c>
      <c r="G238" s="119" t="n">
        <f aca="false">'🤖 Command R+'!H73</f>
        <v>0</v>
      </c>
      <c r="H238" s="119" t="n">
        <f aca="false">'🤖 Command R+'!I73</f>
        <v>0</v>
      </c>
      <c r="I238" s="119" t="n">
        <f aca="false">'🤖 Command R+'!J73</f>
        <v>0</v>
      </c>
    </row>
    <row r="239" customFormat="false" ht="15.75" hidden="false" customHeight="false" outlineLevel="0" collapsed="false">
      <c r="A239" s="118" t="n">
        <f aca="false">'🤖 Command R+'!$A$72</f>
        <v>0</v>
      </c>
      <c r="B239" s="4" t="s">
        <v>21</v>
      </c>
      <c r="C239" s="119" t="str">
        <f aca="false">'🤖 Command R+'!C74</f>
        <v>5W1H</v>
      </c>
      <c r="D239" s="159" t="n">
        <f aca="false">'🤖 Command R+'!E74</f>
        <v>0.004761904762</v>
      </c>
      <c r="E239" s="119" t="n">
        <f aca="false">'🤖 Command R+'!F74</f>
        <v>0</v>
      </c>
      <c r="F239" s="119" t="n">
        <f aca="false">'🤖 Command R+'!G74</f>
        <v>0</v>
      </c>
      <c r="G239" s="119" t="n">
        <f aca="false">'🤖 Command R+'!H74</f>
        <v>0</v>
      </c>
      <c r="H239" s="119" t="n">
        <f aca="false">'🤖 Command R+'!I74</f>
        <v>0</v>
      </c>
      <c r="I239" s="119" t="n">
        <f aca="false">'🤖 Command R+'!J74</f>
        <v>0</v>
      </c>
    </row>
    <row r="240" customFormat="false" ht="15.75" hidden="false" customHeight="false" outlineLevel="0" collapsed="false">
      <c r="A240" s="118" t="n">
        <f aca="false">'🤖 Command R+'!$A$72</f>
        <v>0</v>
      </c>
      <c r="B240" s="4" t="s">
        <v>21</v>
      </c>
      <c r="C240" s="119" t="str">
        <f aca="false">'🤖 Command R+'!C75</f>
        <v>tldr</v>
      </c>
      <c r="D240" s="159" t="n">
        <f aca="false">'🤖 Command R+'!E75</f>
        <v>0.004761904762</v>
      </c>
      <c r="E240" s="119" t="n">
        <f aca="false">'🤖 Command R+'!F75</f>
        <v>0</v>
      </c>
      <c r="F240" s="119" t="n">
        <f aca="false">'🤖 Command R+'!G75</f>
        <v>0</v>
      </c>
      <c r="G240" s="119" t="n">
        <f aca="false">'🤖 Command R+'!H75</f>
        <v>0</v>
      </c>
      <c r="H240" s="119" t="n">
        <f aca="false">'🤖 Command R+'!I75</f>
        <v>0</v>
      </c>
      <c r="I240" s="119" t="n">
        <f aca="false">'🤖 Command R+'!J75</f>
        <v>0</v>
      </c>
    </row>
    <row r="241" customFormat="false" ht="15.75" hidden="false" customHeight="false" outlineLevel="0" collapsed="false">
      <c r="A241" s="118"/>
      <c r="B241" s="4"/>
      <c r="C241" s="6"/>
      <c r="D241" s="159"/>
      <c r="E241" s="6"/>
      <c r="F241" s="6"/>
      <c r="G241" s="6"/>
      <c r="H241" s="6"/>
      <c r="I241" s="6"/>
    </row>
    <row r="242" customFormat="false" ht="15.75" hidden="false" customHeight="false" outlineLevel="0" collapsed="false">
      <c r="A242" s="118" t="n">
        <f aca="false">'🤖 Command R+'!$A$77</f>
        <v>0</v>
      </c>
      <c r="B242" s="4" t="s">
        <v>21</v>
      </c>
      <c r="C242" s="119" t="str">
        <f aca="false">'🤖 Command R+'!C77</f>
        <v>Base</v>
      </c>
      <c r="D242" s="159" t="n">
        <f aca="false">'🤖 Command R+'!E77</f>
        <v>0.004761904762</v>
      </c>
      <c r="E242" s="119" t="n">
        <f aca="false">'🤖 Command R+'!F77</f>
        <v>0</v>
      </c>
      <c r="F242" s="119" t="n">
        <f aca="false">'🤖 Command R+'!G77</f>
        <v>0</v>
      </c>
      <c r="G242" s="119" t="n">
        <f aca="false">'🤖 Command R+'!H77</f>
        <v>0</v>
      </c>
      <c r="H242" s="119" t="n">
        <f aca="false">'🤖 Command R+'!I77</f>
        <v>0</v>
      </c>
      <c r="I242" s="119" t="n">
        <f aca="false">'🤖 Command R+'!J77</f>
        <v>0</v>
      </c>
    </row>
    <row r="243" customFormat="false" ht="15.75" hidden="false" customHeight="false" outlineLevel="0" collapsed="false">
      <c r="A243" s="118" t="n">
        <f aca="false">'🤖 Command R+'!$A$77</f>
        <v>0</v>
      </c>
      <c r="B243" s="4" t="s">
        <v>21</v>
      </c>
      <c r="C243" s="119" t="str">
        <f aca="false">'🤖 Command R+'!C78</f>
        <v>CoT</v>
      </c>
      <c r="D243" s="159" t="n">
        <f aca="false">'🤖 Command R+'!E78</f>
        <v>0.004761904762</v>
      </c>
      <c r="E243" s="119" t="n">
        <f aca="false">'🤖 Command R+'!F78</f>
        <v>0</v>
      </c>
      <c r="F243" s="119" t="n">
        <f aca="false">'🤖 Command R+'!G78</f>
        <v>0</v>
      </c>
      <c r="G243" s="119" t="n">
        <f aca="false">'🤖 Command R+'!H78</f>
        <v>0</v>
      </c>
      <c r="H243" s="119" t="n">
        <f aca="false">'🤖 Command R+'!I78</f>
        <v>0</v>
      </c>
      <c r="I243" s="119" t="n">
        <f aca="false">'🤖 Command R+'!J78</f>
        <v>0</v>
      </c>
    </row>
    <row r="244" customFormat="false" ht="15.75" hidden="false" customHeight="false" outlineLevel="0" collapsed="false">
      <c r="A244" s="118" t="n">
        <f aca="false">'🤖 Command R+'!$A$77</f>
        <v>0</v>
      </c>
      <c r="B244" s="4" t="s">
        <v>21</v>
      </c>
      <c r="C244" s="119" t="str">
        <f aca="false">'🤖 Command R+'!C79</f>
        <v>5W1H</v>
      </c>
      <c r="D244" s="159" t="n">
        <f aca="false">'🤖 Command R+'!E79</f>
        <v>0.004761904762</v>
      </c>
      <c r="E244" s="119" t="n">
        <f aca="false">'🤖 Command R+'!F79</f>
        <v>0</v>
      </c>
      <c r="F244" s="119" t="n">
        <f aca="false">'🤖 Command R+'!G79</f>
        <v>0</v>
      </c>
      <c r="G244" s="119" t="n">
        <f aca="false">'🤖 Command R+'!H79</f>
        <v>0</v>
      </c>
      <c r="H244" s="119" t="n">
        <f aca="false">'🤖 Command R+'!I79</f>
        <v>0</v>
      </c>
      <c r="I244" s="119" t="n">
        <f aca="false">'🤖 Command R+'!J79</f>
        <v>0</v>
      </c>
    </row>
    <row r="245" customFormat="false" ht="15.75" hidden="false" customHeight="false" outlineLevel="0" collapsed="false">
      <c r="A245" s="118" t="n">
        <f aca="false">'🤖 Command R+'!$A$77</f>
        <v>0</v>
      </c>
      <c r="B245" s="4" t="s">
        <v>21</v>
      </c>
      <c r="C245" s="119" t="str">
        <f aca="false">'🤖 Command R+'!C80</f>
        <v>tldr</v>
      </c>
      <c r="D245" s="159" t="n">
        <f aca="false">'🤖 Command R+'!E80</f>
        <v>0.004761904762</v>
      </c>
      <c r="E245" s="119" t="n">
        <f aca="false">'🤖 Command R+'!F80</f>
        <v>0</v>
      </c>
      <c r="F245" s="119" t="n">
        <f aca="false">'🤖 Command R+'!G80</f>
        <v>0</v>
      </c>
      <c r="G245" s="119" t="n">
        <f aca="false">'🤖 Command R+'!H80</f>
        <v>0</v>
      </c>
      <c r="H245" s="119" t="n">
        <f aca="false">'🤖 Command R+'!I80</f>
        <v>0</v>
      </c>
      <c r="I245" s="119" t="n">
        <f aca="false">'🤖 Command R+'!J80</f>
        <v>0</v>
      </c>
    </row>
    <row r="246" customFormat="false" ht="15.75" hidden="false" customHeight="false" outlineLevel="0" collapsed="false">
      <c r="A246" s="118"/>
      <c r="B246" s="4"/>
      <c r="C246" s="6"/>
      <c r="D246" s="159"/>
      <c r="E246" s="6"/>
      <c r="F246" s="6"/>
      <c r="G246" s="6"/>
      <c r="H246" s="6"/>
      <c r="I246" s="6"/>
    </row>
    <row r="247" customFormat="false" ht="15.75" hidden="false" customHeight="false" outlineLevel="0" collapsed="false">
      <c r="A247" s="118" t="n">
        <f aca="false">'🤖 Command R+'!$A$82</f>
        <v>0</v>
      </c>
      <c r="B247" s="4" t="s">
        <v>21</v>
      </c>
      <c r="C247" s="119" t="str">
        <f aca="false">'🤖 Command R+'!C82</f>
        <v>Base</v>
      </c>
      <c r="D247" s="159" t="n">
        <f aca="false">'🤖 Command R+'!E82</f>
        <v>0.004761904762</v>
      </c>
      <c r="E247" s="119" t="n">
        <f aca="false">'🤖 Command R+'!F82</f>
        <v>0</v>
      </c>
      <c r="F247" s="119" t="n">
        <f aca="false">'🤖 Command R+'!G82</f>
        <v>0</v>
      </c>
      <c r="G247" s="119" t="n">
        <f aca="false">'🤖 Command R+'!H82</f>
        <v>0</v>
      </c>
      <c r="H247" s="119" t="n">
        <f aca="false">'🤖 Command R+'!I82</f>
        <v>0</v>
      </c>
      <c r="I247" s="119" t="n">
        <f aca="false">'🤖 Command R+'!J82</f>
        <v>0</v>
      </c>
    </row>
    <row r="248" customFormat="false" ht="15.75" hidden="false" customHeight="false" outlineLevel="0" collapsed="false">
      <c r="A248" s="118" t="n">
        <f aca="false">'🤖 Command R+'!$A$82</f>
        <v>0</v>
      </c>
      <c r="B248" s="4" t="s">
        <v>21</v>
      </c>
      <c r="C248" s="119" t="str">
        <f aca="false">'🤖 Command R+'!C83</f>
        <v>CoT</v>
      </c>
      <c r="D248" s="159" t="n">
        <f aca="false">'🤖 Command R+'!E83</f>
        <v>0.004761904762</v>
      </c>
      <c r="E248" s="119" t="n">
        <f aca="false">'🤖 Command R+'!F83</f>
        <v>0</v>
      </c>
      <c r="F248" s="119" t="n">
        <f aca="false">'🤖 Command R+'!G83</f>
        <v>0</v>
      </c>
      <c r="G248" s="119" t="n">
        <f aca="false">'🤖 Command R+'!H83</f>
        <v>0</v>
      </c>
      <c r="H248" s="119" t="n">
        <f aca="false">'🤖 Command R+'!I83</f>
        <v>0</v>
      </c>
      <c r="I248" s="119" t="n">
        <f aca="false">'🤖 Command R+'!J83</f>
        <v>0</v>
      </c>
    </row>
    <row r="249" customFormat="false" ht="15.75" hidden="false" customHeight="false" outlineLevel="0" collapsed="false">
      <c r="A249" s="118" t="n">
        <f aca="false">'🤖 Command R+'!$A$82</f>
        <v>0</v>
      </c>
      <c r="B249" s="4" t="s">
        <v>21</v>
      </c>
      <c r="C249" s="119" t="str">
        <f aca="false">'🤖 Command R+'!C84</f>
        <v>5W1H</v>
      </c>
      <c r="D249" s="159" t="n">
        <f aca="false">'🤖 Command R+'!E84</f>
        <v>0.004761904762</v>
      </c>
      <c r="E249" s="119" t="n">
        <f aca="false">'🤖 Command R+'!F84</f>
        <v>0</v>
      </c>
      <c r="F249" s="119" t="n">
        <f aca="false">'🤖 Command R+'!G84</f>
        <v>0</v>
      </c>
      <c r="G249" s="119" t="n">
        <f aca="false">'🤖 Command R+'!H84</f>
        <v>0</v>
      </c>
      <c r="H249" s="119" t="n">
        <f aca="false">'🤖 Command R+'!I84</f>
        <v>0</v>
      </c>
      <c r="I249" s="119" t="n">
        <f aca="false">'🤖 Command R+'!J84</f>
        <v>0</v>
      </c>
    </row>
    <row r="250" customFormat="false" ht="15.75" hidden="false" customHeight="false" outlineLevel="0" collapsed="false">
      <c r="A250" s="118" t="n">
        <f aca="false">'🤖 Command R+'!$A$82</f>
        <v>0</v>
      </c>
      <c r="B250" s="4" t="s">
        <v>21</v>
      </c>
      <c r="C250" s="119" t="str">
        <f aca="false">'🤖 Command R+'!C85</f>
        <v>tldr</v>
      </c>
      <c r="D250" s="159" t="n">
        <f aca="false">'🤖 Command R+'!E85</f>
        <v>0.004761904762</v>
      </c>
      <c r="E250" s="119" t="n">
        <f aca="false">'🤖 Command R+'!F85</f>
        <v>0</v>
      </c>
      <c r="F250" s="119" t="n">
        <f aca="false">'🤖 Command R+'!G85</f>
        <v>0</v>
      </c>
      <c r="G250" s="119" t="n">
        <f aca="false">'🤖 Command R+'!H85</f>
        <v>0</v>
      </c>
      <c r="H250" s="119" t="n">
        <f aca="false">'🤖 Command R+'!I85</f>
        <v>0</v>
      </c>
      <c r="I250" s="119" t="n">
        <f aca="false">'🤖 Command R+'!J85</f>
        <v>0</v>
      </c>
    </row>
    <row r="251" customFormat="false" ht="15.75" hidden="false" customHeight="false" outlineLevel="0" collapsed="false">
      <c r="A251" s="118"/>
      <c r="B251" s="4"/>
      <c r="C251" s="6"/>
      <c r="D251" s="159"/>
      <c r="E251" s="6"/>
      <c r="F251" s="6"/>
      <c r="G251" s="6"/>
      <c r="H251" s="6"/>
      <c r="I251" s="6"/>
    </row>
    <row r="252" customFormat="false" ht="15.75" hidden="false" customHeight="false" outlineLevel="0" collapsed="false">
      <c r="A252" s="118" t="n">
        <f aca="false">'🤖 Command R+'!$A$87</f>
        <v>0</v>
      </c>
      <c r="B252" s="4" t="s">
        <v>21</v>
      </c>
      <c r="C252" s="119" t="str">
        <f aca="false">'🤖 Command R+'!C87</f>
        <v>Base</v>
      </c>
      <c r="D252" s="159" t="n">
        <f aca="false">'🤖 Command R+'!E87</f>
        <v>0.004761904762</v>
      </c>
      <c r="E252" s="119" t="n">
        <f aca="false">'🤖 Command R+'!F87</f>
        <v>0</v>
      </c>
      <c r="F252" s="119" t="n">
        <f aca="false">'🤖 Command R+'!G87</f>
        <v>0</v>
      </c>
      <c r="G252" s="119" t="n">
        <f aca="false">'🤖 Command R+'!H87</f>
        <v>0</v>
      </c>
      <c r="H252" s="119" t="n">
        <f aca="false">'🤖 Command R+'!I87</f>
        <v>0</v>
      </c>
      <c r="I252" s="119" t="n">
        <f aca="false">'🤖 Command R+'!J87</f>
        <v>0</v>
      </c>
    </row>
    <row r="253" customFormat="false" ht="15.75" hidden="false" customHeight="false" outlineLevel="0" collapsed="false">
      <c r="A253" s="118" t="n">
        <f aca="false">'🤖 Command R+'!$A$87</f>
        <v>0</v>
      </c>
      <c r="B253" s="4" t="s">
        <v>21</v>
      </c>
      <c r="C253" s="119" t="str">
        <f aca="false">'🤖 Command R+'!C88</f>
        <v>CoT</v>
      </c>
      <c r="D253" s="159" t="n">
        <f aca="false">'🤖 Command R+'!E88</f>
        <v>0.004761904762</v>
      </c>
      <c r="E253" s="119" t="n">
        <f aca="false">'🤖 Command R+'!F88</f>
        <v>0</v>
      </c>
      <c r="F253" s="119" t="n">
        <f aca="false">'🤖 Command R+'!G88</f>
        <v>0</v>
      </c>
      <c r="G253" s="119" t="n">
        <f aca="false">'🤖 Command R+'!H88</f>
        <v>0</v>
      </c>
      <c r="H253" s="119" t="n">
        <f aca="false">'🤖 Command R+'!I88</f>
        <v>0</v>
      </c>
      <c r="I253" s="119" t="n">
        <f aca="false">'🤖 Command R+'!J88</f>
        <v>0</v>
      </c>
    </row>
    <row r="254" customFormat="false" ht="15.75" hidden="false" customHeight="false" outlineLevel="0" collapsed="false">
      <c r="A254" s="118" t="n">
        <f aca="false">'🤖 Command R+'!$A$87</f>
        <v>0</v>
      </c>
      <c r="B254" s="4" t="s">
        <v>21</v>
      </c>
      <c r="C254" s="119" t="str">
        <f aca="false">'🤖 Command R+'!C89</f>
        <v>5W1H</v>
      </c>
      <c r="D254" s="159" t="n">
        <f aca="false">'🤖 Command R+'!E89</f>
        <v>0.004761904762</v>
      </c>
      <c r="E254" s="119" t="n">
        <f aca="false">'🤖 Command R+'!F89</f>
        <v>0</v>
      </c>
      <c r="F254" s="119" t="n">
        <f aca="false">'🤖 Command R+'!G89</f>
        <v>0</v>
      </c>
      <c r="G254" s="119" t="n">
        <f aca="false">'🤖 Command R+'!H89</f>
        <v>0</v>
      </c>
      <c r="H254" s="119" t="n">
        <f aca="false">'🤖 Command R+'!I89</f>
        <v>0</v>
      </c>
      <c r="I254" s="119" t="n">
        <f aca="false">'🤖 Command R+'!J89</f>
        <v>0</v>
      </c>
    </row>
    <row r="255" customFormat="false" ht="15.75" hidden="false" customHeight="false" outlineLevel="0" collapsed="false">
      <c r="A255" s="118" t="n">
        <f aca="false">'🤖 Command R+'!$A$87</f>
        <v>0</v>
      </c>
      <c r="B255" s="4" t="s">
        <v>21</v>
      </c>
      <c r="C255" s="119" t="str">
        <f aca="false">'🤖 Command R+'!C90</f>
        <v>tldr</v>
      </c>
      <c r="D255" s="159" t="n">
        <f aca="false">'🤖 Command R+'!E90</f>
        <v>0.004761904762</v>
      </c>
      <c r="E255" s="119" t="n">
        <f aca="false">'🤖 Command R+'!F90</f>
        <v>0</v>
      </c>
      <c r="F255" s="119" t="n">
        <f aca="false">'🤖 Command R+'!G90</f>
        <v>0</v>
      </c>
      <c r="G255" s="119" t="n">
        <f aca="false">'🤖 Command R+'!H90</f>
        <v>0</v>
      </c>
      <c r="H255" s="119" t="n">
        <f aca="false">'🤖 Command R+'!I90</f>
        <v>0</v>
      </c>
      <c r="I255" s="119" t="n">
        <f aca="false">'🤖 Command R+'!J90</f>
        <v>0</v>
      </c>
    </row>
    <row r="256" customFormat="false" ht="15.75" hidden="false" customHeight="false" outlineLevel="0" collapsed="false">
      <c r="A256" s="118"/>
      <c r="B256" s="4"/>
      <c r="C256" s="6"/>
      <c r="D256" s="159"/>
      <c r="E256" s="6"/>
      <c r="F256" s="6"/>
      <c r="G256" s="6"/>
      <c r="H256" s="6"/>
      <c r="I256" s="6"/>
    </row>
    <row r="257" customFormat="false" ht="15.75" hidden="false" customHeight="false" outlineLevel="0" collapsed="false">
      <c r="A257" s="118" t="n">
        <f aca="false">'🤖 Command R+'!$A$92</f>
        <v>0</v>
      </c>
      <c r="B257" s="4" t="s">
        <v>21</v>
      </c>
      <c r="C257" s="119" t="str">
        <f aca="false">'🤖 Command R+'!C92</f>
        <v>Base</v>
      </c>
      <c r="D257" s="159" t="n">
        <f aca="false">'🤖 Command R+'!E92</f>
        <v>0.004761904762</v>
      </c>
      <c r="E257" s="119" t="n">
        <f aca="false">'🤖 Command R+'!F92</f>
        <v>0</v>
      </c>
      <c r="F257" s="119" t="n">
        <f aca="false">'🤖 Command R+'!G92</f>
        <v>0</v>
      </c>
      <c r="G257" s="119" t="n">
        <f aca="false">'🤖 Command R+'!H92</f>
        <v>0</v>
      </c>
      <c r="H257" s="119" t="n">
        <f aca="false">'🤖 Command R+'!I92</f>
        <v>0</v>
      </c>
      <c r="I257" s="119" t="n">
        <f aca="false">'🤖 Command R+'!J92</f>
        <v>0</v>
      </c>
    </row>
    <row r="258" customFormat="false" ht="15.75" hidden="false" customHeight="false" outlineLevel="0" collapsed="false">
      <c r="A258" s="118" t="n">
        <f aca="false">'🤖 Command R+'!$A$92</f>
        <v>0</v>
      </c>
      <c r="B258" s="4" t="s">
        <v>21</v>
      </c>
      <c r="C258" s="119" t="str">
        <f aca="false">'🤖 Command R+'!C93</f>
        <v>CoT</v>
      </c>
      <c r="D258" s="159" t="n">
        <f aca="false">'🤖 Command R+'!E93</f>
        <v>0.004761904762</v>
      </c>
      <c r="E258" s="119" t="n">
        <f aca="false">'🤖 Command R+'!F93</f>
        <v>0</v>
      </c>
      <c r="F258" s="119" t="n">
        <f aca="false">'🤖 Command R+'!G93</f>
        <v>0</v>
      </c>
      <c r="G258" s="119" t="n">
        <f aca="false">'🤖 Command R+'!H93</f>
        <v>0</v>
      </c>
      <c r="H258" s="119" t="n">
        <f aca="false">'🤖 Command R+'!I93</f>
        <v>0</v>
      </c>
      <c r="I258" s="119" t="n">
        <f aca="false">'🤖 Command R+'!J93</f>
        <v>0</v>
      </c>
    </row>
    <row r="259" customFormat="false" ht="15.75" hidden="false" customHeight="false" outlineLevel="0" collapsed="false">
      <c r="A259" s="118" t="n">
        <f aca="false">'🤖 Command R+'!$A$92</f>
        <v>0</v>
      </c>
      <c r="B259" s="4" t="s">
        <v>21</v>
      </c>
      <c r="C259" s="119" t="str">
        <f aca="false">'🤖 Command R+'!C94</f>
        <v>5W1H</v>
      </c>
      <c r="D259" s="159" t="n">
        <f aca="false">'🤖 Command R+'!E94</f>
        <v>0.004761904762</v>
      </c>
      <c r="E259" s="119" t="n">
        <f aca="false">'🤖 Command R+'!F94</f>
        <v>0</v>
      </c>
      <c r="F259" s="119" t="n">
        <f aca="false">'🤖 Command R+'!G94</f>
        <v>0</v>
      </c>
      <c r="G259" s="119" t="n">
        <f aca="false">'🤖 Command R+'!H94</f>
        <v>0</v>
      </c>
      <c r="H259" s="119" t="n">
        <f aca="false">'🤖 Command R+'!I94</f>
        <v>0</v>
      </c>
      <c r="I259" s="119" t="n">
        <f aca="false">'🤖 Command R+'!J94</f>
        <v>0</v>
      </c>
    </row>
    <row r="260" customFormat="false" ht="15.75" hidden="false" customHeight="false" outlineLevel="0" collapsed="false">
      <c r="A260" s="118" t="n">
        <f aca="false">'🤖 Command R+'!$A$92</f>
        <v>0</v>
      </c>
      <c r="B260" s="4" t="s">
        <v>21</v>
      </c>
      <c r="C260" s="119" t="str">
        <f aca="false">'🤖 Command R+'!C95</f>
        <v>tldr</v>
      </c>
      <c r="D260" s="159" t="n">
        <f aca="false">'🤖 Command R+'!E95</f>
        <v>0.004761904762</v>
      </c>
      <c r="E260" s="119" t="n">
        <f aca="false">'🤖 Command R+'!F95</f>
        <v>0</v>
      </c>
      <c r="F260" s="119" t="n">
        <f aca="false">'🤖 Command R+'!G95</f>
        <v>0</v>
      </c>
      <c r="G260" s="119" t="n">
        <f aca="false">'🤖 Command R+'!H95</f>
        <v>0</v>
      </c>
      <c r="H260" s="119" t="n">
        <f aca="false">'🤖 Command R+'!I95</f>
        <v>0</v>
      </c>
      <c r="I260" s="119" t="n">
        <f aca="false">'🤖 Command R+'!J95</f>
        <v>0</v>
      </c>
    </row>
    <row r="261" customFormat="false" ht="15.75" hidden="false" customHeight="false" outlineLevel="0" collapsed="false">
      <c r="A261" s="118"/>
      <c r="B261" s="4"/>
      <c r="C261" s="6"/>
      <c r="D261" s="159"/>
      <c r="E261" s="6"/>
      <c r="F261" s="6"/>
      <c r="G261" s="6"/>
      <c r="H261" s="6"/>
      <c r="I261" s="6"/>
    </row>
    <row r="262" customFormat="false" ht="15.75" hidden="false" customHeight="false" outlineLevel="0" collapsed="false">
      <c r="A262" s="118" t="n">
        <f aca="false">'🤖 Command R+'!$A$97</f>
        <v>0</v>
      </c>
      <c r="B262" s="4" t="s">
        <v>21</v>
      </c>
      <c r="C262" s="119" t="str">
        <f aca="false">'🤖 Command R+'!C97</f>
        <v>Base</v>
      </c>
      <c r="D262" s="159" t="n">
        <f aca="false">'🤖 Command R+'!E97</f>
        <v>0.004761904762</v>
      </c>
      <c r="E262" s="119" t="n">
        <f aca="false">'🤖 Command R+'!F97</f>
        <v>0</v>
      </c>
      <c r="F262" s="119" t="n">
        <f aca="false">'🤖 Command R+'!G97</f>
        <v>0</v>
      </c>
      <c r="G262" s="119" t="n">
        <f aca="false">'🤖 Command R+'!H97</f>
        <v>0</v>
      </c>
      <c r="H262" s="119" t="n">
        <f aca="false">'🤖 Command R+'!I97</f>
        <v>0</v>
      </c>
      <c r="I262" s="119" t="n">
        <f aca="false">'🤖 Command R+'!J97</f>
        <v>0</v>
      </c>
    </row>
    <row r="263" customFormat="false" ht="15.75" hidden="false" customHeight="false" outlineLevel="0" collapsed="false">
      <c r="A263" s="118" t="n">
        <f aca="false">'🤖 Command R+'!$A$97</f>
        <v>0</v>
      </c>
      <c r="B263" s="4" t="s">
        <v>21</v>
      </c>
      <c r="C263" s="119" t="str">
        <f aca="false">'🤖 Command R+'!C98</f>
        <v>CoT</v>
      </c>
      <c r="D263" s="159" t="n">
        <f aca="false">'🤖 Command R+'!E98</f>
        <v>0.004761904762</v>
      </c>
      <c r="E263" s="119" t="n">
        <f aca="false">'🤖 Command R+'!F98</f>
        <v>0</v>
      </c>
      <c r="F263" s="119" t="n">
        <f aca="false">'🤖 Command R+'!G98</f>
        <v>0</v>
      </c>
      <c r="G263" s="119" t="n">
        <f aca="false">'🤖 Command R+'!H98</f>
        <v>0</v>
      </c>
      <c r="H263" s="119" t="n">
        <f aca="false">'🤖 Command R+'!I98</f>
        <v>0</v>
      </c>
      <c r="I263" s="119" t="n">
        <f aca="false">'🤖 Command R+'!J98</f>
        <v>0</v>
      </c>
    </row>
    <row r="264" customFormat="false" ht="15.75" hidden="false" customHeight="false" outlineLevel="0" collapsed="false">
      <c r="A264" s="118" t="n">
        <f aca="false">'🤖 Command R+'!$A$97</f>
        <v>0</v>
      </c>
      <c r="B264" s="4" t="s">
        <v>21</v>
      </c>
      <c r="C264" s="119" t="str">
        <f aca="false">'🤖 Command R+'!C99</f>
        <v>5W1H</v>
      </c>
      <c r="D264" s="159" t="n">
        <f aca="false">'🤖 Command R+'!E99</f>
        <v>0.004761904762</v>
      </c>
      <c r="E264" s="119" t="n">
        <f aca="false">'🤖 Command R+'!F99</f>
        <v>0</v>
      </c>
      <c r="F264" s="119" t="n">
        <f aca="false">'🤖 Command R+'!G99</f>
        <v>0</v>
      </c>
      <c r="G264" s="119" t="n">
        <f aca="false">'🤖 Command R+'!H99</f>
        <v>0</v>
      </c>
      <c r="H264" s="119" t="n">
        <f aca="false">'🤖 Command R+'!I99</f>
        <v>0</v>
      </c>
      <c r="I264" s="119" t="n">
        <f aca="false">'🤖 Command R+'!J99</f>
        <v>0</v>
      </c>
    </row>
    <row r="265" customFormat="false" ht="15.75" hidden="false" customHeight="false" outlineLevel="0" collapsed="false">
      <c r="A265" s="118" t="n">
        <f aca="false">'🤖 Command R+'!$A$97</f>
        <v>0</v>
      </c>
      <c r="B265" s="4" t="s">
        <v>21</v>
      </c>
      <c r="C265" s="119" t="str">
        <f aca="false">'🤖 Command R+'!C100</f>
        <v>tldr</v>
      </c>
      <c r="D265" s="159" t="n">
        <f aca="false">'🤖 Command R+'!E100</f>
        <v>0.004761904762</v>
      </c>
      <c r="E265" s="119" t="n">
        <f aca="false">'🤖 Command R+'!F100</f>
        <v>0</v>
      </c>
      <c r="F265" s="119" t="n">
        <f aca="false">'🤖 Command R+'!G100</f>
        <v>0</v>
      </c>
      <c r="G265" s="119" t="n">
        <f aca="false">'🤖 Command R+'!H100</f>
        <v>0</v>
      </c>
      <c r="H265" s="119" t="n">
        <f aca="false">'🤖 Command R+'!I100</f>
        <v>0</v>
      </c>
      <c r="I265" s="119" t="n">
        <f aca="false">'🤖 Command R+'!J100</f>
        <v>0</v>
      </c>
    </row>
    <row r="266" customFormat="false" ht="15.75" hidden="false" customHeight="false" outlineLevel="0" collapsed="false">
      <c r="A266" s="118"/>
      <c r="B266" s="4"/>
      <c r="C266" s="6"/>
      <c r="D266" s="159"/>
      <c r="E266" s="6"/>
      <c r="F266" s="6"/>
      <c r="G266" s="6"/>
      <c r="H266" s="6"/>
      <c r="I266" s="6"/>
    </row>
    <row r="267" customFormat="false" ht="15.75" hidden="false" customHeight="false" outlineLevel="0" collapsed="false">
      <c r="A267" s="118" t="n">
        <f aca="false">'🤖 Command R+'!$A$102</f>
        <v>0</v>
      </c>
      <c r="B267" s="4" t="s">
        <v>21</v>
      </c>
      <c r="C267" s="119" t="str">
        <f aca="false">'🤖 Command R+'!C102</f>
        <v>Base</v>
      </c>
      <c r="D267" s="159" t="n">
        <f aca="false">'🤖 Command R+'!E102</f>
        <v>0.004761904762</v>
      </c>
      <c r="E267" s="119" t="n">
        <f aca="false">'🤖 Command R+'!F102</f>
        <v>0</v>
      </c>
      <c r="F267" s="119" t="n">
        <f aca="false">'🤖 Command R+'!G102</f>
        <v>0</v>
      </c>
      <c r="G267" s="119" t="n">
        <f aca="false">'🤖 Command R+'!H102</f>
        <v>0</v>
      </c>
      <c r="H267" s="119" t="n">
        <f aca="false">'🤖 Command R+'!I102</f>
        <v>0</v>
      </c>
      <c r="I267" s="119" t="n">
        <f aca="false">'🤖 Command R+'!J102</f>
        <v>0</v>
      </c>
    </row>
    <row r="268" customFormat="false" ht="15.75" hidden="false" customHeight="false" outlineLevel="0" collapsed="false">
      <c r="A268" s="118" t="n">
        <f aca="false">'🤖 Command R+'!$A$102</f>
        <v>0</v>
      </c>
      <c r="B268" s="4" t="s">
        <v>21</v>
      </c>
      <c r="C268" s="119" t="str">
        <f aca="false">'🤖 Command R+'!C103</f>
        <v>CoT</v>
      </c>
      <c r="D268" s="159" t="n">
        <f aca="false">'🤖 Command R+'!E103</f>
        <v>0.004761904762</v>
      </c>
      <c r="E268" s="119" t="n">
        <f aca="false">'🤖 Command R+'!F103</f>
        <v>0</v>
      </c>
      <c r="F268" s="119" t="n">
        <f aca="false">'🤖 Command R+'!G103</f>
        <v>0</v>
      </c>
      <c r="G268" s="119" t="n">
        <f aca="false">'🤖 Command R+'!H103</f>
        <v>0</v>
      </c>
      <c r="H268" s="119" t="n">
        <f aca="false">'🤖 Command R+'!I103</f>
        <v>0</v>
      </c>
      <c r="I268" s="119" t="n">
        <f aca="false">'🤖 Command R+'!J103</f>
        <v>0</v>
      </c>
    </row>
    <row r="269" customFormat="false" ht="15.75" hidden="false" customHeight="false" outlineLevel="0" collapsed="false">
      <c r="A269" s="118" t="n">
        <f aca="false">'🤖 Command R+'!$A$102</f>
        <v>0</v>
      </c>
      <c r="B269" s="4" t="s">
        <v>21</v>
      </c>
      <c r="C269" s="119" t="str">
        <f aca="false">'🤖 Command R+'!C104</f>
        <v>5W1H</v>
      </c>
      <c r="D269" s="159" t="n">
        <f aca="false">'🤖 Command R+'!E104</f>
        <v>0.004761904762</v>
      </c>
      <c r="E269" s="119" t="n">
        <f aca="false">'🤖 Command R+'!F104</f>
        <v>0</v>
      </c>
      <c r="F269" s="119" t="n">
        <f aca="false">'🤖 Command R+'!G104</f>
        <v>0</v>
      </c>
      <c r="G269" s="119" t="n">
        <f aca="false">'🤖 Command R+'!H104</f>
        <v>0</v>
      </c>
      <c r="H269" s="119" t="n">
        <f aca="false">'🤖 Command R+'!I104</f>
        <v>0</v>
      </c>
      <c r="I269" s="119" t="n">
        <f aca="false">'🤖 Command R+'!J104</f>
        <v>0</v>
      </c>
    </row>
    <row r="270" customFormat="false" ht="15.75" hidden="false" customHeight="false" outlineLevel="0" collapsed="false">
      <c r="A270" s="118" t="n">
        <f aca="false">'🤖 Command R+'!$A$102</f>
        <v>0</v>
      </c>
      <c r="B270" s="4" t="s">
        <v>21</v>
      </c>
      <c r="C270" s="119" t="str">
        <f aca="false">'🤖 Command R+'!C105</f>
        <v>tldr</v>
      </c>
      <c r="D270" s="159" t="n">
        <f aca="false">'🤖 Command R+'!E105</f>
        <v>0.004761904762</v>
      </c>
      <c r="E270" s="119" t="n">
        <f aca="false">'🤖 Command R+'!F105</f>
        <v>0</v>
      </c>
      <c r="F270" s="119" t="n">
        <f aca="false">'🤖 Command R+'!G105</f>
        <v>0</v>
      </c>
      <c r="G270" s="119" t="n">
        <f aca="false">'🤖 Command R+'!H105</f>
        <v>0</v>
      </c>
      <c r="H270" s="119" t="n">
        <f aca="false">'🤖 Command R+'!I105</f>
        <v>0</v>
      </c>
      <c r="I270" s="119" t="n">
        <f aca="false">'🤖 Command R+'!J105</f>
        <v>0</v>
      </c>
    </row>
    <row r="271" customFormat="false" ht="15.75" hidden="false" customHeight="false" outlineLevel="0" collapsed="false">
      <c r="A271" s="118"/>
      <c r="B271" s="4"/>
      <c r="C271" s="6"/>
      <c r="D271" s="159"/>
      <c r="E271" s="6"/>
      <c r="F271" s="6"/>
      <c r="G271" s="6"/>
      <c r="H271" s="6"/>
      <c r="I271" s="6"/>
    </row>
    <row r="272" customFormat="false" ht="15.75" hidden="false" customHeight="false" outlineLevel="0" collapsed="false">
      <c r="A272" s="118" t="n">
        <f aca="false">'🤖 Command R+'!$A$107</f>
        <v>0</v>
      </c>
      <c r="B272" s="4" t="s">
        <v>21</v>
      </c>
      <c r="C272" s="119" t="str">
        <f aca="false">'🤖 Command R+'!C107</f>
        <v>Base</v>
      </c>
      <c r="D272" s="159" t="n">
        <f aca="false">'🤖 Command R+'!E107</f>
        <v>0.004761904762</v>
      </c>
      <c r="E272" s="119" t="n">
        <f aca="false">'🤖 Command R+'!F107</f>
        <v>0</v>
      </c>
      <c r="F272" s="119" t="n">
        <f aca="false">'🤖 Command R+'!G107</f>
        <v>0</v>
      </c>
      <c r="G272" s="119" t="n">
        <f aca="false">'🤖 Command R+'!H107</f>
        <v>0</v>
      </c>
      <c r="H272" s="119" t="n">
        <f aca="false">'🤖 Command R+'!I107</f>
        <v>0</v>
      </c>
      <c r="I272" s="119" t="n">
        <f aca="false">'🤖 Command R+'!J107</f>
        <v>0</v>
      </c>
    </row>
    <row r="273" customFormat="false" ht="15.75" hidden="false" customHeight="false" outlineLevel="0" collapsed="false">
      <c r="A273" s="118" t="n">
        <f aca="false">'🤖 Command R+'!$A$107</f>
        <v>0</v>
      </c>
      <c r="B273" s="4" t="s">
        <v>21</v>
      </c>
      <c r="C273" s="119" t="str">
        <f aca="false">'🤖 Command R+'!C108</f>
        <v>CoT</v>
      </c>
      <c r="D273" s="159" t="n">
        <f aca="false">'🤖 Command R+'!E108</f>
        <v>0.004761904762</v>
      </c>
      <c r="E273" s="119" t="n">
        <f aca="false">'🤖 Command R+'!F108</f>
        <v>0</v>
      </c>
      <c r="F273" s="119" t="n">
        <f aca="false">'🤖 Command R+'!G108</f>
        <v>0</v>
      </c>
      <c r="G273" s="119" t="n">
        <f aca="false">'🤖 Command R+'!H108</f>
        <v>0</v>
      </c>
      <c r="H273" s="119" t="n">
        <f aca="false">'🤖 Command R+'!I108</f>
        <v>0</v>
      </c>
      <c r="I273" s="119" t="n">
        <f aca="false">'🤖 Command R+'!J108</f>
        <v>0</v>
      </c>
    </row>
    <row r="274" customFormat="false" ht="15.75" hidden="false" customHeight="false" outlineLevel="0" collapsed="false">
      <c r="A274" s="118" t="n">
        <f aca="false">'🤖 Command R+'!$A$107</f>
        <v>0</v>
      </c>
      <c r="B274" s="4" t="s">
        <v>21</v>
      </c>
      <c r="C274" s="119" t="str">
        <f aca="false">'🤖 Command R+'!C109</f>
        <v>5W1H</v>
      </c>
      <c r="D274" s="159" t="n">
        <f aca="false">'🤖 Command R+'!E109</f>
        <v>0.004761904762</v>
      </c>
      <c r="E274" s="119" t="n">
        <f aca="false">'🤖 Command R+'!F109</f>
        <v>0</v>
      </c>
      <c r="F274" s="119" t="n">
        <f aca="false">'🤖 Command R+'!G109</f>
        <v>0</v>
      </c>
      <c r="G274" s="119" t="n">
        <f aca="false">'🤖 Command R+'!H109</f>
        <v>0</v>
      </c>
      <c r="H274" s="119" t="n">
        <f aca="false">'🤖 Command R+'!I109</f>
        <v>0</v>
      </c>
      <c r="I274" s="119" t="n">
        <f aca="false">'🤖 Command R+'!J109</f>
        <v>0</v>
      </c>
    </row>
    <row r="275" customFormat="false" ht="15.75" hidden="false" customHeight="false" outlineLevel="0" collapsed="false">
      <c r="A275" s="118" t="n">
        <f aca="false">'🤖 Command R+'!$A$107</f>
        <v>0</v>
      </c>
      <c r="B275" s="4" t="s">
        <v>21</v>
      </c>
      <c r="C275" s="119" t="str">
        <f aca="false">'🤖 Command R+'!C110</f>
        <v>tldr</v>
      </c>
      <c r="D275" s="159" t="n">
        <f aca="false">'🤖 Command R+'!E110</f>
        <v>0.004761904762</v>
      </c>
      <c r="E275" s="119" t="n">
        <f aca="false">'🤖 Command R+'!F110</f>
        <v>0</v>
      </c>
      <c r="F275" s="119" t="n">
        <f aca="false">'🤖 Command R+'!G110</f>
        <v>0</v>
      </c>
      <c r="G275" s="119" t="n">
        <f aca="false">'🤖 Command R+'!H110</f>
        <v>0</v>
      </c>
      <c r="H275" s="119" t="n">
        <f aca="false">'🤖 Command R+'!I110</f>
        <v>0</v>
      </c>
      <c r="I275" s="119" t="n">
        <f aca="false">'🤖 Command R+'!J110</f>
        <v>0</v>
      </c>
    </row>
    <row r="276" customFormat="false" ht="15.75" hidden="false" customHeight="false" outlineLevel="0" collapsed="false">
      <c r="A276" s="118"/>
      <c r="B276" s="4"/>
      <c r="C276" s="6"/>
      <c r="D276" s="159"/>
      <c r="E276" s="6"/>
      <c r="F276" s="6"/>
      <c r="G276" s="6"/>
      <c r="H276" s="6"/>
      <c r="I276" s="6"/>
    </row>
    <row r="277" customFormat="false" ht="15.75" hidden="false" customHeight="false" outlineLevel="0" collapsed="false">
      <c r="A277" s="118" t="n">
        <f aca="false">'🤖 Command R+'!$A$112</f>
        <v>0</v>
      </c>
      <c r="B277" s="4" t="s">
        <v>21</v>
      </c>
      <c r="C277" s="119" t="str">
        <f aca="false">'🤖 Command R+'!C112</f>
        <v>Base</v>
      </c>
      <c r="D277" s="159" t="n">
        <f aca="false">'🤖 Command R+'!E112</f>
        <v>0.004761904762</v>
      </c>
      <c r="E277" s="119" t="n">
        <f aca="false">'🤖 Command R+'!F112</f>
        <v>0</v>
      </c>
      <c r="F277" s="119" t="n">
        <f aca="false">'🤖 Command R+'!G112</f>
        <v>0</v>
      </c>
      <c r="G277" s="119" t="n">
        <f aca="false">'🤖 Command R+'!H112</f>
        <v>0</v>
      </c>
      <c r="H277" s="119" t="n">
        <f aca="false">'🤖 Command R+'!I112</f>
        <v>0</v>
      </c>
      <c r="I277" s="119" t="n">
        <f aca="false">'🤖 Command R+'!J112</f>
        <v>0</v>
      </c>
    </row>
    <row r="278" customFormat="false" ht="15.75" hidden="false" customHeight="false" outlineLevel="0" collapsed="false">
      <c r="A278" s="118" t="n">
        <f aca="false">'🤖 Command R+'!$A$112</f>
        <v>0</v>
      </c>
      <c r="B278" s="4" t="s">
        <v>21</v>
      </c>
      <c r="C278" s="119" t="str">
        <f aca="false">'🤖 Command R+'!C113</f>
        <v>CoT</v>
      </c>
      <c r="D278" s="159" t="n">
        <f aca="false">'🤖 Command R+'!E113</f>
        <v>0.004761904762</v>
      </c>
      <c r="E278" s="119" t="n">
        <f aca="false">'🤖 Command R+'!F113</f>
        <v>0</v>
      </c>
      <c r="F278" s="119" t="n">
        <f aca="false">'🤖 Command R+'!G113</f>
        <v>0</v>
      </c>
      <c r="G278" s="119" t="n">
        <f aca="false">'🤖 Command R+'!H113</f>
        <v>0</v>
      </c>
      <c r="H278" s="119" t="n">
        <f aca="false">'🤖 Command R+'!I113</f>
        <v>0</v>
      </c>
      <c r="I278" s="119" t="n">
        <f aca="false">'🤖 Command R+'!J113</f>
        <v>0</v>
      </c>
    </row>
    <row r="279" customFormat="false" ht="15.75" hidden="false" customHeight="false" outlineLevel="0" collapsed="false">
      <c r="A279" s="118" t="n">
        <f aca="false">'🤖 Command R+'!$A$112</f>
        <v>0</v>
      </c>
      <c r="B279" s="4" t="s">
        <v>21</v>
      </c>
      <c r="C279" s="119" t="str">
        <f aca="false">'🤖 Command R+'!C114</f>
        <v>5W1H</v>
      </c>
      <c r="D279" s="159" t="n">
        <f aca="false">'🤖 Command R+'!E114</f>
        <v>0.004761904762</v>
      </c>
      <c r="E279" s="119" t="n">
        <f aca="false">'🤖 Command R+'!F114</f>
        <v>0</v>
      </c>
      <c r="F279" s="119" t="n">
        <f aca="false">'🤖 Command R+'!G114</f>
        <v>0</v>
      </c>
      <c r="G279" s="119" t="n">
        <f aca="false">'🤖 Command R+'!H114</f>
        <v>0</v>
      </c>
      <c r="H279" s="119" t="n">
        <f aca="false">'🤖 Command R+'!I114</f>
        <v>0</v>
      </c>
      <c r="I279" s="119" t="n">
        <f aca="false">'🤖 Command R+'!J114</f>
        <v>0</v>
      </c>
    </row>
    <row r="280" customFormat="false" ht="15.75" hidden="false" customHeight="false" outlineLevel="0" collapsed="false">
      <c r="A280" s="118" t="n">
        <f aca="false">'🤖 Command R+'!$A$112</f>
        <v>0</v>
      </c>
      <c r="B280" s="4" t="s">
        <v>21</v>
      </c>
      <c r="C280" s="119" t="str">
        <f aca="false">'🤖 Command R+'!C115</f>
        <v>tldr</v>
      </c>
      <c r="D280" s="159" t="n">
        <f aca="false">'🤖 Command R+'!E115</f>
        <v>0.004761904762</v>
      </c>
      <c r="E280" s="119" t="n">
        <f aca="false">'🤖 Command R+'!F115</f>
        <v>0</v>
      </c>
      <c r="F280" s="119" t="n">
        <f aca="false">'🤖 Command R+'!G115</f>
        <v>0</v>
      </c>
      <c r="G280" s="119" t="n">
        <f aca="false">'🤖 Command R+'!H115</f>
        <v>0</v>
      </c>
      <c r="H280" s="119" t="n">
        <f aca="false">'🤖 Command R+'!I115</f>
        <v>0</v>
      </c>
      <c r="I280" s="119" t="n">
        <f aca="false">'🤖 Command R+'!J115</f>
        <v>0</v>
      </c>
    </row>
    <row r="281" customFormat="false" ht="15.75" hidden="false" customHeight="false" outlineLevel="0" collapsed="false">
      <c r="A281" s="118"/>
      <c r="B281" s="4"/>
      <c r="C281" s="6"/>
      <c r="D281" s="159"/>
      <c r="E281" s="6"/>
      <c r="F281" s="6"/>
      <c r="G281" s="6"/>
      <c r="H281" s="6"/>
      <c r="I281" s="6"/>
    </row>
    <row r="282" customFormat="false" ht="15.75" hidden="false" customHeight="false" outlineLevel="0" collapsed="false">
      <c r="A282" s="118" t="n">
        <f aca="false">'🤖 Command R+'!$A$117</f>
        <v>0</v>
      </c>
      <c r="B282" s="4" t="s">
        <v>21</v>
      </c>
      <c r="C282" s="119" t="str">
        <f aca="false">'🤖 Command R+'!C117</f>
        <v>Base</v>
      </c>
      <c r="D282" s="159" t="n">
        <f aca="false">'🤖 Command R+'!E117</f>
        <v>0.004761904762</v>
      </c>
      <c r="E282" s="119" t="n">
        <f aca="false">'🤖 Command R+'!F117</f>
        <v>0</v>
      </c>
      <c r="F282" s="119" t="n">
        <f aca="false">'🤖 Command R+'!G117</f>
        <v>0</v>
      </c>
      <c r="G282" s="119" t="n">
        <f aca="false">'🤖 Command R+'!H117</f>
        <v>0</v>
      </c>
      <c r="H282" s="119" t="n">
        <f aca="false">'🤖 Command R+'!I117</f>
        <v>0</v>
      </c>
      <c r="I282" s="119" t="n">
        <f aca="false">'🤖 Command R+'!J117</f>
        <v>0</v>
      </c>
    </row>
    <row r="283" customFormat="false" ht="15.75" hidden="false" customHeight="false" outlineLevel="0" collapsed="false">
      <c r="A283" s="118" t="n">
        <f aca="false">'🤖 Command R+'!$A$117</f>
        <v>0</v>
      </c>
      <c r="B283" s="4" t="s">
        <v>21</v>
      </c>
      <c r="C283" s="119" t="str">
        <f aca="false">'🤖 Command R+'!C118</f>
        <v>CoT</v>
      </c>
      <c r="D283" s="159" t="n">
        <f aca="false">'🤖 Command R+'!E118</f>
        <v>0.004761904762</v>
      </c>
      <c r="E283" s="119" t="n">
        <f aca="false">'🤖 Command R+'!F118</f>
        <v>0</v>
      </c>
      <c r="F283" s="119" t="n">
        <f aca="false">'🤖 Command R+'!G118</f>
        <v>0</v>
      </c>
      <c r="G283" s="119" t="n">
        <f aca="false">'🤖 Command R+'!H118</f>
        <v>0</v>
      </c>
      <c r="H283" s="119" t="n">
        <f aca="false">'🤖 Command R+'!I118</f>
        <v>0</v>
      </c>
      <c r="I283" s="119" t="n">
        <f aca="false">'🤖 Command R+'!J118</f>
        <v>0</v>
      </c>
    </row>
    <row r="284" customFormat="false" ht="15.75" hidden="false" customHeight="false" outlineLevel="0" collapsed="false">
      <c r="A284" s="118" t="n">
        <f aca="false">'🤖 Command R+'!$A$117</f>
        <v>0</v>
      </c>
      <c r="B284" s="4" t="s">
        <v>21</v>
      </c>
      <c r="C284" s="119" t="str">
        <f aca="false">'🤖 Command R+'!C119</f>
        <v>5W1H</v>
      </c>
      <c r="D284" s="159" t="n">
        <f aca="false">'🤖 Command R+'!E119</f>
        <v>0.004761904762</v>
      </c>
      <c r="E284" s="119" t="n">
        <f aca="false">'🤖 Command R+'!F119</f>
        <v>0</v>
      </c>
      <c r="F284" s="119" t="n">
        <f aca="false">'🤖 Command R+'!G119</f>
        <v>0</v>
      </c>
      <c r="G284" s="119" t="n">
        <f aca="false">'🤖 Command R+'!H119</f>
        <v>0</v>
      </c>
      <c r="H284" s="119" t="n">
        <f aca="false">'🤖 Command R+'!I119</f>
        <v>0</v>
      </c>
      <c r="I284" s="119" t="n">
        <f aca="false">'🤖 Command R+'!J119</f>
        <v>0</v>
      </c>
    </row>
    <row r="285" customFormat="false" ht="15.75" hidden="false" customHeight="false" outlineLevel="0" collapsed="false">
      <c r="A285" s="118" t="n">
        <f aca="false">'🤖 Command R+'!$A$117</f>
        <v>0</v>
      </c>
      <c r="B285" s="4" t="s">
        <v>21</v>
      </c>
      <c r="C285" s="119" t="str">
        <f aca="false">'🤖 Command R+'!C120</f>
        <v>tldr</v>
      </c>
      <c r="D285" s="159" t="n">
        <f aca="false">'🤖 Command R+'!E120</f>
        <v>0.004761904762</v>
      </c>
      <c r="E285" s="119" t="n">
        <f aca="false">'🤖 Command R+'!F120</f>
        <v>0</v>
      </c>
      <c r="F285" s="119" t="n">
        <f aca="false">'🤖 Command R+'!G120</f>
        <v>0</v>
      </c>
      <c r="G285" s="119" t="n">
        <f aca="false">'🤖 Command R+'!H120</f>
        <v>0</v>
      </c>
      <c r="H285" s="119" t="n">
        <f aca="false">'🤖 Command R+'!I120</f>
        <v>0</v>
      </c>
      <c r="I285" s="119" t="n">
        <f aca="false">'🤖 Command R+'!J120</f>
        <v>0</v>
      </c>
    </row>
    <row r="286" customFormat="false" ht="15.75" hidden="false" customHeight="false" outlineLevel="0" collapsed="false">
      <c r="A286" s="118"/>
      <c r="B286" s="4"/>
      <c r="C286" s="6"/>
      <c r="D286" s="159"/>
      <c r="E286" s="6"/>
      <c r="F286" s="6"/>
      <c r="G286" s="6"/>
      <c r="H286" s="6"/>
      <c r="I286" s="6"/>
    </row>
    <row r="287" customFormat="false" ht="15.75" hidden="false" customHeight="false" outlineLevel="0" collapsed="false">
      <c r="A287" s="118" t="n">
        <f aca="false">'🤖 Command R+'!$A$122</f>
        <v>0</v>
      </c>
      <c r="B287" s="4" t="s">
        <v>21</v>
      </c>
      <c r="C287" s="119" t="str">
        <f aca="false">'🤖 Command R+'!C122</f>
        <v>Base</v>
      </c>
      <c r="D287" s="159" t="n">
        <f aca="false">'🤖 Command R+'!E122</f>
        <v>0.004761904762</v>
      </c>
      <c r="E287" s="119" t="n">
        <f aca="false">'🤖 Command R+'!F122</f>
        <v>0</v>
      </c>
      <c r="F287" s="119" t="n">
        <f aca="false">'🤖 Command R+'!G122</f>
        <v>0</v>
      </c>
      <c r="G287" s="119" t="n">
        <f aca="false">'🤖 Command R+'!H122</f>
        <v>0</v>
      </c>
      <c r="H287" s="119" t="n">
        <f aca="false">'🤖 Command R+'!I122</f>
        <v>0</v>
      </c>
      <c r="I287" s="119" t="n">
        <f aca="false">'🤖 Command R+'!J122</f>
        <v>0</v>
      </c>
    </row>
    <row r="288" customFormat="false" ht="15.75" hidden="false" customHeight="false" outlineLevel="0" collapsed="false">
      <c r="A288" s="118" t="n">
        <f aca="false">'🤖 Command R+'!$A$122</f>
        <v>0</v>
      </c>
      <c r="B288" s="4" t="s">
        <v>21</v>
      </c>
      <c r="C288" s="119" t="str">
        <f aca="false">'🤖 Command R+'!C123</f>
        <v>CoT</v>
      </c>
      <c r="D288" s="159" t="n">
        <f aca="false">'🤖 Command R+'!E123</f>
        <v>0.004761904762</v>
      </c>
      <c r="E288" s="119" t="n">
        <f aca="false">'🤖 Command R+'!F123</f>
        <v>0</v>
      </c>
      <c r="F288" s="119" t="n">
        <f aca="false">'🤖 Command R+'!G123</f>
        <v>0</v>
      </c>
      <c r="G288" s="119" t="n">
        <f aca="false">'🤖 Command R+'!H123</f>
        <v>0</v>
      </c>
      <c r="H288" s="119" t="n">
        <f aca="false">'🤖 Command R+'!I123</f>
        <v>0</v>
      </c>
      <c r="I288" s="119" t="n">
        <f aca="false">'🤖 Command R+'!J123</f>
        <v>0</v>
      </c>
    </row>
    <row r="289" customFormat="false" ht="15.75" hidden="false" customHeight="false" outlineLevel="0" collapsed="false">
      <c r="A289" s="118" t="n">
        <f aca="false">'🤖 Command R+'!$A$122</f>
        <v>0</v>
      </c>
      <c r="B289" s="4" t="s">
        <v>21</v>
      </c>
      <c r="C289" s="119" t="str">
        <f aca="false">'🤖 Command R+'!C124</f>
        <v>5W1H</v>
      </c>
      <c r="D289" s="159" t="n">
        <f aca="false">'🤖 Command R+'!E124</f>
        <v>0.004761904762</v>
      </c>
      <c r="E289" s="119" t="n">
        <f aca="false">'🤖 Command R+'!F124</f>
        <v>0</v>
      </c>
      <c r="F289" s="119" t="n">
        <f aca="false">'🤖 Command R+'!G124</f>
        <v>0</v>
      </c>
      <c r="G289" s="119" t="n">
        <f aca="false">'🤖 Command R+'!H124</f>
        <v>0</v>
      </c>
      <c r="H289" s="119" t="n">
        <f aca="false">'🤖 Command R+'!I124</f>
        <v>0</v>
      </c>
      <c r="I289" s="119" t="n">
        <f aca="false">'🤖 Command R+'!J124</f>
        <v>0</v>
      </c>
    </row>
    <row r="290" customFormat="false" ht="15.75" hidden="false" customHeight="false" outlineLevel="0" collapsed="false">
      <c r="A290" s="118" t="n">
        <f aca="false">'🤖 Command R+'!$A$122</f>
        <v>0</v>
      </c>
      <c r="B290" s="4" t="s">
        <v>21</v>
      </c>
      <c r="C290" s="119" t="str">
        <f aca="false">'🤖 Command R+'!C125</f>
        <v>tldr</v>
      </c>
      <c r="D290" s="159" t="n">
        <f aca="false">'🤖 Command R+'!E125</f>
        <v>0.004761904762</v>
      </c>
      <c r="E290" s="119" t="n">
        <f aca="false">'🤖 Command R+'!F125</f>
        <v>0</v>
      </c>
      <c r="F290" s="119" t="n">
        <f aca="false">'🤖 Command R+'!G125</f>
        <v>0</v>
      </c>
      <c r="G290" s="119" t="n">
        <f aca="false">'🤖 Command R+'!H125</f>
        <v>0</v>
      </c>
      <c r="H290" s="119" t="n">
        <f aca="false">'🤖 Command R+'!I125</f>
        <v>0</v>
      </c>
      <c r="I290" s="119" t="n">
        <f aca="false">'🤖 Command R+'!J125</f>
        <v>0</v>
      </c>
    </row>
    <row r="291" customFormat="false" ht="15.75" hidden="false" customHeight="false" outlineLevel="0" collapsed="false">
      <c r="A291" s="118"/>
      <c r="B291" s="4"/>
      <c r="C291" s="6"/>
      <c r="D291" s="159"/>
      <c r="E291" s="6"/>
      <c r="F291" s="6"/>
      <c r="G291" s="6"/>
      <c r="H291" s="6"/>
      <c r="I291" s="6"/>
    </row>
    <row r="292" customFormat="false" ht="15.75" hidden="false" customHeight="false" outlineLevel="0" collapsed="false">
      <c r="A292" s="118" t="n">
        <f aca="false">'🤖 Command R+'!$A$127</f>
        <v>0</v>
      </c>
      <c r="B292" s="4" t="s">
        <v>21</v>
      </c>
      <c r="C292" s="119" t="str">
        <f aca="false">'🤖 Command R+'!C127</f>
        <v>Base</v>
      </c>
      <c r="D292" s="159" t="n">
        <f aca="false">'🤖 Command R+'!E127</f>
        <v>0.004761904762</v>
      </c>
      <c r="E292" s="119" t="n">
        <f aca="false">'🤖 Command R+'!F127</f>
        <v>0</v>
      </c>
      <c r="F292" s="119" t="n">
        <f aca="false">'🤖 Command R+'!G127</f>
        <v>0</v>
      </c>
      <c r="G292" s="119" t="n">
        <f aca="false">'🤖 Command R+'!H127</f>
        <v>0</v>
      </c>
      <c r="H292" s="119" t="n">
        <f aca="false">'🤖 Command R+'!I127</f>
        <v>0</v>
      </c>
      <c r="I292" s="119" t="n">
        <f aca="false">'🤖 Command R+'!J127</f>
        <v>0</v>
      </c>
    </row>
    <row r="293" customFormat="false" ht="15.75" hidden="false" customHeight="false" outlineLevel="0" collapsed="false">
      <c r="A293" s="118" t="n">
        <f aca="false">'🤖 Command R+'!$A$127</f>
        <v>0</v>
      </c>
      <c r="B293" s="4" t="s">
        <v>21</v>
      </c>
      <c r="C293" s="119" t="str">
        <f aca="false">'🤖 Command R+'!C128</f>
        <v>CoT</v>
      </c>
      <c r="D293" s="159" t="n">
        <f aca="false">'🤖 Command R+'!E128</f>
        <v>0.004761904762</v>
      </c>
      <c r="E293" s="119" t="n">
        <f aca="false">'🤖 Command R+'!F128</f>
        <v>0</v>
      </c>
      <c r="F293" s="119" t="n">
        <f aca="false">'🤖 Command R+'!G128</f>
        <v>0</v>
      </c>
      <c r="G293" s="119" t="n">
        <f aca="false">'🤖 Command R+'!H128</f>
        <v>0</v>
      </c>
      <c r="H293" s="119" t="n">
        <f aca="false">'🤖 Command R+'!I128</f>
        <v>0</v>
      </c>
      <c r="I293" s="119" t="n">
        <f aca="false">'🤖 Command R+'!J128</f>
        <v>0</v>
      </c>
    </row>
    <row r="294" customFormat="false" ht="15.75" hidden="false" customHeight="false" outlineLevel="0" collapsed="false">
      <c r="A294" s="118" t="n">
        <f aca="false">'🤖 Command R+'!$A$127</f>
        <v>0</v>
      </c>
      <c r="B294" s="4" t="s">
        <v>21</v>
      </c>
      <c r="C294" s="119" t="str">
        <f aca="false">'🤖 Command R+'!C129</f>
        <v>5W1H</v>
      </c>
      <c r="D294" s="159" t="n">
        <f aca="false">'🤖 Command R+'!E129</f>
        <v>0.004761904762</v>
      </c>
      <c r="E294" s="119" t="n">
        <f aca="false">'🤖 Command R+'!F129</f>
        <v>0</v>
      </c>
      <c r="F294" s="119" t="n">
        <f aca="false">'🤖 Command R+'!G129</f>
        <v>0</v>
      </c>
      <c r="G294" s="119" t="n">
        <f aca="false">'🤖 Command R+'!H129</f>
        <v>0</v>
      </c>
      <c r="H294" s="119" t="n">
        <f aca="false">'🤖 Command R+'!I129</f>
        <v>0</v>
      </c>
      <c r="I294" s="119" t="n">
        <f aca="false">'🤖 Command R+'!J129</f>
        <v>0</v>
      </c>
    </row>
    <row r="295" customFormat="false" ht="15.75" hidden="false" customHeight="false" outlineLevel="0" collapsed="false">
      <c r="A295" s="118" t="n">
        <f aca="false">'🤖 Command R+'!$A$127</f>
        <v>0</v>
      </c>
      <c r="B295" s="4" t="s">
        <v>21</v>
      </c>
      <c r="C295" s="119" t="str">
        <f aca="false">'🤖 Command R+'!C130</f>
        <v>tldr</v>
      </c>
      <c r="D295" s="159" t="n">
        <f aca="false">'🤖 Command R+'!E130</f>
        <v>0.004761904762</v>
      </c>
      <c r="E295" s="119" t="n">
        <f aca="false">'🤖 Command R+'!F130</f>
        <v>0</v>
      </c>
      <c r="F295" s="119" t="n">
        <f aca="false">'🤖 Command R+'!G130</f>
        <v>0</v>
      </c>
      <c r="G295" s="119" t="n">
        <f aca="false">'🤖 Command R+'!H130</f>
        <v>0</v>
      </c>
      <c r="H295" s="119" t="n">
        <f aca="false">'🤖 Command R+'!I130</f>
        <v>0</v>
      </c>
      <c r="I295" s="119" t="n">
        <f aca="false">'🤖 Command R+'!J130</f>
        <v>0</v>
      </c>
    </row>
    <row r="296" customFormat="false" ht="15.75" hidden="false" customHeight="false" outlineLevel="0" collapsed="false">
      <c r="A296" s="118"/>
      <c r="B296" s="4"/>
      <c r="C296" s="6"/>
      <c r="D296" s="159"/>
      <c r="E296" s="6"/>
      <c r="F296" s="6"/>
      <c r="G296" s="6"/>
      <c r="H296" s="6"/>
      <c r="I296" s="6"/>
    </row>
    <row r="297" customFormat="false" ht="15.75" hidden="false" customHeight="false" outlineLevel="0" collapsed="false">
      <c r="A297" s="118" t="n">
        <f aca="false">'🤖 Command R+'!$A$132</f>
        <v>0</v>
      </c>
      <c r="B297" s="4" t="s">
        <v>21</v>
      </c>
      <c r="C297" s="119" t="str">
        <f aca="false">'🤖 Command R+'!C132</f>
        <v>Base</v>
      </c>
      <c r="D297" s="159" t="n">
        <f aca="false">'🤖 Command R+'!E132</f>
        <v>0.004761904762</v>
      </c>
      <c r="E297" s="119" t="n">
        <f aca="false">'🤖 Command R+'!F132</f>
        <v>0</v>
      </c>
      <c r="F297" s="119" t="n">
        <f aca="false">'🤖 Command R+'!G132</f>
        <v>0</v>
      </c>
      <c r="G297" s="119" t="n">
        <f aca="false">'🤖 Command R+'!H132</f>
        <v>0</v>
      </c>
      <c r="H297" s="119" t="n">
        <f aca="false">'🤖 Command R+'!I132</f>
        <v>0</v>
      </c>
      <c r="I297" s="119" t="n">
        <f aca="false">'🤖 Command R+'!J132</f>
        <v>0</v>
      </c>
    </row>
    <row r="298" customFormat="false" ht="15.75" hidden="false" customHeight="false" outlineLevel="0" collapsed="false">
      <c r="A298" s="118" t="n">
        <f aca="false">'🤖 Command R+'!$A$132</f>
        <v>0</v>
      </c>
      <c r="B298" s="4" t="s">
        <v>21</v>
      </c>
      <c r="C298" s="119" t="str">
        <f aca="false">'🤖 Command R+'!C133</f>
        <v>CoT</v>
      </c>
      <c r="D298" s="159" t="n">
        <f aca="false">'🤖 Command R+'!E133</f>
        <v>0.004761904762</v>
      </c>
      <c r="E298" s="119" t="n">
        <f aca="false">'🤖 Command R+'!F133</f>
        <v>0</v>
      </c>
      <c r="F298" s="119" t="n">
        <f aca="false">'🤖 Command R+'!G133</f>
        <v>0</v>
      </c>
      <c r="G298" s="119" t="n">
        <f aca="false">'🤖 Command R+'!H133</f>
        <v>0</v>
      </c>
      <c r="H298" s="119" t="n">
        <f aca="false">'🤖 Command R+'!I133</f>
        <v>0</v>
      </c>
      <c r="I298" s="119" t="n">
        <f aca="false">'🤖 Command R+'!J133</f>
        <v>0</v>
      </c>
    </row>
    <row r="299" customFormat="false" ht="15.75" hidden="false" customHeight="false" outlineLevel="0" collapsed="false">
      <c r="A299" s="118" t="n">
        <f aca="false">'🤖 Command R+'!$A$132</f>
        <v>0</v>
      </c>
      <c r="B299" s="4" t="s">
        <v>21</v>
      </c>
      <c r="C299" s="119" t="str">
        <f aca="false">'🤖 Command R+'!C134</f>
        <v>5W1H</v>
      </c>
      <c r="D299" s="159" t="n">
        <f aca="false">'🤖 Command R+'!E134</f>
        <v>0.004761904762</v>
      </c>
      <c r="E299" s="119" t="n">
        <f aca="false">'🤖 Command R+'!F134</f>
        <v>0</v>
      </c>
      <c r="F299" s="119" t="n">
        <f aca="false">'🤖 Command R+'!G134</f>
        <v>0</v>
      </c>
      <c r="G299" s="119" t="n">
        <f aca="false">'🤖 Command R+'!H134</f>
        <v>0</v>
      </c>
      <c r="H299" s="119" t="n">
        <f aca="false">'🤖 Command R+'!I134</f>
        <v>0</v>
      </c>
      <c r="I299" s="119" t="n">
        <f aca="false">'🤖 Command R+'!J134</f>
        <v>0</v>
      </c>
    </row>
    <row r="300" customFormat="false" ht="15.75" hidden="false" customHeight="false" outlineLevel="0" collapsed="false">
      <c r="A300" s="118" t="n">
        <f aca="false">'🤖 Command R+'!$A$132</f>
        <v>0</v>
      </c>
      <c r="B300" s="4" t="s">
        <v>21</v>
      </c>
      <c r="C300" s="119" t="str">
        <f aca="false">'🤖 Command R+'!C135</f>
        <v>tldr</v>
      </c>
      <c r="D300" s="159" t="n">
        <f aca="false">'🤖 Command R+'!E135</f>
        <v>0.004761904762</v>
      </c>
      <c r="E300" s="119" t="n">
        <f aca="false">'🤖 Command R+'!F135</f>
        <v>0</v>
      </c>
      <c r="F300" s="119" t="n">
        <f aca="false">'🤖 Command R+'!G135</f>
        <v>0</v>
      </c>
      <c r="G300" s="119" t="n">
        <f aca="false">'🤖 Command R+'!H135</f>
        <v>0</v>
      </c>
      <c r="H300" s="119" t="n">
        <f aca="false">'🤖 Command R+'!I135</f>
        <v>0</v>
      </c>
      <c r="I300" s="119" t="n">
        <f aca="false">'🤖 Command R+'!J135</f>
        <v>0</v>
      </c>
    </row>
    <row r="301" customFormat="false" ht="15.75" hidden="false" customHeight="false" outlineLevel="0" collapsed="false">
      <c r="A301" s="118"/>
      <c r="B301" s="4"/>
      <c r="C301" s="6"/>
      <c r="D301" s="159"/>
      <c r="E301" s="6"/>
      <c r="F301" s="6"/>
      <c r="G301" s="6"/>
      <c r="H301" s="6"/>
      <c r="I301" s="6"/>
    </row>
    <row r="302" customFormat="false" ht="15.75" hidden="false" customHeight="false" outlineLevel="0" collapsed="false">
      <c r="A302" s="118" t="n">
        <f aca="false">'🤖 Command R+'!$A$137</f>
        <v>0</v>
      </c>
      <c r="B302" s="4" t="s">
        <v>21</v>
      </c>
      <c r="C302" s="119" t="str">
        <f aca="false">'🤖 Command R+'!C137</f>
        <v>Base</v>
      </c>
      <c r="D302" s="159" t="n">
        <f aca="false">'🤖 Command R+'!E137</f>
        <v>0.004761904762</v>
      </c>
      <c r="E302" s="119" t="n">
        <f aca="false">'🤖 Command R+'!F137</f>
        <v>0</v>
      </c>
      <c r="F302" s="119" t="n">
        <f aca="false">'🤖 Command R+'!G137</f>
        <v>0</v>
      </c>
      <c r="G302" s="119" t="n">
        <f aca="false">'🤖 Command R+'!H137</f>
        <v>0</v>
      </c>
      <c r="H302" s="119" t="n">
        <f aca="false">'🤖 Command R+'!I137</f>
        <v>0</v>
      </c>
      <c r="I302" s="119" t="n">
        <f aca="false">'🤖 Command R+'!J137</f>
        <v>0</v>
      </c>
    </row>
    <row r="303" customFormat="false" ht="15.75" hidden="false" customHeight="false" outlineLevel="0" collapsed="false">
      <c r="A303" s="118" t="n">
        <f aca="false">'🤖 Command R+'!$A$137</f>
        <v>0</v>
      </c>
      <c r="B303" s="4" t="s">
        <v>21</v>
      </c>
      <c r="C303" s="119" t="str">
        <f aca="false">'🤖 Command R+'!C138</f>
        <v>CoT</v>
      </c>
      <c r="D303" s="159" t="n">
        <f aca="false">'🤖 Command R+'!E138</f>
        <v>0.004761904762</v>
      </c>
      <c r="E303" s="119" t="n">
        <f aca="false">'🤖 Command R+'!F138</f>
        <v>0</v>
      </c>
      <c r="F303" s="119" t="n">
        <f aca="false">'🤖 Command R+'!G138</f>
        <v>0</v>
      </c>
      <c r="G303" s="119" t="n">
        <f aca="false">'🤖 Command R+'!H138</f>
        <v>0</v>
      </c>
      <c r="H303" s="119" t="n">
        <f aca="false">'🤖 Command R+'!I138</f>
        <v>0</v>
      </c>
      <c r="I303" s="119" t="n">
        <f aca="false">'🤖 Command R+'!J138</f>
        <v>0</v>
      </c>
    </row>
    <row r="304" customFormat="false" ht="15.75" hidden="false" customHeight="false" outlineLevel="0" collapsed="false">
      <c r="A304" s="118" t="n">
        <f aca="false">'🤖 Command R+'!$A$137</f>
        <v>0</v>
      </c>
      <c r="B304" s="4" t="s">
        <v>21</v>
      </c>
      <c r="C304" s="119" t="str">
        <f aca="false">'🤖 Command R+'!C139</f>
        <v>5W1H</v>
      </c>
      <c r="D304" s="159" t="n">
        <f aca="false">'🤖 Command R+'!E139</f>
        <v>0.004761904762</v>
      </c>
      <c r="E304" s="119" t="n">
        <f aca="false">'🤖 Command R+'!F139</f>
        <v>0</v>
      </c>
      <c r="F304" s="119" t="n">
        <f aca="false">'🤖 Command R+'!G139</f>
        <v>0</v>
      </c>
      <c r="G304" s="119" t="n">
        <f aca="false">'🤖 Command R+'!H139</f>
        <v>0</v>
      </c>
      <c r="H304" s="119" t="n">
        <f aca="false">'🤖 Command R+'!I139</f>
        <v>0</v>
      </c>
      <c r="I304" s="119" t="n">
        <f aca="false">'🤖 Command R+'!J139</f>
        <v>0</v>
      </c>
    </row>
    <row r="305" customFormat="false" ht="15.75" hidden="false" customHeight="false" outlineLevel="0" collapsed="false">
      <c r="A305" s="118" t="n">
        <f aca="false">'🤖 Command R+'!$A$137</f>
        <v>0</v>
      </c>
      <c r="B305" s="4" t="s">
        <v>21</v>
      </c>
      <c r="C305" s="119" t="str">
        <f aca="false">'🤖 Command R+'!C140</f>
        <v>tldr</v>
      </c>
      <c r="D305" s="159" t="n">
        <f aca="false">'🤖 Command R+'!E140</f>
        <v>0.004761904762</v>
      </c>
      <c r="E305" s="119" t="n">
        <f aca="false">'🤖 Command R+'!F140</f>
        <v>0</v>
      </c>
      <c r="F305" s="119" t="n">
        <f aca="false">'🤖 Command R+'!G140</f>
        <v>0</v>
      </c>
      <c r="G305" s="119" t="n">
        <f aca="false">'🤖 Command R+'!H140</f>
        <v>0</v>
      </c>
      <c r="H305" s="119" t="n">
        <f aca="false">'🤖 Command R+'!I140</f>
        <v>0</v>
      </c>
      <c r="I305" s="119" t="n">
        <f aca="false">'🤖 Command R+'!J140</f>
        <v>0</v>
      </c>
    </row>
    <row r="306" customFormat="false" ht="15.75" hidden="false" customHeight="false" outlineLevel="0" collapsed="false">
      <c r="A306" s="118"/>
      <c r="B306" s="4"/>
      <c r="C306" s="6"/>
      <c r="D306" s="159"/>
      <c r="E306" s="6"/>
      <c r="F306" s="6"/>
      <c r="G306" s="6"/>
      <c r="H306" s="6"/>
      <c r="I306" s="6"/>
    </row>
    <row r="307" customFormat="false" ht="15.75" hidden="false" customHeight="false" outlineLevel="0" collapsed="false">
      <c r="A307" s="118" t="n">
        <f aca="false">'🤖 Command R+'!$A$142</f>
        <v>0</v>
      </c>
      <c r="B307" s="4" t="s">
        <v>21</v>
      </c>
      <c r="C307" s="119" t="str">
        <f aca="false">'🤖 Command R+'!C142</f>
        <v>Base</v>
      </c>
      <c r="D307" s="159" t="n">
        <f aca="false">'🤖 Command R+'!E142</f>
        <v>0.004761904762</v>
      </c>
      <c r="E307" s="119" t="n">
        <f aca="false">'🤖 Command R+'!F142</f>
        <v>0</v>
      </c>
      <c r="F307" s="119" t="n">
        <f aca="false">'🤖 Command R+'!G142</f>
        <v>0</v>
      </c>
      <c r="G307" s="119" t="n">
        <f aca="false">'🤖 Command R+'!H142</f>
        <v>0</v>
      </c>
      <c r="H307" s="119" t="n">
        <f aca="false">'🤖 Command R+'!I142</f>
        <v>0</v>
      </c>
      <c r="I307" s="119" t="n">
        <f aca="false">'🤖 Command R+'!J142</f>
        <v>0</v>
      </c>
    </row>
    <row r="308" customFormat="false" ht="15.75" hidden="false" customHeight="false" outlineLevel="0" collapsed="false">
      <c r="A308" s="118" t="n">
        <f aca="false">'🤖 Command R+'!$A$142</f>
        <v>0</v>
      </c>
      <c r="B308" s="4" t="s">
        <v>21</v>
      </c>
      <c r="C308" s="119" t="str">
        <f aca="false">'🤖 Command R+'!C143</f>
        <v>CoT</v>
      </c>
      <c r="D308" s="159" t="n">
        <f aca="false">'🤖 Command R+'!E143</f>
        <v>0.004761904762</v>
      </c>
      <c r="E308" s="119" t="n">
        <f aca="false">'🤖 Command R+'!F143</f>
        <v>0</v>
      </c>
      <c r="F308" s="119" t="n">
        <f aca="false">'🤖 Command R+'!G143</f>
        <v>0</v>
      </c>
      <c r="G308" s="119" t="n">
        <f aca="false">'🤖 Command R+'!H143</f>
        <v>0</v>
      </c>
      <c r="H308" s="119" t="n">
        <f aca="false">'🤖 Command R+'!I143</f>
        <v>0</v>
      </c>
      <c r="I308" s="119" t="n">
        <f aca="false">'🤖 Command R+'!J143</f>
        <v>0</v>
      </c>
    </row>
    <row r="309" customFormat="false" ht="15.75" hidden="false" customHeight="false" outlineLevel="0" collapsed="false">
      <c r="A309" s="118" t="n">
        <f aca="false">'🤖 Command R+'!$A$142</f>
        <v>0</v>
      </c>
      <c r="B309" s="4" t="s">
        <v>21</v>
      </c>
      <c r="C309" s="119" t="str">
        <f aca="false">'🤖 Command R+'!C144</f>
        <v>5W1H</v>
      </c>
      <c r="D309" s="159" t="n">
        <f aca="false">'🤖 Command R+'!E144</f>
        <v>0.004761904762</v>
      </c>
      <c r="E309" s="119" t="n">
        <f aca="false">'🤖 Command R+'!F144</f>
        <v>0</v>
      </c>
      <c r="F309" s="119" t="n">
        <f aca="false">'🤖 Command R+'!G144</f>
        <v>0</v>
      </c>
      <c r="G309" s="119" t="n">
        <f aca="false">'🤖 Command R+'!H144</f>
        <v>0</v>
      </c>
      <c r="H309" s="119" t="n">
        <f aca="false">'🤖 Command R+'!I144</f>
        <v>0</v>
      </c>
      <c r="I309" s="119" t="n">
        <f aca="false">'🤖 Command R+'!J144</f>
        <v>0</v>
      </c>
    </row>
    <row r="310" customFormat="false" ht="15.75" hidden="false" customHeight="false" outlineLevel="0" collapsed="false">
      <c r="A310" s="118" t="n">
        <f aca="false">'🤖 Command R+'!$A$142</f>
        <v>0</v>
      </c>
      <c r="B310" s="4" t="s">
        <v>21</v>
      </c>
      <c r="C310" s="119" t="str">
        <f aca="false">'🤖 Command R+'!C145</f>
        <v>tldr</v>
      </c>
      <c r="D310" s="159" t="n">
        <f aca="false">'🤖 Command R+'!E145</f>
        <v>0.004761904762</v>
      </c>
      <c r="E310" s="119" t="n">
        <f aca="false">'🤖 Command R+'!F145</f>
        <v>0</v>
      </c>
      <c r="F310" s="119" t="n">
        <f aca="false">'🤖 Command R+'!G145</f>
        <v>0</v>
      </c>
      <c r="G310" s="119" t="n">
        <f aca="false">'🤖 Command R+'!H145</f>
        <v>0</v>
      </c>
      <c r="H310" s="119" t="n">
        <f aca="false">'🤖 Command R+'!I145</f>
        <v>0</v>
      </c>
      <c r="I310" s="119" t="n">
        <f aca="false">'🤖 Command R+'!J145</f>
        <v>0</v>
      </c>
    </row>
    <row r="311" customFormat="false" ht="15.75" hidden="false" customHeight="false" outlineLevel="0" collapsed="false">
      <c r="A311" s="118"/>
      <c r="B311" s="4"/>
      <c r="C311" s="6"/>
      <c r="D311" s="159"/>
      <c r="E311" s="6"/>
      <c r="F311" s="6"/>
      <c r="G311" s="6"/>
      <c r="H311" s="6"/>
      <c r="I311" s="6"/>
    </row>
    <row r="312" customFormat="false" ht="15.75" hidden="false" customHeight="false" outlineLevel="0" collapsed="false">
      <c r="A312" s="118" t="n">
        <f aca="false">'🤖 Command R+'!$A$147</f>
        <v>0</v>
      </c>
      <c r="B312" s="4" t="s">
        <v>21</v>
      </c>
      <c r="C312" s="119" t="str">
        <f aca="false">'🤖 Command R+'!C147</f>
        <v>Base</v>
      </c>
      <c r="D312" s="159" t="n">
        <f aca="false">'🤖 Command R+'!E147</f>
        <v>0.004761904762</v>
      </c>
      <c r="E312" s="119" t="n">
        <f aca="false">'🤖 Command R+'!F147</f>
        <v>0</v>
      </c>
      <c r="F312" s="119" t="n">
        <f aca="false">'🤖 Command R+'!G147</f>
        <v>0</v>
      </c>
      <c r="G312" s="119" t="n">
        <f aca="false">'🤖 Command R+'!H147</f>
        <v>0</v>
      </c>
      <c r="H312" s="119" t="n">
        <f aca="false">'🤖 Command R+'!I147</f>
        <v>0</v>
      </c>
      <c r="I312" s="119" t="n">
        <f aca="false">'🤖 Command R+'!J147</f>
        <v>0</v>
      </c>
    </row>
    <row r="313" customFormat="false" ht="15.75" hidden="false" customHeight="false" outlineLevel="0" collapsed="false">
      <c r="A313" s="118" t="n">
        <f aca="false">'🤖 Command R+'!$A$147</f>
        <v>0</v>
      </c>
      <c r="B313" s="4" t="s">
        <v>21</v>
      </c>
      <c r="C313" s="119" t="str">
        <f aca="false">'🤖 Command R+'!C148</f>
        <v>CoT</v>
      </c>
      <c r="D313" s="159" t="n">
        <f aca="false">'🤖 Command R+'!E148</f>
        <v>0.004761904762</v>
      </c>
      <c r="E313" s="119" t="n">
        <f aca="false">'🤖 Command R+'!F148</f>
        <v>0</v>
      </c>
      <c r="F313" s="119" t="n">
        <f aca="false">'🤖 Command R+'!G148</f>
        <v>0</v>
      </c>
      <c r="G313" s="119" t="n">
        <f aca="false">'🤖 Command R+'!H148</f>
        <v>0</v>
      </c>
      <c r="H313" s="119" t="n">
        <f aca="false">'🤖 Command R+'!I148</f>
        <v>0</v>
      </c>
      <c r="I313" s="119" t="n">
        <f aca="false">'🤖 Command R+'!J148</f>
        <v>0</v>
      </c>
    </row>
    <row r="314" customFormat="false" ht="15.75" hidden="false" customHeight="false" outlineLevel="0" collapsed="false">
      <c r="A314" s="118" t="n">
        <f aca="false">'🤖 Command R+'!$A$147</f>
        <v>0</v>
      </c>
      <c r="B314" s="4" t="s">
        <v>21</v>
      </c>
      <c r="C314" s="119" t="str">
        <f aca="false">'🤖 Command R+'!C149</f>
        <v>5W1H</v>
      </c>
      <c r="D314" s="159" t="n">
        <f aca="false">'🤖 Command R+'!E149</f>
        <v>0.004761904762</v>
      </c>
      <c r="E314" s="119" t="n">
        <f aca="false">'🤖 Command R+'!F149</f>
        <v>0</v>
      </c>
      <c r="F314" s="119" t="n">
        <f aca="false">'🤖 Command R+'!G149</f>
        <v>0</v>
      </c>
      <c r="G314" s="119" t="n">
        <f aca="false">'🤖 Command R+'!H149</f>
        <v>0</v>
      </c>
      <c r="H314" s="119" t="n">
        <f aca="false">'🤖 Command R+'!I149</f>
        <v>0</v>
      </c>
      <c r="I314" s="119" t="n">
        <f aca="false">'🤖 Command R+'!J149</f>
        <v>0</v>
      </c>
    </row>
    <row r="315" customFormat="false" ht="15.75" hidden="false" customHeight="false" outlineLevel="0" collapsed="false">
      <c r="A315" s="118" t="n">
        <f aca="false">'🤖 Command R+'!$A$147</f>
        <v>0</v>
      </c>
      <c r="B315" s="4" t="s">
        <v>21</v>
      </c>
      <c r="C315" s="119" t="str">
        <f aca="false">'🤖 Command R+'!C150</f>
        <v>tldr</v>
      </c>
      <c r="D315" s="159" t="n">
        <f aca="false">'🤖 Command R+'!E150</f>
        <v>0.004761904762</v>
      </c>
      <c r="E315" s="119" t="n">
        <f aca="false">'🤖 Command R+'!F150</f>
        <v>0</v>
      </c>
      <c r="F315" s="119" t="n">
        <f aca="false">'🤖 Command R+'!G150</f>
        <v>0</v>
      </c>
      <c r="G315" s="119" t="n">
        <f aca="false">'🤖 Command R+'!H150</f>
        <v>0</v>
      </c>
      <c r="H315" s="119" t="n">
        <f aca="false">'🤖 Command R+'!I150</f>
        <v>0</v>
      </c>
      <c r="I315" s="119" t="n">
        <f aca="false">'🤖 Command R+'!J150</f>
        <v>0</v>
      </c>
    </row>
    <row r="316" customFormat="false" ht="15.75" hidden="false" customHeight="false" outlineLevel="0" collapsed="false">
      <c r="A316" s="118"/>
      <c r="B316" s="4"/>
      <c r="C316" s="6"/>
      <c r="D316" s="159"/>
      <c r="E316" s="6"/>
      <c r="F316" s="6"/>
      <c r="G316" s="6"/>
      <c r="H316" s="6"/>
      <c r="I316" s="6"/>
    </row>
    <row r="317" customFormat="false" ht="15.75" hidden="false" customHeight="false" outlineLevel="0" collapsed="false">
      <c r="A317" s="118" t="n">
        <f aca="false">'🤖 Command R+'!$A$152</f>
        <v>0</v>
      </c>
      <c r="B317" s="4" t="s">
        <v>21</v>
      </c>
      <c r="C317" s="119" t="str">
        <f aca="false">'🤖 Command R+'!C152</f>
        <v>Base</v>
      </c>
      <c r="D317" s="159" t="n">
        <f aca="false">'🤖 Command R+'!E152</f>
        <v>0.004761904762</v>
      </c>
      <c r="E317" s="119" t="n">
        <f aca="false">'🤖 Command R+'!F152</f>
        <v>0</v>
      </c>
      <c r="F317" s="119" t="n">
        <f aca="false">'🤖 Command R+'!G152</f>
        <v>0</v>
      </c>
      <c r="G317" s="119" t="n">
        <f aca="false">'🤖 Command R+'!H152</f>
        <v>0</v>
      </c>
      <c r="H317" s="119" t="n">
        <f aca="false">'🤖 Command R+'!I152</f>
        <v>0</v>
      </c>
      <c r="I317" s="119" t="n">
        <f aca="false">'🤖 Command R+'!J152</f>
        <v>0</v>
      </c>
    </row>
    <row r="318" customFormat="false" ht="15.75" hidden="false" customHeight="false" outlineLevel="0" collapsed="false">
      <c r="A318" s="118" t="n">
        <f aca="false">'🤖 Command R+'!$A$152</f>
        <v>0</v>
      </c>
      <c r="B318" s="4" t="s">
        <v>21</v>
      </c>
      <c r="C318" s="119" t="str">
        <f aca="false">'🤖 Command R+'!C153</f>
        <v>CoT</v>
      </c>
      <c r="D318" s="159" t="n">
        <f aca="false">'🤖 Command R+'!E153</f>
        <v>0.004761904762</v>
      </c>
      <c r="E318" s="119" t="n">
        <f aca="false">'🤖 Command R+'!F153</f>
        <v>0</v>
      </c>
      <c r="F318" s="119" t="n">
        <f aca="false">'🤖 Command R+'!G153</f>
        <v>0</v>
      </c>
      <c r="G318" s="119" t="n">
        <f aca="false">'🤖 Command R+'!H153</f>
        <v>0</v>
      </c>
      <c r="H318" s="119" t="n">
        <f aca="false">'🤖 Command R+'!I153</f>
        <v>0</v>
      </c>
      <c r="I318" s="119" t="n">
        <f aca="false">'🤖 Command R+'!J153</f>
        <v>0</v>
      </c>
    </row>
    <row r="319" customFormat="false" ht="15.75" hidden="false" customHeight="false" outlineLevel="0" collapsed="false">
      <c r="A319" s="118" t="n">
        <f aca="false">'🤖 Command R+'!$A$152</f>
        <v>0</v>
      </c>
      <c r="B319" s="4" t="s">
        <v>21</v>
      </c>
      <c r="C319" s="119" t="str">
        <f aca="false">'🤖 Command R+'!C154</f>
        <v>5W1H</v>
      </c>
      <c r="D319" s="159" t="n">
        <f aca="false">'🤖 Command R+'!E154</f>
        <v>0.004761904762</v>
      </c>
      <c r="E319" s="119" t="n">
        <f aca="false">'🤖 Command R+'!F154</f>
        <v>0</v>
      </c>
      <c r="F319" s="119" t="n">
        <f aca="false">'🤖 Command R+'!G154</f>
        <v>0</v>
      </c>
      <c r="G319" s="119" t="n">
        <f aca="false">'🤖 Command R+'!H154</f>
        <v>0</v>
      </c>
      <c r="H319" s="119" t="n">
        <f aca="false">'🤖 Command R+'!I154</f>
        <v>0</v>
      </c>
      <c r="I319" s="119" t="n">
        <f aca="false">'🤖 Command R+'!J154</f>
        <v>0</v>
      </c>
    </row>
    <row r="320" customFormat="false" ht="15.75" hidden="false" customHeight="false" outlineLevel="0" collapsed="false">
      <c r="A320" s="118" t="n">
        <f aca="false">'🤖 Command R+'!$A$152</f>
        <v>0</v>
      </c>
      <c r="B320" s="4" t="s">
        <v>21</v>
      </c>
      <c r="C320" s="119" t="str">
        <f aca="false">'🤖 Command R+'!C155</f>
        <v>tldr</v>
      </c>
      <c r="D320" s="159" t="n">
        <f aca="false">'🤖 Command R+'!E155</f>
        <v>0.004761904762</v>
      </c>
      <c r="E320" s="119" t="n">
        <f aca="false">'🤖 Command R+'!F155</f>
        <v>0</v>
      </c>
      <c r="F320" s="119" t="n">
        <f aca="false">'🤖 Command R+'!G155</f>
        <v>0</v>
      </c>
      <c r="G320" s="119" t="n">
        <f aca="false">'🤖 Command R+'!H155</f>
        <v>0</v>
      </c>
      <c r="H320" s="119" t="n">
        <f aca="false">'🤖 Command R+'!I155</f>
        <v>0</v>
      </c>
      <c r="I320" s="119" t="n">
        <f aca="false">'🤖 Command R+'!J155</f>
        <v>0</v>
      </c>
    </row>
    <row r="321" customFormat="false" ht="15.75" hidden="false" customHeight="false" outlineLevel="0" collapsed="false">
      <c r="A321" s="118"/>
      <c r="B321" s="4"/>
      <c r="C321" s="6"/>
      <c r="D321" s="159"/>
      <c r="E321" s="6"/>
      <c r="F321" s="6"/>
      <c r="G321" s="6"/>
      <c r="H321" s="6"/>
      <c r="I321" s="6"/>
    </row>
    <row r="322" customFormat="false" ht="15.75" hidden="false" customHeight="false" outlineLevel="0" collapsed="false">
      <c r="A322" s="118" t="n">
        <f aca="false">'🤖 Command R+'!$A$157</f>
        <v>0</v>
      </c>
      <c r="B322" s="4" t="s">
        <v>21</v>
      </c>
      <c r="C322" s="119" t="str">
        <f aca="false">'🤖 Command R+'!C157</f>
        <v>Base</v>
      </c>
      <c r="D322" s="159" t="n">
        <f aca="false">'🤖 Command R+'!E157</f>
        <v>0.004761904762</v>
      </c>
      <c r="E322" s="119" t="n">
        <f aca="false">'🤖 Command R+'!F157</f>
        <v>0</v>
      </c>
      <c r="F322" s="119" t="n">
        <f aca="false">'🤖 Command R+'!G157</f>
        <v>0</v>
      </c>
      <c r="G322" s="119" t="n">
        <f aca="false">'🤖 Command R+'!H157</f>
        <v>0</v>
      </c>
      <c r="H322" s="119" t="n">
        <f aca="false">'🤖 Command R+'!I157</f>
        <v>0</v>
      </c>
      <c r="I322" s="119" t="n">
        <f aca="false">'🤖 Command R+'!J157</f>
        <v>0</v>
      </c>
    </row>
    <row r="323" customFormat="false" ht="15.75" hidden="false" customHeight="false" outlineLevel="0" collapsed="false">
      <c r="A323" s="118" t="n">
        <f aca="false">'🤖 Command R+'!$A$157</f>
        <v>0</v>
      </c>
      <c r="B323" s="4" t="s">
        <v>21</v>
      </c>
      <c r="C323" s="119" t="str">
        <f aca="false">'🤖 Command R+'!C158</f>
        <v>CoT</v>
      </c>
      <c r="D323" s="159" t="n">
        <f aca="false">'🤖 Command R+'!E158</f>
        <v>0.004761904762</v>
      </c>
      <c r="E323" s="119" t="n">
        <f aca="false">'🤖 Command R+'!F158</f>
        <v>0</v>
      </c>
      <c r="F323" s="119" t="n">
        <f aca="false">'🤖 Command R+'!G158</f>
        <v>0</v>
      </c>
      <c r="G323" s="119" t="n">
        <f aca="false">'🤖 Command R+'!H158</f>
        <v>0</v>
      </c>
      <c r="H323" s="119" t="n">
        <f aca="false">'🤖 Command R+'!I158</f>
        <v>0</v>
      </c>
      <c r="I323" s="119" t="n">
        <f aca="false">'🤖 Command R+'!J158</f>
        <v>0</v>
      </c>
    </row>
    <row r="324" customFormat="false" ht="15.75" hidden="false" customHeight="false" outlineLevel="0" collapsed="false">
      <c r="A324" s="118" t="n">
        <f aca="false">'🤖 Command R+'!$A$157</f>
        <v>0</v>
      </c>
      <c r="B324" s="4" t="s">
        <v>21</v>
      </c>
      <c r="C324" s="119" t="str">
        <f aca="false">'🤖 Command R+'!C159</f>
        <v>5W1H</v>
      </c>
      <c r="D324" s="159" t="n">
        <f aca="false">'🤖 Command R+'!E159</f>
        <v>0.004761904762</v>
      </c>
      <c r="E324" s="119" t="n">
        <f aca="false">'🤖 Command R+'!F159</f>
        <v>0</v>
      </c>
      <c r="F324" s="119" t="n">
        <f aca="false">'🤖 Command R+'!G159</f>
        <v>0</v>
      </c>
      <c r="G324" s="119" t="n">
        <f aca="false">'🤖 Command R+'!H159</f>
        <v>0</v>
      </c>
      <c r="H324" s="119" t="n">
        <f aca="false">'🤖 Command R+'!I159</f>
        <v>0</v>
      </c>
      <c r="I324" s="119" t="n">
        <f aca="false">'🤖 Command R+'!J159</f>
        <v>0</v>
      </c>
    </row>
    <row r="325" customFormat="false" ht="15.75" hidden="false" customHeight="false" outlineLevel="0" collapsed="false">
      <c r="A325" s="118" t="n">
        <f aca="false">'🤖 Command R+'!$A$157</f>
        <v>0</v>
      </c>
      <c r="B325" s="4" t="s">
        <v>21</v>
      </c>
      <c r="C325" s="119" t="str">
        <f aca="false">'🤖 Command R+'!C160</f>
        <v>tldr</v>
      </c>
      <c r="D325" s="159" t="n">
        <f aca="false">'🤖 Command R+'!E160</f>
        <v>0.004761904762</v>
      </c>
      <c r="E325" s="119" t="n">
        <f aca="false">'🤖 Command R+'!F160</f>
        <v>0</v>
      </c>
      <c r="F325" s="119" t="n">
        <f aca="false">'🤖 Command R+'!G160</f>
        <v>0</v>
      </c>
      <c r="G325" s="119" t="n">
        <f aca="false">'🤖 Command R+'!H160</f>
        <v>0</v>
      </c>
      <c r="H325" s="119" t="n">
        <f aca="false">'🤖 Command R+'!I160</f>
        <v>0</v>
      </c>
      <c r="I325" s="119" t="n">
        <f aca="false">'🤖 Command R+'!J160</f>
        <v>0</v>
      </c>
    </row>
    <row r="326" customFormat="false" ht="15.75" hidden="false" customHeight="false" outlineLevel="0" collapsed="false">
      <c r="A326" s="118"/>
      <c r="B326" s="4"/>
      <c r="C326" s="6"/>
      <c r="D326" s="159"/>
      <c r="E326" s="6"/>
      <c r="F326" s="6"/>
      <c r="G326" s="6"/>
      <c r="H326" s="6"/>
      <c r="I326" s="6"/>
    </row>
    <row r="327" customFormat="false" ht="15.75" hidden="false" customHeight="false" outlineLevel="0" collapsed="false">
      <c r="A327" s="118" t="n">
        <f aca="false">'🤖 Command R+'!$A$162</f>
        <v>0</v>
      </c>
      <c r="B327" s="4" t="s">
        <v>21</v>
      </c>
      <c r="C327" s="119" t="str">
        <f aca="false">'🤖 Command R+'!C162</f>
        <v>Base</v>
      </c>
      <c r="D327" s="159" t="n">
        <f aca="false">'🤖 Command R+'!E162</f>
        <v>0.004761904762</v>
      </c>
      <c r="E327" s="119" t="n">
        <f aca="false">'🤖 Command R+'!F162</f>
        <v>0</v>
      </c>
      <c r="F327" s="119" t="n">
        <f aca="false">'🤖 Command R+'!G162</f>
        <v>0</v>
      </c>
      <c r="G327" s="119" t="n">
        <f aca="false">'🤖 Command R+'!H162</f>
        <v>0</v>
      </c>
      <c r="H327" s="119" t="n">
        <f aca="false">'🤖 Command R+'!I162</f>
        <v>0</v>
      </c>
      <c r="I327" s="119" t="n">
        <f aca="false">'🤖 Command R+'!J162</f>
        <v>0</v>
      </c>
    </row>
    <row r="328" customFormat="false" ht="15.75" hidden="false" customHeight="false" outlineLevel="0" collapsed="false">
      <c r="A328" s="118" t="n">
        <f aca="false">'🤖 Command R+'!$A$162</f>
        <v>0</v>
      </c>
      <c r="B328" s="4" t="s">
        <v>21</v>
      </c>
      <c r="C328" s="119" t="str">
        <f aca="false">'🤖 Command R+'!C163</f>
        <v>CoT</v>
      </c>
      <c r="D328" s="159" t="n">
        <f aca="false">'🤖 Command R+'!E163</f>
        <v>0.004761904762</v>
      </c>
      <c r="E328" s="119" t="n">
        <f aca="false">'🤖 Command R+'!F163</f>
        <v>0</v>
      </c>
      <c r="F328" s="119" t="n">
        <f aca="false">'🤖 Command R+'!G163</f>
        <v>0</v>
      </c>
      <c r="G328" s="119" t="n">
        <f aca="false">'🤖 Command R+'!H163</f>
        <v>0</v>
      </c>
      <c r="H328" s="119" t="n">
        <f aca="false">'🤖 Command R+'!I163</f>
        <v>0</v>
      </c>
      <c r="I328" s="119" t="n">
        <f aca="false">'🤖 Command R+'!J163</f>
        <v>0</v>
      </c>
    </row>
    <row r="329" customFormat="false" ht="15.75" hidden="false" customHeight="false" outlineLevel="0" collapsed="false">
      <c r="A329" s="118" t="n">
        <f aca="false">'🤖 Command R+'!$A$162</f>
        <v>0</v>
      </c>
      <c r="B329" s="4" t="s">
        <v>21</v>
      </c>
      <c r="C329" s="119" t="str">
        <f aca="false">'🤖 Command R+'!C164</f>
        <v>5W1H</v>
      </c>
      <c r="D329" s="159" t="n">
        <f aca="false">'🤖 Command R+'!E164</f>
        <v>0.004761904762</v>
      </c>
      <c r="E329" s="119" t="n">
        <f aca="false">'🤖 Command R+'!F164</f>
        <v>0</v>
      </c>
      <c r="F329" s="119" t="n">
        <f aca="false">'🤖 Command R+'!G164</f>
        <v>0</v>
      </c>
      <c r="G329" s="119" t="n">
        <f aca="false">'🤖 Command R+'!H164</f>
        <v>0</v>
      </c>
      <c r="H329" s="119" t="n">
        <f aca="false">'🤖 Command R+'!I164</f>
        <v>0</v>
      </c>
      <c r="I329" s="119" t="n">
        <f aca="false">'🤖 Command R+'!J164</f>
        <v>0</v>
      </c>
    </row>
    <row r="330" customFormat="false" ht="15.75" hidden="false" customHeight="false" outlineLevel="0" collapsed="false">
      <c r="A330" s="118" t="n">
        <f aca="false">'🤖 Command R+'!$A$162</f>
        <v>0</v>
      </c>
      <c r="B330" s="4" t="s">
        <v>21</v>
      </c>
      <c r="C330" s="119" t="str">
        <f aca="false">'🤖 Command R+'!C165</f>
        <v>tldr</v>
      </c>
      <c r="D330" s="159" t="n">
        <f aca="false">'🤖 Command R+'!E165</f>
        <v>0.004761904762</v>
      </c>
      <c r="E330" s="119" t="n">
        <f aca="false">'🤖 Command R+'!F165</f>
        <v>0</v>
      </c>
      <c r="F330" s="119" t="n">
        <f aca="false">'🤖 Command R+'!G165</f>
        <v>0</v>
      </c>
      <c r="G330" s="119" t="n">
        <f aca="false">'🤖 Command R+'!H165</f>
        <v>0</v>
      </c>
      <c r="H330" s="119" t="n">
        <f aca="false">'🤖 Command R+'!I165</f>
        <v>0</v>
      </c>
      <c r="I330" s="119" t="n">
        <f aca="false">'🤖 Command R+'!J165</f>
        <v>0</v>
      </c>
    </row>
    <row r="331" customFormat="false" ht="15.75" hidden="false" customHeight="false" outlineLevel="0" collapsed="false">
      <c r="A331" s="9"/>
      <c r="B331" s="9"/>
      <c r="C331" s="51"/>
      <c r="D331" s="9"/>
      <c r="E331" s="51"/>
      <c r="F331" s="51"/>
      <c r="G331" s="51"/>
      <c r="H331" s="51"/>
      <c r="I331" s="51"/>
    </row>
    <row r="332" customFormat="false" ht="15.75" hidden="false" customHeight="false" outlineLevel="0" collapsed="false">
      <c r="A332" s="118" t="str">
        <f aca="false">'🤖 GPT 4o'!$A$2</f>
        <v>https://www.berria.eus/ekonomia/urte-eta-erdiko-kartzela-zigorra-eta-30000-euroko-kalte-ordainak-zorroza-gestion-enpresan-hil-zen-langileagatik_2124960_102.html</v>
      </c>
      <c r="B332" s="4" t="s">
        <v>22</v>
      </c>
      <c r="C332" s="119" t="str">
        <f aca="false">'🤖 GPT 4o'!C2</f>
        <v>Base</v>
      </c>
      <c r="D332" s="140" t="n">
        <f aca="false">'🤖 GPT 4o'!E2</f>
        <v>0.958974359</v>
      </c>
      <c r="E332" s="119" t="n">
        <f aca="false">'🤖 GPT 4o'!F2</f>
        <v>4</v>
      </c>
      <c r="F332" s="119" t="n">
        <f aca="false">'🤖 GPT 4o'!G2</f>
        <v>4</v>
      </c>
      <c r="G332" s="119" t="n">
        <f aca="false">'🤖 GPT 4o'!H2</f>
        <v>5</v>
      </c>
      <c r="H332" s="119" t="n">
        <f aca="false">'🤖 GPT 4o'!I2</f>
        <v>2</v>
      </c>
      <c r="I332" s="119" t="n">
        <f aca="false">'🤖 GPT 4o'!J2</f>
        <v>5</v>
      </c>
      <c r="J332" s="9" t="n">
        <f aca="false">VLOOKUP(B332,__lookup__!A:B,2,FALSE())</f>
        <v>3</v>
      </c>
      <c r="K332" s="9" t="n">
        <f aca="false">VLOOKUP(C332,__lookup__!A:B,2,FALSE())</f>
        <v>10</v>
      </c>
    </row>
    <row r="333" customFormat="false" ht="15.75" hidden="false" customHeight="false" outlineLevel="0" collapsed="false">
      <c r="A333" s="118" t="str">
        <f aca="false">'🤖 GPT 4o'!$A$2</f>
        <v>https://www.berria.eus/ekonomia/urte-eta-erdiko-kartzela-zigorra-eta-30000-euroko-kalte-ordainak-zorroza-gestion-enpresan-hil-zen-langileagatik_2124960_102.html</v>
      </c>
      <c r="B333" s="4" t="s">
        <v>22</v>
      </c>
      <c r="C333" s="119" t="str">
        <f aca="false">'🤖 GPT 4o'!C3</f>
        <v>CoT</v>
      </c>
      <c r="D333" s="126" t="n">
        <f aca="false">'🤖 GPT 4o'!E3</f>
        <v>0.3538461538</v>
      </c>
      <c r="E333" s="119" t="n">
        <f aca="false">'🤖 GPT 4o'!F3</f>
        <v>4</v>
      </c>
      <c r="F333" s="119" t="n">
        <f aca="false">'🤖 GPT 4o'!G3</f>
        <v>4</v>
      </c>
      <c r="G333" s="119" t="n">
        <f aca="false">'🤖 GPT 4o'!H3</f>
        <v>5</v>
      </c>
      <c r="H333" s="119" t="n">
        <f aca="false">'🤖 GPT 4o'!I3</f>
        <v>5</v>
      </c>
      <c r="I333" s="119" t="n">
        <f aca="false">'🤖 GPT 4o'!J3</f>
        <v>4</v>
      </c>
    </row>
    <row r="334" customFormat="false" ht="15.75" hidden="false" customHeight="false" outlineLevel="0" collapsed="false">
      <c r="A334" s="118" t="str">
        <f aca="false">'🤖 GPT 4o'!$A$2</f>
        <v>https://www.berria.eus/ekonomia/urte-eta-erdiko-kartzela-zigorra-eta-30000-euroko-kalte-ordainak-zorroza-gestion-enpresan-hil-zen-langileagatik_2124960_102.html</v>
      </c>
      <c r="B334" s="4" t="s">
        <v>22</v>
      </c>
      <c r="C334" s="119" t="str">
        <f aca="false">'🤖 GPT 4o'!C4</f>
        <v>5W1H</v>
      </c>
      <c r="D334" s="160" t="n">
        <f aca="false">'🤖 GPT 4o'!E4</f>
        <v>0.8461538462</v>
      </c>
      <c r="E334" s="119" t="n">
        <f aca="false">'🤖 GPT 4o'!F4</f>
        <v>3</v>
      </c>
      <c r="F334" s="119" t="n">
        <f aca="false">'🤖 GPT 4o'!G4</f>
        <v>4</v>
      </c>
      <c r="G334" s="119" t="n">
        <f aca="false">'🤖 GPT 4o'!H4</f>
        <v>5</v>
      </c>
      <c r="H334" s="119" t="n">
        <f aca="false">'🤖 GPT 4o'!I4</f>
        <v>3</v>
      </c>
      <c r="I334" s="119" t="n">
        <f aca="false">'🤖 GPT 4o'!J4</f>
        <v>5</v>
      </c>
    </row>
    <row r="335" customFormat="false" ht="15.75" hidden="false" customHeight="false" outlineLevel="0" collapsed="false">
      <c r="A335" s="118" t="str">
        <f aca="false">'🤖 GPT 4o'!$A$2</f>
        <v>https://www.berria.eus/ekonomia/urte-eta-erdiko-kartzela-zigorra-eta-30000-euroko-kalte-ordainak-zorroza-gestion-enpresan-hil-zen-langileagatik_2124960_102.html</v>
      </c>
      <c r="B335" s="4" t="s">
        <v>22</v>
      </c>
      <c r="C335" s="119" t="str">
        <f aca="false">'🤖 GPT 4o'!C5</f>
        <v>tldr</v>
      </c>
      <c r="D335" s="149" t="n">
        <f aca="false">'🤖 GPT 4o'!E5</f>
        <v>0.4871794872</v>
      </c>
      <c r="E335" s="119" t="n">
        <f aca="false">'🤖 GPT 4o'!F5</f>
        <v>4</v>
      </c>
      <c r="F335" s="119" t="n">
        <f aca="false">'🤖 GPT 4o'!G5</f>
        <v>4</v>
      </c>
      <c r="G335" s="119" t="n">
        <f aca="false">'🤖 GPT 4o'!H5</f>
        <v>4</v>
      </c>
      <c r="H335" s="119" t="n">
        <f aca="false">'🤖 GPT 4o'!I5</f>
        <v>4</v>
      </c>
      <c r="I335" s="119" t="n">
        <f aca="false">'🤖 GPT 4o'!J5</f>
        <v>5</v>
      </c>
    </row>
    <row r="336" customFormat="false" ht="15.75" hidden="false" customHeight="false" outlineLevel="0" collapsed="false">
      <c r="A336" s="9"/>
      <c r="B336" s="9"/>
      <c r="C336" s="51"/>
      <c r="D336" s="9"/>
      <c r="E336" s="51"/>
      <c r="F336" s="51"/>
      <c r="G336" s="51"/>
      <c r="H336" s="51"/>
      <c r="I336" s="51"/>
    </row>
    <row r="337" customFormat="false" ht="15.75" hidden="false" customHeight="false" outlineLevel="0" collapsed="false">
      <c r="A337" s="118" t="str">
        <f aca="false">'🤖 GPT 4o'!$A$7</f>
        <v>https://www.berria.eus/kirola/hirutik-hiru-jaka-mariezkurrenarentzat_2117677_102.html</v>
      </c>
      <c r="B337" s="4" t="s">
        <v>22</v>
      </c>
      <c r="C337" s="119" t="str">
        <f aca="false">'🤖 GPT 4o'!C7</f>
        <v>Base</v>
      </c>
      <c r="D337" s="139" t="n">
        <f aca="false">'🤖 GPT 4o'!E7</f>
        <v>1.041666667</v>
      </c>
      <c r="E337" s="119" t="n">
        <f aca="false">'🤖 GPT 4o'!F7</f>
        <v>4</v>
      </c>
      <c r="F337" s="119" t="n">
        <f aca="false">'🤖 GPT 4o'!G7</f>
        <v>5</v>
      </c>
      <c r="G337" s="119" t="n">
        <f aca="false">'🤖 GPT 4o'!H7</f>
        <v>5</v>
      </c>
      <c r="H337" s="119" t="n">
        <f aca="false">'🤖 GPT 4o'!I7</f>
        <v>1</v>
      </c>
      <c r="I337" s="119" t="n">
        <f aca="false">'🤖 GPT 4o'!J7</f>
        <v>5</v>
      </c>
    </row>
    <row r="338" customFormat="false" ht="15.75" hidden="false" customHeight="false" outlineLevel="0" collapsed="false">
      <c r="A338" s="118" t="str">
        <f aca="false">'🤖 GPT 4o'!$A$7</f>
        <v>https://www.berria.eus/kirola/hirutik-hiru-jaka-mariezkurrenarentzat_2117677_102.html</v>
      </c>
      <c r="B338" s="4" t="s">
        <v>22</v>
      </c>
      <c r="C338" s="119" t="str">
        <f aca="false">'🤖 GPT 4o'!C8</f>
        <v>CoT</v>
      </c>
      <c r="D338" s="149" t="n">
        <f aca="false">'🤖 GPT 4o'!E8</f>
        <v>0.3869047619</v>
      </c>
      <c r="E338" s="119" t="n">
        <f aca="false">'🤖 GPT 4o'!F8</f>
        <v>4</v>
      </c>
      <c r="F338" s="119" t="n">
        <f aca="false">'🤖 GPT 4o'!G8</f>
        <v>5</v>
      </c>
      <c r="G338" s="119" t="n">
        <f aca="false">'🤖 GPT 4o'!H8</f>
        <v>4</v>
      </c>
      <c r="H338" s="119" t="n">
        <f aca="false">'🤖 GPT 4o'!I8</f>
        <v>4</v>
      </c>
      <c r="I338" s="119" t="n">
        <f aca="false">'🤖 GPT 4o'!J8</f>
        <v>4</v>
      </c>
    </row>
    <row r="339" customFormat="false" ht="15.75" hidden="false" customHeight="false" outlineLevel="0" collapsed="false">
      <c r="A339" s="118" t="str">
        <f aca="false">'🤖 GPT 4o'!$A$7</f>
        <v>https://www.berria.eus/kirola/hirutik-hiru-jaka-mariezkurrenarentzat_2117677_102.html</v>
      </c>
      <c r="B339" s="4" t="s">
        <v>22</v>
      </c>
      <c r="C339" s="119" t="str">
        <f aca="false">'🤖 GPT 4o'!C9</f>
        <v>5W1H</v>
      </c>
      <c r="D339" s="160" t="n">
        <f aca="false">'🤖 GPT 4o'!E9</f>
        <v>1.160714286</v>
      </c>
      <c r="E339" s="119" t="n">
        <f aca="false">'🤖 GPT 4o'!F9</f>
        <v>3</v>
      </c>
      <c r="F339" s="119" t="n">
        <f aca="false">'🤖 GPT 4o'!G9</f>
        <v>4</v>
      </c>
      <c r="G339" s="119" t="n">
        <f aca="false">'🤖 GPT 4o'!H9</f>
        <v>4</v>
      </c>
      <c r="H339" s="119" t="n">
        <f aca="false">'🤖 GPT 4o'!I9</f>
        <v>3</v>
      </c>
      <c r="I339" s="119" t="n">
        <f aca="false">'🤖 GPT 4o'!J9</f>
        <v>5</v>
      </c>
    </row>
    <row r="340" customFormat="false" ht="15.75" hidden="false" customHeight="false" outlineLevel="0" collapsed="false">
      <c r="A340" s="118" t="str">
        <f aca="false">'🤖 GPT 4o'!$A$7</f>
        <v>https://www.berria.eus/kirola/hirutik-hiru-jaka-mariezkurrenarentzat_2117677_102.html</v>
      </c>
      <c r="B340" s="4" t="s">
        <v>22</v>
      </c>
      <c r="C340" s="119" t="str">
        <f aca="false">'🤖 GPT 4o'!C10</f>
        <v>tldr</v>
      </c>
      <c r="D340" s="148" t="n">
        <f aca="false">'🤖 GPT 4o'!E10</f>
        <v>0.4523809524</v>
      </c>
      <c r="E340" s="119" t="n">
        <f aca="false">'🤖 GPT 4o'!F10</f>
        <v>4</v>
      </c>
      <c r="F340" s="119" t="n">
        <f aca="false">'🤖 GPT 4o'!G10</f>
        <v>4</v>
      </c>
      <c r="G340" s="119" t="n">
        <f aca="false">'🤖 GPT 4o'!H10</f>
        <v>4</v>
      </c>
      <c r="H340" s="119" t="n">
        <f aca="false">'🤖 GPT 4o'!I10</f>
        <v>4</v>
      </c>
      <c r="I340" s="119" t="n">
        <f aca="false">'🤖 GPT 4o'!J10</f>
        <v>5</v>
      </c>
    </row>
    <row r="341" customFormat="false" ht="15.75" hidden="false" customHeight="false" outlineLevel="0" collapsed="false">
      <c r="A341" s="9"/>
      <c r="B341" s="9"/>
      <c r="C341" s="51"/>
      <c r="D341" s="9"/>
      <c r="E341" s="51"/>
      <c r="F341" s="51"/>
      <c r="G341" s="51"/>
      <c r="H341" s="51"/>
      <c r="I341" s="51"/>
    </row>
    <row r="342" customFormat="false" ht="15.75" hidden="false" customHeight="false" outlineLevel="0" collapsed="false">
      <c r="A342" s="118" t="str">
        <f aca="false">'🤖 GPT 4o'!$A$12</f>
        <v>https://www.berria.eus/bizigiro/larreen-eta-larrabereen-balioaz_2126273_102.html</v>
      </c>
      <c r="B342" s="4" t="s">
        <v>22</v>
      </c>
      <c r="C342" s="119" t="str">
        <f aca="false">'🤖 GPT 4o'!C12</f>
        <v>Base</v>
      </c>
      <c r="D342" s="143" t="n">
        <f aca="false">'🤖 GPT 4o'!E12</f>
        <v>0.2883295195</v>
      </c>
      <c r="E342" s="119" t="n">
        <f aca="false">'🤖 GPT 4o'!F12</f>
        <v>4</v>
      </c>
      <c r="F342" s="119" t="n">
        <f aca="false">'🤖 GPT 4o'!G12</f>
        <v>5</v>
      </c>
      <c r="G342" s="119" t="n">
        <f aca="false">'🤖 GPT 4o'!H12</f>
        <v>4</v>
      </c>
      <c r="H342" s="119" t="n">
        <f aca="false">'🤖 GPT 4o'!I12</f>
        <v>3</v>
      </c>
      <c r="I342" s="119" t="n">
        <f aca="false">'🤖 GPT 4o'!J12</f>
        <v>5</v>
      </c>
    </row>
    <row r="343" customFormat="false" ht="15.75" hidden="false" customHeight="false" outlineLevel="0" collapsed="false">
      <c r="A343" s="118" t="str">
        <f aca="false">'🤖 GPT 4o'!$A$12</f>
        <v>https://www.berria.eus/bizigiro/larreen-eta-larrabereen-balioaz_2126273_102.html</v>
      </c>
      <c r="B343" s="4" t="s">
        <v>22</v>
      </c>
      <c r="C343" s="119" t="str">
        <f aca="false">'🤖 GPT 4o'!C13</f>
        <v>CoT</v>
      </c>
      <c r="D343" s="129" t="n">
        <f aca="false">'🤖 GPT 4o'!E13</f>
        <v>0.1853546911</v>
      </c>
      <c r="E343" s="119" t="n">
        <f aca="false">'🤖 GPT 4o'!F13</f>
        <v>4</v>
      </c>
      <c r="F343" s="119" t="n">
        <f aca="false">'🤖 GPT 4o'!G13</f>
        <v>5</v>
      </c>
      <c r="G343" s="119" t="n">
        <f aca="false">'🤖 GPT 4o'!H13</f>
        <v>5</v>
      </c>
      <c r="H343" s="119" t="n">
        <f aca="false">'🤖 GPT 4o'!I13</f>
        <v>5</v>
      </c>
      <c r="I343" s="119" t="n">
        <f aca="false">'🤖 GPT 4o'!J13</f>
        <v>4</v>
      </c>
    </row>
    <row r="344" customFormat="false" ht="15.75" hidden="false" customHeight="false" outlineLevel="0" collapsed="false">
      <c r="A344" s="118" t="str">
        <f aca="false">'🤖 GPT 4o'!$A$12</f>
        <v>https://www.berria.eus/bizigiro/larreen-eta-larrabereen-balioaz_2126273_102.html</v>
      </c>
      <c r="B344" s="4" t="s">
        <v>22</v>
      </c>
      <c r="C344" s="119" t="str">
        <f aca="false">'🤖 GPT 4o'!C14</f>
        <v>5W1H</v>
      </c>
      <c r="D344" s="128" t="n">
        <f aca="false">'🤖 GPT 4o'!E14</f>
        <v>0.3798627002</v>
      </c>
      <c r="E344" s="119" t="n">
        <f aca="false">'🤖 GPT 4o'!F14</f>
        <v>3</v>
      </c>
      <c r="F344" s="119" t="n">
        <f aca="false">'🤖 GPT 4o'!G14</f>
        <v>4</v>
      </c>
      <c r="G344" s="119" t="n">
        <f aca="false">'🤖 GPT 4o'!H14</f>
        <v>5</v>
      </c>
      <c r="H344" s="119" t="n">
        <f aca="false">'🤖 GPT 4o'!I14</f>
        <v>3</v>
      </c>
      <c r="I344" s="119" t="n">
        <f aca="false">'🤖 GPT 4o'!J14</f>
        <v>5</v>
      </c>
    </row>
    <row r="345" customFormat="false" ht="15.75" hidden="false" customHeight="false" outlineLevel="0" collapsed="false">
      <c r="A345" s="118" t="str">
        <f aca="false">'🤖 GPT 4o'!$A$12</f>
        <v>https://www.berria.eus/bizigiro/larreen-eta-larrabereen-balioaz_2126273_102.html</v>
      </c>
      <c r="B345" s="4" t="s">
        <v>22</v>
      </c>
      <c r="C345" s="119" t="str">
        <f aca="false">'🤖 GPT 4o'!C15</f>
        <v>tldr</v>
      </c>
      <c r="D345" s="132" t="n">
        <f aca="false">'🤖 GPT 4o'!E15</f>
        <v>0.23798627</v>
      </c>
      <c r="E345" s="119" t="n">
        <f aca="false">'🤖 GPT 4o'!F15</f>
        <v>3</v>
      </c>
      <c r="F345" s="119" t="n">
        <f aca="false">'🤖 GPT 4o'!G15</f>
        <v>4</v>
      </c>
      <c r="G345" s="119" t="n">
        <f aca="false">'🤖 GPT 4o'!H15</f>
        <v>3</v>
      </c>
      <c r="H345" s="119" t="n">
        <f aca="false">'🤖 GPT 4o'!I15</f>
        <v>5</v>
      </c>
      <c r="I345" s="119" t="n">
        <f aca="false">'🤖 GPT 4o'!J15</f>
        <v>5</v>
      </c>
    </row>
    <row r="346" customFormat="false" ht="15.75" hidden="false" customHeight="false" outlineLevel="0" collapsed="false">
      <c r="A346" s="9"/>
      <c r="B346" s="9"/>
      <c r="C346" s="51"/>
      <c r="D346" s="9"/>
      <c r="E346" s="51"/>
      <c r="F346" s="51"/>
      <c r="G346" s="51"/>
      <c r="H346" s="51"/>
      <c r="I346" s="51"/>
    </row>
    <row r="347" customFormat="false" ht="15.75" hidden="false" customHeight="false" outlineLevel="0" collapsed="false">
      <c r="A347" s="118" t="str">
        <f aca="false">'🤖 GPT 4o'!$A$17</f>
        <v>https://www.berria.eus/kirola/olatua-hartuta-parisera_2121856_102.html</v>
      </c>
      <c r="B347" s="4" t="s">
        <v>22</v>
      </c>
      <c r="C347" s="119" t="str">
        <f aca="false">'🤖 GPT 4o'!C17</f>
        <v>Base</v>
      </c>
      <c r="D347" s="140" t="n">
        <f aca="false">'🤖 GPT 4o'!E17</f>
        <v>0.3375634518</v>
      </c>
      <c r="E347" s="119" t="n">
        <f aca="false">'🤖 GPT 4o'!F17</f>
        <v>4</v>
      </c>
      <c r="F347" s="119" t="n">
        <f aca="false">'🤖 GPT 4o'!G17</f>
        <v>4</v>
      </c>
      <c r="G347" s="119" t="n">
        <f aca="false">'🤖 GPT 4o'!H17</f>
        <v>4</v>
      </c>
      <c r="H347" s="119" t="n">
        <f aca="false">'🤖 GPT 4o'!I17</f>
        <v>4</v>
      </c>
      <c r="I347" s="119" t="n">
        <f aca="false">'🤖 GPT 4o'!J17</f>
        <v>5</v>
      </c>
    </row>
    <row r="348" customFormat="false" ht="15.75" hidden="false" customHeight="false" outlineLevel="0" collapsed="false">
      <c r="A348" s="118" t="str">
        <f aca="false">'🤖 GPT 4o'!$A$17</f>
        <v>https://www.berria.eus/kirola/olatua-hartuta-parisera_2121856_102.html</v>
      </c>
      <c r="B348" s="4" t="s">
        <v>22</v>
      </c>
      <c r="C348" s="119" t="str">
        <f aca="false">'🤖 GPT 4o'!C18</f>
        <v>CoT</v>
      </c>
      <c r="D348" s="130" t="n">
        <f aca="false">'🤖 GPT 4o'!E18</f>
        <v>0.2284263959</v>
      </c>
      <c r="E348" s="119" t="n">
        <f aca="false">'🤖 GPT 4o'!F18</f>
        <v>4</v>
      </c>
      <c r="F348" s="119" t="n">
        <f aca="false">'🤖 GPT 4o'!G18</f>
        <v>4</v>
      </c>
      <c r="G348" s="119" t="n">
        <f aca="false">'🤖 GPT 4o'!H18</f>
        <v>5</v>
      </c>
      <c r="H348" s="119" t="n">
        <f aca="false">'🤖 GPT 4o'!I18</f>
        <v>4</v>
      </c>
      <c r="I348" s="119" t="n">
        <f aca="false">'🤖 GPT 4o'!J18</f>
        <v>4</v>
      </c>
    </row>
    <row r="349" customFormat="false" ht="15.75" hidden="false" customHeight="false" outlineLevel="0" collapsed="false">
      <c r="A349" s="118" t="str">
        <f aca="false">'🤖 GPT 4o'!$A$17</f>
        <v>https://www.berria.eus/kirola/olatua-hartuta-parisera_2121856_102.html</v>
      </c>
      <c r="B349" s="4" t="s">
        <v>22</v>
      </c>
      <c r="C349" s="119" t="str">
        <f aca="false">'🤖 GPT 4o'!C19</f>
        <v>5W1H</v>
      </c>
      <c r="D349" s="160" t="n">
        <f aca="false">'🤖 GPT 4o'!E19</f>
        <v>0.3883248731</v>
      </c>
      <c r="E349" s="119" t="n">
        <f aca="false">'🤖 GPT 4o'!F19</f>
        <v>3</v>
      </c>
      <c r="F349" s="119" t="n">
        <f aca="false">'🤖 GPT 4o'!G19</f>
        <v>5</v>
      </c>
      <c r="G349" s="119" t="n">
        <f aca="false">'🤖 GPT 4o'!H19</f>
        <v>4</v>
      </c>
      <c r="H349" s="119" t="n">
        <f aca="false">'🤖 GPT 4o'!I19</f>
        <v>3</v>
      </c>
      <c r="I349" s="119" t="n">
        <f aca="false">'🤖 GPT 4o'!J19</f>
        <v>4</v>
      </c>
    </row>
    <row r="350" customFormat="false" ht="15.75" hidden="false" customHeight="false" outlineLevel="0" collapsed="false">
      <c r="A350" s="118" t="str">
        <f aca="false">'🤖 GPT 4o'!$A$17</f>
        <v>https://www.berria.eus/kirola/olatua-hartuta-parisera_2121856_102.html</v>
      </c>
      <c r="B350" s="4" t="s">
        <v>22</v>
      </c>
      <c r="C350" s="119" t="str">
        <f aca="false">'🤖 GPT 4o'!C20</f>
        <v>tldr</v>
      </c>
      <c r="D350" s="148" t="n">
        <f aca="false">'🤖 GPT 4o'!E20</f>
        <v>0.1725888325</v>
      </c>
      <c r="E350" s="119" t="n">
        <f aca="false">'🤖 GPT 4o'!F20</f>
        <v>4</v>
      </c>
      <c r="F350" s="119" t="n">
        <f aca="false">'🤖 GPT 4o'!G20</f>
        <v>5</v>
      </c>
      <c r="G350" s="119" t="n">
        <f aca="false">'🤖 GPT 4o'!H20</f>
        <v>4</v>
      </c>
      <c r="H350" s="119" t="n">
        <f aca="false">'🤖 GPT 4o'!I20</f>
        <v>5</v>
      </c>
      <c r="I350" s="119" t="n">
        <f aca="false">'🤖 GPT 4o'!J20</f>
        <v>4</v>
      </c>
    </row>
    <row r="351" customFormat="false" ht="15.75" hidden="false" customHeight="false" outlineLevel="0" collapsed="false">
      <c r="A351" s="9"/>
      <c r="B351" s="9"/>
      <c r="C351" s="51"/>
      <c r="D351" s="9"/>
      <c r="E351" s="51"/>
      <c r="F351" s="51"/>
      <c r="G351" s="51"/>
      <c r="H351" s="51"/>
      <c r="I351" s="51"/>
    </row>
    <row r="352" customFormat="false" ht="15.75" hidden="false" customHeight="false" outlineLevel="0" collapsed="false">
      <c r="A352" s="118" t="str">
        <f aca="false">'🤖 GPT 4o'!$A$22</f>
        <v>https://www.berria.eus/bizigiro/badago-ezkutuan-dagoen-sektore-bat-sarietatik-kanpo-idazten-ari-dena_2119644_102.html</v>
      </c>
      <c r="B352" s="4" t="s">
        <v>22</v>
      </c>
      <c r="C352" s="119" t="str">
        <f aca="false">'🤖 GPT 4o'!C22</f>
        <v>Base</v>
      </c>
      <c r="D352" s="125" t="n">
        <f aca="false">'🤖 GPT 4o'!E22</f>
        <v>0.408988764</v>
      </c>
      <c r="E352" s="119" t="n">
        <f aca="false">'🤖 GPT 4o'!F22</f>
        <v>4</v>
      </c>
      <c r="F352" s="119" t="n">
        <f aca="false">'🤖 GPT 4o'!G22</f>
        <v>4</v>
      </c>
      <c r="G352" s="119" t="n">
        <f aca="false">'🤖 GPT 4o'!H22</f>
        <v>5</v>
      </c>
      <c r="H352" s="119" t="n">
        <f aca="false">'🤖 GPT 4o'!I22</f>
        <v>3</v>
      </c>
      <c r="I352" s="119" t="n">
        <f aca="false">'🤖 GPT 4o'!J22</f>
        <v>5</v>
      </c>
    </row>
    <row r="353" customFormat="false" ht="15.75" hidden="false" customHeight="false" outlineLevel="0" collapsed="false">
      <c r="A353" s="118" t="str">
        <f aca="false">'🤖 GPT 4o'!$A$22</f>
        <v>https://www.berria.eus/bizigiro/badago-ezkutuan-dagoen-sektore-bat-sarietatik-kanpo-idazten-ari-dena_2119644_102.html</v>
      </c>
      <c r="B353" s="4" t="s">
        <v>22</v>
      </c>
      <c r="C353" s="119" t="str">
        <f aca="false">'🤖 GPT 4o'!C23</f>
        <v>CoT</v>
      </c>
      <c r="D353" s="143" t="n">
        <f aca="false">'🤖 GPT 4o'!E23</f>
        <v>0.1595505618</v>
      </c>
      <c r="E353" s="119" t="n">
        <f aca="false">'🤖 GPT 4o'!F23</f>
        <v>4</v>
      </c>
      <c r="F353" s="119" t="n">
        <f aca="false">'🤖 GPT 4o'!G23</f>
        <v>5</v>
      </c>
      <c r="G353" s="119" t="n">
        <f aca="false">'🤖 GPT 4o'!H23</f>
        <v>4</v>
      </c>
      <c r="H353" s="119" t="n">
        <f aca="false">'🤖 GPT 4o'!I23</f>
        <v>4</v>
      </c>
      <c r="I353" s="119" t="n">
        <f aca="false">'🤖 GPT 4o'!J23</f>
        <v>4</v>
      </c>
    </row>
    <row r="354" customFormat="false" ht="15.75" hidden="false" customHeight="false" outlineLevel="0" collapsed="false">
      <c r="A354" s="118" t="str">
        <f aca="false">'🤖 GPT 4o'!$A$22</f>
        <v>https://www.berria.eus/bizigiro/badago-ezkutuan-dagoen-sektore-bat-sarietatik-kanpo-idazten-ari-dena_2119644_102.html</v>
      </c>
      <c r="B354" s="4" t="s">
        <v>22</v>
      </c>
      <c r="C354" s="119" t="str">
        <f aca="false">'🤖 GPT 4o'!C24</f>
        <v>5W1H</v>
      </c>
      <c r="D354" s="126" t="n">
        <f aca="false">'🤖 GPT 4o'!E24</f>
        <v>0.4629213483</v>
      </c>
      <c r="E354" s="119" t="n">
        <f aca="false">'🤖 GPT 4o'!F24</f>
        <v>3</v>
      </c>
      <c r="F354" s="119" t="n">
        <f aca="false">'🤖 GPT 4o'!G24</f>
        <v>4</v>
      </c>
      <c r="G354" s="119" t="n">
        <f aca="false">'🤖 GPT 4o'!H24</f>
        <v>5</v>
      </c>
      <c r="H354" s="119" t="n">
        <f aca="false">'🤖 GPT 4o'!I24</f>
        <v>3</v>
      </c>
      <c r="I354" s="119" t="n">
        <f aca="false">'🤖 GPT 4o'!J24</f>
        <v>5</v>
      </c>
    </row>
    <row r="355" customFormat="false" ht="15.75" hidden="false" customHeight="false" outlineLevel="0" collapsed="false">
      <c r="A355" s="118" t="str">
        <f aca="false">'🤖 GPT 4o'!$A$22</f>
        <v>https://www.berria.eus/bizigiro/badago-ezkutuan-dagoen-sektore-bat-sarietatik-kanpo-idazten-ari-dena_2119644_102.html</v>
      </c>
      <c r="B355" s="4" t="s">
        <v>22</v>
      </c>
      <c r="C355" s="119" t="str">
        <f aca="false">'🤖 GPT 4o'!C25</f>
        <v>tldr</v>
      </c>
      <c r="D355" s="143" t="n">
        <f aca="false">'🤖 GPT 4o'!E25</f>
        <v>0.1528089888</v>
      </c>
      <c r="E355" s="119" t="n">
        <f aca="false">'🤖 GPT 4o'!F25</f>
        <v>3</v>
      </c>
      <c r="F355" s="119" t="n">
        <f aca="false">'🤖 GPT 4o'!G25</f>
        <v>4</v>
      </c>
      <c r="G355" s="119" t="n">
        <f aca="false">'🤖 GPT 4o'!H25</f>
        <v>4</v>
      </c>
      <c r="H355" s="119" t="n">
        <f aca="false">'🤖 GPT 4o'!I25</f>
        <v>5</v>
      </c>
      <c r="I355" s="119" t="n">
        <f aca="false">'🤖 GPT 4o'!J25</f>
        <v>4</v>
      </c>
    </row>
    <row r="356" customFormat="false" ht="15.75" hidden="false" customHeight="false" outlineLevel="0" collapsed="false">
      <c r="A356" s="9"/>
      <c r="B356" s="9"/>
      <c r="C356" s="51"/>
      <c r="D356" s="9"/>
      <c r="E356" s="51"/>
      <c r="F356" s="51"/>
      <c r="G356" s="51"/>
      <c r="H356" s="51"/>
      <c r="I356" s="51"/>
    </row>
    <row r="357" customFormat="false" ht="15.75" hidden="false" customHeight="false" outlineLevel="0" collapsed="false">
      <c r="A357" s="118" t="str">
        <f aca="false">'🤖 GPT 4o'!$A$27</f>
        <v>https://www.berria.eus/bizigiro/istorioak-irudien-bidez-kontatzen-ditut-oso-hizkuntza-unibertsala-da_2121576_102.html</v>
      </c>
      <c r="B357" s="4" t="s">
        <v>22</v>
      </c>
      <c r="C357" s="119" t="str">
        <f aca="false">'🤖 GPT 4o'!C27</f>
        <v>Base</v>
      </c>
      <c r="D357" s="161" t="n">
        <f aca="false">'🤖 GPT 4o'!E27</f>
        <v>0.2483370288</v>
      </c>
      <c r="E357" s="119" t="n">
        <f aca="false">'🤖 GPT 4o'!F27</f>
        <v>3</v>
      </c>
      <c r="F357" s="119" t="n">
        <f aca="false">'🤖 GPT 4o'!G27</f>
        <v>5</v>
      </c>
      <c r="G357" s="119" t="n">
        <f aca="false">'🤖 GPT 4o'!H27</f>
        <v>4</v>
      </c>
      <c r="H357" s="119" t="n">
        <f aca="false">'🤖 GPT 4o'!I27</f>
        <v>3</v>
      </c>
      <c r="I357" s="119" t="n">
        <f aca="false">'🤖 GPT 4o'!J27</f>
        <v>5</v>
      </c>
    </row>
    <row r="358" customFormat="false" ht="15.75" hidden="false" customHeight="false" outlineLevel="0" collapsed="false">
      <c r="A358" s="118" t="str">
        <f aca="false">'🤖 GPT 4o'!$A$27</f>
        <v>https://www.berria.eus/bizigiro/istorioak-irudien-bidez-kontatzen-ditut-oso-hizkuntza-unibertsala-da_2121576_102.html</v>
      </c>
      <c r="B358" s="4" t="s">
        <v>22</v>
      </c>
      <c r="C358" s="119" t="str">
        <f aca="false">'🤖 GPT 4o'!C28</f>
        <v>CoT</v>
      </c>
      <c r="D358" s="158" t="n">
        <f aca="false">'🤖 GPT 4o'!E28</f>
        <v>0.1707317073</v>
      </c>
      <c r="E358" s="119" t="n">
        <f aca="false">'🤖 GPT 4o'!F28</f>
        <v>4</v>
      </c>
      <c r="F358" s="119" t="n">
        <f aca="false">'🤖 GPT 4o'!G28</f>
        <v>5</v>
      </c>
      <c r="G358" s="119" t="n">
        <f aca="false">'🤖 GPT 4o'!H28</f>
        <v>4</v>
      </c>
      <c r="H358" s="119" t="n">
        <f aca="false">'🤖 GPT 4o'!I28</f>
        <v>4</v>
      </c>
      <c r="I358" s="119" t="n">
        <f aca="false">'🤖 GPT 4o'!J28</f>
        <v>4</v>
      </c>
    </row>
    <row r="359" customFormat="false" ht="15.75" hidden="false" customHeight="false" outlineLevel="0" collapsed="false">
      <c r="A359" s="118" t="str">
        <f aca="false">'🤖 GPT 4o'!$A$27</f>
        <v>https://www.berria.eus/bizigiro/istorioak-irudien-bidez-kontatzen-ditut-oso-hizkuntza-unibertsala-da_2121576_102.html</v>
      </c>
      <c r="B359" s="4" t="s">
        <v>22</v>
      </c>
      <c r="C359" s="119" t="str">
        <f aca="false">'🤖 GPT 4o'!C29</f>
        <v>5W1H</v>
      </c>
      <c r="D359" s="162" t="n">
        <f aca="false">'🤖 GPT 4o'!E29</f>
        <v>0.4035476718</v>
      </c>
      <c r="E359" s="119" t="n">
        <f aca="false">'🤖 GPT 4o'!F29</f>
        <v>3</v>
      </c>
      <c r="F359" s="119" t="n">
        <f aca="false">'🤖 GPT 4o'!G29</f>
        <v>4</v>
      </c>
      <c r="G359" s="119" t="n">
        <f aca="false">'🤖 GPT 4o'!H29</f>
        <v>4</v>
      </c>
      <c r="H359" s="119" t="n">
        <f aca="false">'🤖 GPT 4o'!I29</f>
        <v>3</v>
      </c>
      <c r="I359" s="119" t="n">
        <f aca="false">'🤖 GPT 4o'!J29</f>
        <v>5</v>
      </c>
    </row>
    <row r="360" customFormat="false" ht="15.75" hidden="false" customHeight="false" outlineLevel="0" collapsed="false">
      <c r="A360" s="118" t="str">
        <f aca="false">'🤖 GPT 4o'!$A$27</f>
        <v>https://www.berria.eus/bizigiro/istorioak-irudien-bidez-kontatzen-ditut-oso-hizkuntza-unibertsala-da_2121576_102.html</v>
      </c>
      <c r="B360" s="4" t="s">
        <v>22</v>
      </c>
      <c r="C360" s="119" t="str">
        <f aca="false">'🤖 GPT 4o'!C30</f>
        <v>tldr</v>
      </c>
      <c r="D360" s="120" t="n">
        <f aca="false">'🤖 GPT 4o'!E30</f>
        <v>0.1507760532</v>
      </c>
      <c r="E360" s="119" t="n">
        <f aca="false">'🤖 GPT 4o'!F30</f>
        <v>4</v>
      </c>
      <c r="F360" s="119" t="n">
        <f aca="false">'🤖 GPT 4o'!G30</f>
        <v>5</v>
      </c>
      <c r="G360" s="119" t="n">
        <f aca="false">'🤖 GPT 4o'!H30</f>
        <v>5</v>
      </c>
      <c r="H360" s="119" t="n">
        <f aca="false">'🤖 GPT 4o'!I30</f>
        <v>5</v>
      </c>
      <c r="I360" s="119" t="n">
        <f aca="false">'🤖 GPT 4o'!J30</f>
        <v>5</v>
      </c>
    </row>
    <row r="361" customFormat="false" ht="15.75" hidden="false" customHeight="false" outlineLevel="0" collapsed="false">
      <c r="A361" s="9"/>
      <c r="B361" s="9"/>
      <c r="C361" s="51"/>
      <c r="D361" s="9"/>
      <c r="E361" s="51"/>
      <c r="F361" s="51"/>
      <c r="G361" s="51"/>
      <c r="H361" s="51"/>
      <c r="I361" s="51"/>
    </row>
    <row r="362" customFormat="false" ht="15.75" hidden="false" customHeight="false" outlineLevel="0" collapsed="false">
      <c r="A362" s="118" t="str">
        <f aca="false">'🤖 GPT 4o'!$A$32</f>
        <v>https://www.berria.eus/euskal-herria/etxeko-atxiloaldia-ezarri-diote-labioko-hiltzaileari_2124515_102.html</v>
      </c>
      <c r="B362" s="4" t="s">
        <v>22</v>
      </c>
      <c r="C362" s="119" t="str">
        <f aca="false">'🤖 GPT 4o'!C32</f>
        <v>Base</v>
      </c>
      <c r="D362" s="163" t="n">
        <f aca="false">'🤖 GPT 4o'!E32</f>
        <v>0.4</v>
      </c>
      <c r="E362" s="119" t="n">
        <f aca="false">'🤖 GPT 4o'!F32</f>
        <v>3</v>
      </c>
      <c r="F362" s="119" t="n">
        <f aca="false">'🤖 GPT 4o'!G32</f>
        <v>5</v>
      </c>
      <c r="G362" s="119" t="n">
        <f aca="false">'🤖 GPT 4o'!H32</f>
        <v>5</v>
      </c>
      <c r="H362" s="119" t="n">
        <f aca="false">'🤖 GPT 4o'!I32</f>
        <v>4</v>
      </c>
      <c r="I362" s="119" t="n">
        <f aca="false">'🤖 GPT 4o'!J32</f>
        <v>4</v>
      </c>
    </row>
    <row r="363" customFormat="false" ht="15.75" hidden="false" customHeight="false" outlineLevel="0" collapsed="false">
      <c r="A363" s="118" t="str">
        <f aca="false">'🤖 GPT 4o'!$A$32</f>
        <v>https://www.berria.eus/euskal-herria/etxeko-atxiloaldia-ezarri-diote-labioko-hiltzaileari_2124515_102.html</v>
      </c>
      <c r="B363" s="4" t="s">
        <v>22</v>
      </c>
      <c r="C363" s="119" t="str">
        <f aca="false">'🤖 GPT 4o'!C33</f>
        <v>CoT</v>
      </c>
      <c r="D363" s="164" t="n">
        <f aca="false">'🤖 GPT 4o'!E33</f>
        <v>0.2777777778</v>
      </c>
      <c r="E363" s="119" t="n">
        <f aca="false">'🤖 GPT 4o'!F33</f>
        <v>4</v>
      </c>
      <c r="F363" s="119" t="n">
        <f aca="false">'🤖 GPT 4o'!G33</f>
        <v>5</v>
      </c>
      <c r="G363" s="119" t="n">
        <f aca="false">'🤖 GPT 4o'!H33</f>
        <v>4</v>
      </c>
      <c r="H363" s="119" t="n">
        <f aca="false">'🤖 GPT 4o'!I33</f>
        <v>5</v>
      </c>
      <c r="I363" s="119" t="n">
        <f aca="false">'🤖 GPT 4o'!J33</f>
        <v>3</v>
      </c>
    </row>
    <row r="364" customFormat="false" ht="15.75" hidden="false" customHeight="false" outlineLevel="0" collapsed="false">
      <c r="A364" s="118" t="str">
        <f aca="false">'🤖 GPT 4o'!$A$32</f>
        <v>https://www.berria.eus/euskal-herria/etxeko-atxiloaldia-ezarri-diote-labioko-hiltzaileari_2124515_102.html</v>
      </c>
      <c r="B364" s="4" t="s">
        <v>22</v>
      </c>
      <c r="C364" s="119" t="str">
        <f aca="false">'🤖 GPT 4o'!C34</f>
        <v>5W1H</v>
      </c>
      <c r="D364" s="165" t="n">
        <f aca="false">'🤖 GPT 4o'!E34</f>
        <v>0.4592592593</v>
      </c>
      <c r="E364" s="119" t="n">
        <f aca="false">'🤖 GPT 4o'!F34</f>
        <v>3</v>
      </c>
      <c r="F364" s="119" t="n">
        <f aca="false">'🤖 GPT 4o'!G34</f>
        <v>4</v>
      </c>
      <c r="G364" s="119" t="n">
        <f aca="false">'🤖 GPT 4o'!H34</f>
        <v>4</v>
      </c>
      <c r="H364" s="119" t="n">
        <f aca="false">'🤖 GPT 4o'!I34</f>
        <v>3</v>
      </c>
      <c r="I364" s="119" t="n">
        <f aca="false">'🤖 GPT 4o'!J34</f>
        <v>4</v>
      </c>
    </row>
    <row r="365" customFormat="false" ht="15.75" hidden="false" customHeight="false" outlineLevel="0" collapsed="false">
      <c r="A365" s="118" t="str">
        <f aca="false">'🤖 GPT 4o'!$A$32</f>
        <v>https://www.berria.eus/euskal-herria/etxeko-atxiloaldia-ezarri-diote-labioko-hiltzaileari_2124515_102.html</v>
      </c>
      <c r="B365" s="4" t="s">
        <v>22</v>
      </c>
      <c r="C365" s="119" t="str">
        <f aca="false">'🤖 GPT 4o'!C35</f>
        <v>tldr</v>
      </c>
      <c r="D365" s="156" t="n">
        <f aca="false">'🤖 GPT 4o'!E35</f>
        <v>0.2740740741</v>
      </c>
      <c r="E365" s="119" t="n">
        <f aca="false">'🤖 GPT 4o'!F35</f>
        <v>4</v>
      </c>
      <c r="F365" s="119" t="n">
        <f aca="false">'🤖 GPT 4o'!G35</f>
        <v>4</v>
      </c>
      <c r="G365" s="119" t="n">
        <f aca="false">'🤖 GPT 4o'!H35</f>
        <v>4</v>
      </c>
      <c r="H365" s="119" t="n">
        <f aca="false">'🤖 GPT 4o'!I35</f>
        <v>4</v>
      </c>
      <c r="I365" s="119" t="n">
        <f aca="false">'🤖 GPT 4o'!J35</f>
        <v>3</v>
      </c>
    </row>
    <row r="366" customFormat="false" ht="15.75" hidden="false" customHeight="false" outlineLevel="0" collapsed="false">
      <c r="A366" s="9"/>
      <c r="B366" s="9"/>
      <c r="C366" s="51"/>
      <c r="D366" s="9"/>
      <c r="E366" s="51"/>
      <c r="F366" s="51"/>
      <c r="G366" s="51"/>
      <c r="H366" s="51"/>
      <c r="I366" s="51"/>
    </row>
    <row r="367" customFormat="false" ht="15.75" hidden="false" customHeight="false" outlineLevel="0" collapsed="false">
      <c r="A367" s="118" t="str">
        <f aca="false">'🤖 GPT 4o'!$A$37</f>
        <v>https://www.berria.eus/ekonomia/sektore-eolikoa-eta-milaka-lanpostu-desagertzeko-arriskuaz-ohartarazi-du-elak_233844_102.html</v>
      </c>
      <c r="B367" s="4" t="s">
        <v>22</v>
      </c>
      <c r="C367" s="119" t="str">
        <f aca="false">'🤖 GPT 4o'!C37</f>
        <v>Base</v>
      </c>
      <c r="D367" s="140" t="n">
        <f aca="false">'🤖 GPT 4o'!E37</f>
        <v>0.7287735849</v>
      </c>
      <c r="E367" s="119" t="n">
        <f aca="false">'🤖 GPT 4o'!F37</f>
        <v>5</v>
      </c>
      <c r="F367" s="119" t="n">
        <f aca="false">'🤖 GPT 4o'!G37</f>
        <v>4</v>
      </c>
      <c r="G367" s="119" t="n">
        <f aca="false">'🤖 GPT 4o'!H37</f>
        <v>5</v>
      </c>
      <c r="H367" s="119" t="n">
        <f aca="false">'🤖 GPT 4o'!I37</f>
        <v>2</v>
      </c>
      <c r="I367" s="119" t="n">
        <f aca="false">'🤖 GPT 4o'!J37</f>
        <v>5</v>
      </c>
    </row>
    <row r="368" customFormat="false" ht="15.75" hidden="false" customHeight="false" outlineLevel="0" collapsed="false">
      <c r="A368" s="118" t="str">
        <f aca="false">'🤖 GPT 4o'!$A$37</f>
        <v>https://www.berria.eus/ekonomia/sektore-eolikoa-eta-milaka-lanpostu-desagertzeko-arriskuaz-ohartarazi-du-elak_233844_102.html</v>
      </c>
      <c r="B368" s="4" t="s">
        <v>22</v>
      </c>
      <c r="C368" s="119" t="str">
        <f aca="false">'🤖 GPT 4o'!C38</f>
        <v>CoT</v>
      </c>
      <c r="D368" s="139" t="n">
        <f aca="false">'🤖 GPT 4o'!E38</f>
        <v>0.2735849057</v>
      </c>
      <c r="E368" s="119" t="n">
        <f aca="false">'🤖 GPT 4o'!F38</f>
        <v>3</v>
      </c>
      <c r="F368" s="119" t="n">
        <f aca="false">'🤖 GPT 4o'!G38</f>
        <v>4</v>
      </c>
      <c r="G368" s="119" t="n">
        <f aca="false">'🤖 GPT 4o'!H38</f>
        <v>5</v>
      </c>
      <c r="H368" s="119" t="n">
        <f aca="false">'🤖 GPT 4o'!I38</f>
        <v>5</v>
      </c>
      <c r="I368" s="119" t="n">
        <f aca="false">'🤖 GPT 4o'!J38</f>
        <v>5</v>
      </c>
    </row>
    <row r="369" customFormat="false" ht="15.75" hidden="false" customHeight="false" outlineLevel="0" collapsed="false">
      <c r="A369" s="118" t="str">
        <f aca="false">'🤖 GPT 4o'!$A$37</f>
        <v>https://www.berria.eus/ekonomia/sektore-eolikoa-eta-milaka-lanpostu-desagertzeko-arriskuaz-ohartarazi-du-elak_233844_102.html</v>
      </c>
      <c r="B369" s="4" t="s">
        <v>22</v>
      </c>
      <c r="C369" s="119" t="str">
        <f aca="false">'🤖 GPT 4o'!C39</f>
        <v>5W1H</v>
      </c>
      <c r="D369" s="141" t="n">
        <f aca="false">'🤖 GPT 4o'!E39</f>
        <v>0.4504716981</v>
      </c>
      <c r="E369" s="119" t="n">
        <f aca="false">'🤖 GPT 4o'!F39</f>
        <v>2</v>
      </c>
      <c r="F369" s="119" t="n">
        <f aca="false">'🤖 GPT 4o'!G39</f>
        <v>4</v>
      </c>
      <c r="G369" s="119" t="n">
        <f aca="false">'🤖 GPT 4o'!H39</f>
        <v>5</v>
      </c>
      <c r="H369" s="119" t="n">
        <f aca="false">'🤖 GPT 4o'!I39</f>
        <v>2</v>
      </c>
      <c r="I369" s="119" t="n">
        <f aca="false">'🤖 GPT 4o'!J39</f>
        <v>5</v>
      </c>
    </row>
    <row r="370" customFormat="false" ht="15.75" hidden="false" customHeight="false" outlineLevel="0" collapsed="false">
      <c r="A370" s="118" t="str">
        <f aca="false">'🤖 GPT 4o'!$A$37</f>
        <v>https://www.berria.eus/ekonomia/sektore-eolikoa-eta-milaka-lanpostu-desagertzeko-arriskuaz-ohartarazi-du-elak_233844_102.html</v>
      </c>
      <c r="B370" s="4" t="s">
        <v>22</v>
      </c>
      <c r="C370" s="119" t="str">
        <f aca="false">'🤖 GPT 4o'!C40</f>
        <v>tldr</v>
      </c>
      <c r="D370" s="149" t="n">
        <f aca="false">'🤖 GPT 4o'!E40</f>
        <v>0.2122641509</v>
      </c>
      <c r="E370" s="119" t="n">
        <f aca="false">'🤖 GPT 4o'!F40</f>
        <v>4</v>
      </c>
      <c r="F370" s="119" t="n">
        <f aca="false">'🤖 GPT 4o'!G40</f>
        <v>5</v>
      </c>
      <c r="G370" s="119" t="n">
        <f aca="false">'🤖 GPT 4o'!H40</f>
        <v>5</v>
      </c>
      <c r="H370" s="119" t="n">
        <f aca="false">'🤖 GPT 4o'!I40</f>
        <v>5</v>
      </c>
      <c r="I370" s="119" t="n">
        <f aca="false">'🤖 GPT 4o'!J40</f>
        <v>4</v>
      </c>
    </row>
    <row r="371" customFormat="false" ht="15.75" hidden="false" customHeight="false" outlineLevel="0" collapsed="false">
      <c r="A371" s="9"/>
      <c r="B371" s="9"/>
      <c r="C371" s="51"/>
      <c r="D371" s="9"/>
      <c r="E371" s="51"/>
      <c r="F371" s="51"/>
      <c r="G371" s="51"/>
      <c r="H371" s="51"/>
      <c r="I371" s="51"/>
    </row>
    <row r="372" customFormat="false" ht="15.75" hidden="false" customHeight="false" outlineLevel="0" collapsed="false">
      <c r="A372" s="118" t="str">
        <f aca="false">'🤖 GPT 4o'!$A$42</f>
        <v>https://www.berria.eus/kultura/mikroipuinak-txikiak-baina-ez-hutsalak_2121931_102.html</v>
      </c>
      <c r="B372" s="4" t="s">
        <v>22</v>
      </c>
      <c r="C372" s="119" t="str">
        <f aca="false">'🤖 GPT 4o'!C42</f>
        <v>Base</v>
      </c>
      <c r="D372" s="166" t="n">
        <f aca="false">'🤖 GPT 4o'!E42</f>
        <v>0.5069204152</v>
      </c>
      <c r="E372" s="119" t="n">
        <f aca="false">'🤖 GPT 4o'!F42</f>
        <v>4</v>
      </c>
      <c r="F372" s="119" t="n">
        <f aca="false">'🤖 GPT 4o'!G42</f>
        <v>5</v>
      </c>
      <c r="G372" s="119" t="n">
        <f aca="false">'🤖 GPT 4o'!H42</f>
        <v>4</v>
      </c>
      <c r="H372" s="119" t="n">
        <f aca="false">'🤖 GPT 4o'!I42</f>
        <v>2</v>
      </c>
      <c r="I372" s="119" t="n">
        <f aca="false">'🤖 GPT 4o'!J42</f>
        <v>5</v>
      </c>
    </row>
    <row r="373" customFormat="false" ht="15.75" hidden="false" customHeight="false" outlineLevel="0" collapsed="false">
      <c r="A373" s="118" t="str">
        <f aca="false">'🤖 GPT 4o'!$A$42</f>
        <v>https://www.berria.eus/kultura/mikroipuinak-txikiak-baina-ez-hutsalak_2121931_102.html</v>
      </c>
      <c r="B373" s="4" t="s">
        <v>22</v>
      </c>
      <c r="C373" s="119" t="str">
        <f aca="false">'🤖 GPT 4o'!C43</f>
        <v>CoT</v>
      </c>
      <c r="D373" s="154" t="n">
        <f aca="false">'🤖 GPT 4o'!E43</f>
        <v>0.1799307958</v>
      </c>
      <c r="E373" s="119" t="n">
        <f aca="false">'🤖 GPT 4o'!F43</f>
        <v>4</v>
      </c>
      <c r="F373" s="119" t="n">
        <f aca="false">'🤖 GPT 4o'!G43</f>
        <v>5</v>
      </c>
      <c r="G373" s="119" t="n">
        <f aca="false">'🤖 GPT 4o'!H43</f>
        <v>4</v>
      </c>
      <c r="H373" s="119" t="n">
        <f aca="false">'🤖 GPT 4o'!I43</f>
        <v>5</v>
      </c>
      <c r="I373" s="119" t="n">
        <f aca="false">'🤖 GPT 4o'!J43</f>
        <v>4</v>
      </c>
    </row>
    <row r="374" customFormat="false" ht="15.75" hidden="false" customHeight="false" outlineLevel="0" collapsed="false">
      <c r="A374" s="118" t="str">
        <f aca="false">'🤖 GPT 4o'!$A$42</f>
        <v>https://www.berria.eus/kultura/mikroipuinak-txikiak-baina-ez-hutsalak_2121931_102.html</v>
      </c>
      <c r="B374" s="4" t="s">
        <v>22</v>
      </c>
      <c r="C374" s="119" t="str">
        <f aca="false">'🤖 GPT 4o'!C44</f>
        <v>5W1H</v>
      </c>
      <c r="D374" s="167" t="n">
        <f aca="false">'🤖 GPT 4o'!E44</f>
        <v>0.2422145329</v>
      </c>
      <c r="E374" s="119" t="n">
        <f aca="false">'🤖 GPT 4o'!F44</f>
        <v>4</v>
      </c>
      <c r="F374" s="119" t="n">
        <f aca="false">'🤖 GPT 4o'!G44</f>
        <v>5</v>
      </c>
      <c r="G374" s="119" t="n">
        <f aca="false">'🤖 GPT 4o'!H44</f>
        <v>4</v>
      </c>
      <c r="H374" s="119" t="n">
        <f aca="false">'🤖 GPT 4o'!I44</f>
        <v>4</v>
      </c>
      <c r="I374" s="119" t="n">
        <f aca="false">'🤖 GPT 4o'!J44</f>
        <v>5</v>
      </c>
    </row>
    <row r="375" customFormat="false" ht="15.75" hidden="false" customHeight="false" outlineLevel="0" collapsed="false">
      <c r="A375" s="118" t="str">
        <f aca="false">'🤖 GPT 4o'!$A$42</f>
        <v>https://www.berria.eus/kultura/mikroipuinak-txikiak-baina-ez-hutsalak_2121931_102.html</v>
      </c>
      <c r="B375" s="4" t="s">
        <v>22</v>
      </c>
      <c r="C375" s="119" t="str">
        <f aca="false">'🤖 GPT 4o'!C45</f>
        <v>tldr</v>
      </c>
      <c r="D375" s="140" t="n">
        <f aca="false">'🤖 GPT 4o'!E45</f>
        <v>0.1885813149</v>
      </c>
      <c r="E375" s="119" t="n">
        <f aca="false">'🤖 GPT 4o'!F45</f>
        <v>4</v>
      </c>
      <c r="F375" s="119" t="n">
        <f aca="false">'🤖 GPT 4o'!G45</f>
        <v>4</v>
      </c>
      <c r="G375" s="119" t="n">
        <f aca="false">'🤖 GPT 4o'!H45</f>
        <v>4</v>
      </c>
      <c r="H375" s="119" t="n">
        <f aca="false">'🤖 GPT 4o'!I45</f>
        <v>4</v>
      </c>
      <c r="I375" s="119" t="n">
        <f aca="false">'🤖 GPT 4o'!J45</f>
        <v>5</v>
      </c>
    </row>
    <row r="376" customFormat="false" ht="15.75" hidden="false" customHeight="false" outlineLevel="0" collapsed="false">
      <c r="A376" s="9"/>
      <c r="B376" s="9"/>
      <c r="C376" s="51"/>
      <c r="D376" s="9"/>
      <c r="E376" s="51"/>
      <c r="F376" s="51"/>
      <c r="G376" s="51"/>
      <c r="H376" s="51"/>
      <c r="I376" s="51"/>
    </row>
    <row r="377" customFormat="false" ht="15.75" hidden="false" customHeight="false" outlineLevel="0" collapsed="false">
      <c r="A377" s="118" t="str">
        <f aca="false">'🤖 GPT 4o'!$A$47</f>
        <v>https://www.berria.eus/euskal-herria/guardia-zibilak-dio-europako-speed-laborategi-handiena-aurkitu-duela-euskal-herrian_2125543_102.html</v>
      </c>
      <c r="B377" s="4" t="s">
        <v>22</v>
      </c>
      <c r="C377" s="119" t="str">
        <f aca="false">'🤖 GPT 4o'!C47</f>
        <v>Base</v>
      </c>
      <c r="D377" s="125" t="n">
        <f aca="false">'🤖 GPT 4o'!E47</f>
        <v>0.6428571429</v>
      </c>
      <c r="E377" s="119" t="n">
        <f aca="false">'🤖 GPT 4o'!F47</f>
        <v>4</v>
      </c>
      <c r="F377" s="119" t="n">
        <f aca="false">'🤖 GPT 4o'!G47</f>
        <v>4</v>
      </c>
      <c r="G377" s="119" t="n">
        <f aca="false">'🤖 GPT 4o'!H47</f>
        <v>5</v>
      </c>
      <c r="H377" s="119" t="n">
        <f aca="false">'🤖 GPT 4o'!I47</f>
        <v>3</v>
      </c>
      <c r="I377" s="119" t="n">
        <f aca="false">'🤖 GPT 4o'!J47</f>
        <v>5</v>
      </c>
    </row>
    <row r="378" customFormat="false" ht="15.75" hidden="false" customHeight="false" outlineLevel="0" collapsed="false">
      <c r="A378" s="118" t="str">
        <f aca="false">'🤖 GPT 4o'!$A$47</f>
        <v>https://www.berria.eus/euskal-herria/guardia-zibilak-dio-europako-speed-laborategi-handiena-aurkitu-duela-euskal-herrian_2125543_102.html</v>
      </c>
      <c r="B378" s="4" t="s">
        <v>22</v>
      </c>
      <c r="C378" s="119" t="str">
        <f aca="false">'🤖 GPT 4o'!C48</f>
        <v>CoT</v>
      </c>
      <c r="D378" s="143" t="n">
        <f aca="false">'🤖 GPT 4o'!E48</f>
        <v>0.3380952381</v>
      </c>
      <c r="E378" s="119" t="n">
        <f aca="false">'🤖 GPT 4o'!F48</f>
        <v>4</v>
      </c>
      <c r="F378" s="119" t="n">
        <f aca="false">'🤖 GPT 4o'!G48</f>
        <v>4</v>
      </c>
      <c r="G378" s="119" t="n">
        <f aca="false">'🤖 GPT 4o'!H48</f>
        <v>5</v>
      </c>
      <c r="H378" s="119" t="n">
        <f aca="false">'🤖 GPT 4o'!I48</f>
        <v>4</v>
      </c>
      <c r="I378" s="119" t="n">
        <f aca="false">'🤖 GPT 4o'!J48</f>
        <v>4</v>
      </c>
    </row>
    <row r="379" customFormat="false" ht="15.75" hidden="false" customHeight="false" outlineLevel="0" collapsed="false">
      <c r="A379" s="118" t="str">
        <f aca="false">'🤖 GPT 4o'!$A$47</f>
        <v>https://www.berria.eus/euskal-herria/guardia-zibilak-dio-europako-speed-laborategi-handiena-aurkitu-duela-euskal-herrian_2125543_102.html</v>
      </c>
      <c r="B379" s="4" t="s">
        <v>22</v>
      </c>
      <c r="C379" s="119" t="str">
        <f aca="false">'🤖 GPT 4o'!C49</f>
        <v>5W1H</v>
      </c>
      <c r="D379" s="128" t="n">
        <f aca="false">'🤖 GPT 4o'!E49</f>
        <v>0.6571428571</v>
      </c>
      <c r="E379" s="119" t="n">
        <f aca="false">'🤖 GPT 4o'!F49</f>
        <v>3</v>
      </c>
      <c r="F379" s="119" t="n">
        <f aca="false">'🤖 GPT 4o'!G49</f>
        <v>4</v>
      </c>
      <c r="G379" s="119" t="n">
        <f aca="false">'🤖 GPT 4o'!H49</f>
        <v>5</v>
      </c>
      <c r="H379" s="119" t="n">
        <f aca="false">'🤖 GPT 4o'!I49</f>
        <v>3</v>
      </c>
      <c r="I379" s="119" t="n">
        <f aca="false">'🤖 GPT 4o'!J49</f>
        <v>5</v>
      </c>
    </row>
    <row r="380" customFormat="false" ht="15.75" hidden="false" customHeight="false" outlineLevel="0" collapsed="false">
      <c r="A380" s="118" t="str">
        <f aca="false">'🤖 GPT 4o'!$A$47</f>
        <v>https://www.berria.eus/euskal-herria/guardia-zibilak-dio-europako-speed-laborategi-handiena-aurkitu-duela-euskal-herrian_2125543_102.html</v>
      </c>
      <c r="B380" s="4" t="s">
        <v>22</v>
      </c>
      <c r="C380" s="119" t="str">
        <f aca="false">'🤖 GPT 4o'!C50</f>
        <v>tldr</v>
      </c>
      <c r="D380" s="132" t="n">
        <f aca="false">'🤖 GPT 4o'!E50</f>
        <v>0.3333333333</v>
      </c>
      <c r="E380" s="119" t="n">
        <f aca="false">'🤖 GPT 4o'!F50</f>
        <v>4</v>
      </c>
      <c r="F380" s="119" t="n">
        <f aca="false">'🤖 GPT 4o'!G50</f>
        <v>5</v>
      </c>
      <c r="G380" s="119" t="n">
        <f aca="false">'🤖 GPT 4o'!H50</f>
        <v>5</v>
      </c>
      <c r="H380" s="119" t="n">
        <f aca="false">'🤖 GPT 4o'!I50</f>
        <v>5</v>
      </c>
      <c r="I380" s="119" t="n">
        <f aca="false">'🤖 GPT 4o'!J50</f>
        <v>5</v>
      </c>
    </row>
    <row r="381" customFormat="false" ht="15.75" hidden="false" customHeight="false" outlineLevel="0" collapsed="false">
      <c r="A381" s="118"/>
      <c r="B381" s="4"/>
      <c r="C381" s="6"/>
      <c r="D381" s="132"/>
      <c r="E381" s="6"/>
      <c r="F381" s="6"/>
      <c r="G381" s="6"/>
      <c r="H381" s="6"/>
      <c r="I381" s="6"/>
    </row>
    <row r="382" customFormat="false" ht="15.75" hidden="false" customHeight="false" outlineLevel="0" collapsed="false">
      <c r="A382" s="118" t="n">
        <f aca="false">'🤖 GPT 4o'!$A$52</f>
        <v>0</v>
      </c>
      <c r="B382" s="4" t="s">
        <v>22</v>
      </c>
      <c r="C382" s="119" t="str">
        <f aca="false">'🤖 GPT 4o'!C52</f>
        <v>Base</v>
      </c>
      <c r="D382" s="132" t="n">
        <f aca="false">'🤖 GPT 4o'!E52</f>
        <v>0.004761904762</v>
      </c>
      <c r="E382" s="119" t="n">
        <f aca="false">'🤖 GPT 4o'!F52</f>
        <v>0</v>
      </c>
      <c r="F382" s="119" t="n">
        <f aca="false">'🤖 GPT 4o'!G52</f>
        <v>0</v>
      </c>
      <c r="G382" s="119" t="n">
        <f aca="false">'🤖 GPT 4o'!H52</f>
        <v>0</v>
      </c>
      <c r="H382" s="119" t="n">
        <f aca="false">'🤖 GPT 4o'!I52</f>
        <v>0</v>
      </c>
      <c r="I382" s="119" t="n">
        <f aca="false">'🤖 GPT 4o'!J52</f>
        <v>0</v>
      </c>
    </row>
    <row r="383" customFormat="false" ht="15.75" hidden="false" customHeight="false" outlineLevel="0" collapsed="false">
      <c r="A383" s="118" t="n">
        <f aca="false">'🤖 GPT 4o'!$A$52</f>
        <v>0</v>
      </c>
      <c r="B383" s="4" t="s">
        <v>22</v>
      </c>
      <c r="C383" s="119" t="str">
        <f aca="false">'🤖 GPT 4o'!C53</f>
        <v>CoT</v>
      </c>
      <c r="D383" s="132" t="n">
        <f aca="false">'🤖 GPT 4o'!E53</f>
        <v>0.004761904762</v>
      </c>
      <c r="E383" s="119" t="n">
        <f aca="false">'🤖 GPT 4o'!F53</f>
        <v>0</v>
      </c>
      <c r="F383" s="119" t="n">
        <f aca="false">'🤖 GPT 4o'!G53</f>
        <v>0</v>
      </c>
      <c r="G383" s="119" t="n">
        <f aca="false">'🤖 GPT 4o'!H53</f>
        <v>0</v>
      </c>
      <c r="H383" s="119" t="n">
        <f aca="false">'🤖 GPT 4o'!I53</f>
        <v>0</v>
      </c>
      <c r="I383" s="119" t="n">
        <f aca="false">'🤖 GPT 4o'!J53</f>
        <v>0</v>
      </c>
    </row>
    <row r="384" customFormat="false" ht="15.75" hidden="false" customHeight="false" outlineLevel="0" collapsed="false">
      <c r="A384" s="118" t="n">
        <f aca="false">'🤖 GPT 4o'!$A$52</f>
        <v>0</v>
      </c>
      <c r="B384" s="4" t="s">
        <v>22</v>
      </c>
      <c r="C384" s="119" t="str">
        <f aca="false">'🤖 GPT 4o'!C54</f>
        <v>5W1H</v>
      </c>
      <c r="D384" s="132" t="n">
        <f aca="false">'🤖 GPT 4o'!E54</f>
        <v>0.004761904762</v>
      </c>
      <c r="E384" s="119" t="n">
        <f aca="false">'🤖 GPT 4o'!F54</f>
        <v>0</v>
      </c>
      <c r="F384" s="119" t="n">
        <f aca="false">'🤖 GPT 4o'!G54</f>
        <v>0</v>
      </c>
      <c r="G384" s="119" t="n">
        <f aca="false">'🤖 GPT 4o'!H54</f>
        <v>0</v>
      </c>
      <c r="H384" s="119" t="n">
        <f aca="false">'🤖 GPT 4o'!I54</f>
        <v>0</v>
      </c>
      <c r="I384" s="119" t="n">
        <f aca="false">'🤖 GPT 4o'!J54</f>
        <v>0</v>
      </c>
    </row>
    <row r="385" customFormat="false" ht="15.75" hidden="false" customHeight="false" outlineLevel="0" collapsed="false">
      <c r="A385" s="118" t="n">
        <f aca="false">'🤖 GPT 4o'!$A$52</f>
        <v>0</v>
      </c>
      <c r="B385" s="4" t="s">
        <v>22</v>
      </c>
      <c r="C385" s="119" t="str">
        <f aca="false">'🤖 GPT 4o'!C55</f>
        <v>tldr</v>
      </c>
      <c r="D385" s="132" t="n">
        <f aca="false">'🤖 GPT 4o'!E55</f>
        <v>0.004761904762</v>
      </c>
      <c r="E385" s="119" t="n">
        <f aca="false">'🤖 GPT 4o'!F55</f>
        <v>0</v>
      </c>
      <c r="F385" s="119" t="n">
        <f aca="false">'🤖 GPT 4o'!G55</f>
        <v>0</v>
      </c>
      <c r="G385" s="119" t="n">
        <f aca="false">'🤖 GPT 4o'!H55</f>
        <v>0</v>
      </c>
      <c r="H385" s="119" t="n">
        <f aca="false">'🤖 GPT 4o'!I55</f>
        <v>0</v>
      </c>
      <c r="I385" s="119" t="n">
        <f aca="false">'🤖 GPT 4o'!J55</f>
        <v>0</v>
      </c>
    </row>
    <row r="386" customFormat="false" ht="15.75" hidden="false" customHeight="false" outlineLevel="0" collapsed="false">
      <c r="A386" s="118"/>
      <c r="B386" s="4"/>
      <c r="C386" s="6"/>
      <c r="D386" s="132"/>
      <c r="E386" s="6"/>
      <c r="F386" s="6"/>
      <c r="G386" s="6"/>
      <c r="H386" s="6"/>
      <c r="I386" s="6"/>
    </row>
    <row r="387" customFormat="false" ht="15.75" hidden="false" customHeight="false" outlineLevel="0" collapsed="false">
      <c r="A387" s="118" t="n">
        <f aca="false">'🤖 GPT 4o'!$A$57</f>
        <v>0</v>
      </c>
      <c r="B387" s="4" t="s">
        <v>22</v>
      </c>
      <c r="C387" s="119" t="str">
        <f aca="false">'🤖 GPT 4o'!C57</f>
        <v>Base</v>
      </c>
      <c r="D387" s="132" t="n">
        <f aca="false">'🤖 GPT 4o'!E57</f>
        <v>0.004761904762</v>
      </c>
      <c r="E387" s="119" t="n">
        <f aca="false">'🤖 GPT 4o'!F57</f>
        <v>0</v>
      </c>
      <c r="F387" s="119" t="n">
        <f aca="false">'🤖 GPT 4o'!G57</f>
        <v>0</v>
      </c>
      <c r="G387" s="119" t="n">
        <f aca="false">'🤖 GPT 4o'!H57</f>
        <v>0</v>
      </c>
      <c r="H387" s="119" t="n">
        <f aca="false">'🤖 GPT 4o'!I57</f>
        <v>0</v>
      </c>
      <c r="I387" s="119" t="n">
        <f aca="false">'🤖 GPT 4o'!J57</f>
        <v>0</v>
      </c>
    </row>
    <row r="388" customFormat="false" ht="15.75" hidden="false" customHeight="false" outlineLevel="0" collapsed="false">
      <c r="A388" s="118" t="n">
        <f aca="false">'🤖 GPT 4o'!$A$57</f>
        <v>0</v>
      </c>
      <c r="B388" s="4" t="s">
        <v>22</v>
      </c>
      <c r="C388" s="119" t="str">
        <f aca="false">'🤖 GPT 4o'!C58</f>
        <v>CoT</v>
      </c>
      <c r="D388" s="132" t="n">
        <f aca="false">'🤖 GPT 4o'!E58</f>
        <v>0.004761904762</v>
      </c>
      <c r="E388" s="119" t="n">
        <f aca="false">'🤖 GPT 4o'!F58</f>
        <v>0</v>
      </c>
      <c r="F388" s="119" t="n">
        <f aca="false">'🤖 GPT 4o'!G58</f>
        <v>0</v>
      </c>
      <c r="G388" s="119" t="n">
        <f aca="false">'🤖 GPT 4o'!H58</f>
        <v>0</v>
      </c>
      <c r="H388" s="119" t="n">
        <f aca="false">'🤖 GPT 4o'!I58</f>
        <v>0</v>
      </c>
      <c r="I388" s="119" t="n">
        <f aca="false">'🤖 GPT 4o'!J58</f>
        <v>0</v>
      </c>
    </row>
    <row r="389" customFormat="false" ht="15.75" hidden="false" customHeight="false" outlineLevel="0" collapsed="false">
      <c r="A389" s="118" t="n">
        <f aca="false">'🤖 GPT 4o'!$A$57</f>
        <v>0</v>
      </c>
      <c r="B389" s="4" t="s">
        <v>22</v>
      </c>
      <c r="C389" s="119" t="str">
        <f aca="false">'🤖 GPT 4o'!C59</f>
        <v>5W1H</v>
      </c>
      <c r="D389" s="132" t="n">
        <f aca="false">'🤖 GPT 4o'!E59</f>
        <v>0.004761904762</v>
      </c>
      <c r="E389" s="119" t="n">
        <f aca="false">'🤖 GPT 4o'!F59</f>
        <v>0</v>
      </c>
      <c r="F389" s="119" t="n">
        <f aca="false">'🤖 GPT 4o'!G59</f>
        <v>0</v>
      </c>
      <c r="G389" s="119" t="n">
        <f aca="false">'🤖 GPT 4o'!H59</f>
        <v>0</v>
      </c>
      <c r="H389" s="119" t="n">
        <f aca="false">'🤖 GPT 4o'!I59</f>
        <v>0</v>
      </c>
      <c r="I389" s="119" t="n">
        <f aca="false">'🤖 GPT 4o'!J59</f>
        <v>0</v>
      </c>
    </row>
    <row r="390" customFormat="false" ht="15.75" hidden="false" customHeight="false" outlineLevel="0" collapsed="false">
      <c r="A390" s="118" t="n">
        <f aca="false">'🤖 GPT 4o'!$A$57</f>
        <v>0</v>
      </c>
      <c r="B390" s="4" t="s">
        <v>22</v>
      </c>
      <c r="C390" s="119" t="str">
        <f aca="false">'🤖 GPT 4o'!C60</f>
        <v>tldr</v>
      </c>
      <c r="D390" s="132" t="n">
        <f aca="false">'🤖 GPT 4o'!E60</f>
        <v>0.004761904762</v>
      </c>
      <c r="E390" s="119" t="n">
        <f aca="false">'🤖 GPT 4o'!F60</f>
        <v>0</v>
      </c>
      <c r="F390" s="119" t="n">
        <f aca="false">'🤖 GPT 4o'!G60</f>
        <v>0</v>
      </c>
      <c r="G390" s="119" t="n">
        <f aca="false">'🤖 GPT 4o'!H60</f>
        <v>0</v>
      </c>
      <c r="H390" s="119" t="n">
        <f aca="false">'🤖 GPT 4o'!I60</f>
        <v>0</v>
      </c>
      <c r="I390" s="119" t="n">
        <f aca="false">'🤖 GPT 4o'!J60</f>
        <v>0</v>
      </c>
    </row>
    <row r="391" customFormat="false" ht="15.75" hidden="false" customHeight="false" outlineLevel="0" collapsed="false">
      <c r="A391" s="118"/>
      <c r="B391" s="4"/>
      <c r="C391" s="6"/>
      <c r="D391" s="132"/>
      <c r="E391" s="6"/>
      <c r="F391" s="6"/>
      <c r="G391" s="6"/>
      <c r="H391" s="6"/>
      <c r="I391" s="6"/>
    </row>
    <row r="392" customFormat="false" ht="15.75" hidden="false" customHeight="false" outlineLevel="0" collapsed="false">
      <c r="A392" s="118" t="n">
        <f aca="false">'🤖 GPT 4o'!$A$62</f>
        <v>0</v>
      </c>
      <c r="B392" s="4" t="s">
        <v>22</v>
      </c>
      <c r="C392" s="119" t="str">
        <f aca="false">'🤖 GPT 4o'!C62</f>
        <v>Base</v>
      </c>
      <c r="D392" s="132" t="n">
        <f aca="false">'🤖 GPT 4o'!E62</f>
        <v>0.004761904762</v>
      </c>
      <c r="E392" s="119" t="n">
        <f aca="false">'🤖 GPT 4o'!F62</f>
        <v>0</v>
      </c>
      <c r="F392" s="119" t="n">
        <f aca="false">'🤖 GPT 4o'!G62</f>
        <v>0</v>
      </c>
      <c r="G392" s="119" t="n">
        <f aca="false">'🤖 GPT 4o'!H62</f>
        <v>0</v>
      </c>
      <c r="H392" s="119" t="n">
        <f aca="false">'🤖 GPT 4o'!I62</f>
        <v>0</v>
      </c>
      <c r="I392" s="119" t="n">
        <f aca="false">'🤖 GPT 4o'!J62</f>
        <v>0</v>
      </c>
    </row>
    <row r="393" customFormat="false" ht="15.75" hidden="false" customHeight="false" outlineLevel="0" collapsed="false">
      <c r="A393" s="118" t="n">
        <f aca="false">'🤖 GPT 4o'!$A$62</f>
        <v>0</v>
      </c>
      <c r="B393" s="4" t="s">
        <v>22</v>
      </c>
      <c r="C393" s="119" t="str">
        <f aca="false">'🤖 GPT 4o'!C63</f>
        <v>CoT</v>
      </c>
      <c r="D393" s="132" t="n">
        <f aca="false">'🤖 GPT 4o'!E63</f>
        <v>0.004761904762</v>
      </c>
      <c r="E393" s="119" t="n">
        <f aca="false">'🤖 GPT 4o'!F63</f>
        <v>0</v>
      </c>
      <c r="F393" s="119" t="n">
        <f aca="false">'🤖 GPT 4o'!G63</f>
        <v>0</v>
      </c>
      <c r="G393" s="119" t="n">
        <f aca="false">'🤖 GPT 4o'!H63</f>
        <v>0</v>
      </c>
      <c r="H393" s="119" t="n">
        <f aca="false">'🤖 GPT 4o'!I63</f>
        <v>0</v>
      </c>
      <c r="I393" s="119" t="n">
        <f aca="false">'🤖 GPT 4o'!J63</f>
        <v>0</v>
      </c>
    </row>
    <row r="394" customFormat="false" ht="15.75" hidden="false" customHeight="false" outlineLevel="0" collapsed="false">
      <c r="A394" s="118" t="n">
        <f aca="false">'🤖 GPT 4o'!$A$62</f>
        <v>0</v>
      </c>
      <c r="B394" s="4" t="s">
        <v>22</v>
      </c>
      <c r="C394" s="119" t="str">
        <f aca="false">'🤖 GPT 4o'!C64</f>
        <v>5W1H</v>
      </c>
      <c r="D394" s="132" t="n">
        <f aca="false">'🤖 GPT 4o'!E64</f>
        <v>0.004761904762</v>
      </c>
      <c r="E394" s="119" t="n">
        <f aca="false">'🤖 GPT 4o'!F64</f>
        <v>0</v>
      </c>
      <c r="F394" s="119" t="n">
        <f aca="false">'🤖 GPT 4o'!G64</f>
        <v>0</v>
      </c>
      <c r="G394" s="119" t="n">
        <f aca="false">'🤖 GPT 4o'!H64</f>
        <v>0</v>
      </c>
      <c r="H394" s="119" t="n">
        <f aca="false">'🤖 GPT 4o'!I64</f>
        <v>0</v>
      </c>
      <c r="I394" s="119" t="n">
        <f aca="false">'🤖 GPT 4o'!J64</f>
        <v>0</v>
      </c>
    </row>
    <row r="395" customFormat="false" ht="15.75" hidden="false" customHeight="false" outlineLevel="0" collapsed="false">
      <c r="A395" s="118" t="n">
        <f aca="false">'🤖 GPT 4o'!$A$62</f>
        <v>0</v>
      </c>
      <c r="B395" s="4" t="s">
        <v>22</v>
      </c>
      <c r="C395" s="119" t="str">
        <f aca="false">'🤖 GPT 4o'!C65</f>
        <v>tldr</v>
      </c>
      <c r="D395" s="132" t="n">
        <f aca="false">'🤖 GPT 4o'!E65</f>
        <v>0.004761904762</v>
      </c>
      <c r="E395" s="119" t="n">
        <f aca="false">'🤖 GPT 4o'!F65</f>
        <v>0</v>
      </c>
      <c r="F395" s="119" t="n">
        <f aca="false">'🤖 GPT 4o'!G65</f>
        <v>0</v>
      </c>
      <c r="G395" s="119" t="n">
        <f aca="false">'🤖 GPT 4o'!H65</f>
        <v>0</v>
      </c>
      <c r="H395" s="119" t="n">
        <f aca="false">'🤖 GPT 4o'!I65</f>
        <v>0</v>
      </c>
      <c r="I395" s="119" t="n">
        <f aca="false">'🤖 GPT 4o'!J65</f>
        <v>0</v>
      </c>
    </row>
    <row r="396" customFormat="false" ht="15.75" hidden="false" customHeight="false" outlineLevel="0" collapsed="false">
      <c r="A396" s="118"/>
      <c r="B396" s="4"/>
      <c r="C396" s="6"/>
      <c r="D396" s="132"/>
      <c r="E396" s="6"/>
      <c r="F396" s="6"/>
      <c r="G396" s="6"/>
      <c r="H396" s="6"/>
      <c r="I396" s="6"/>
    </row>
    <row r="397" customFormat="false" ht="15.75" hidden="false" customHeight="false" outlineLevel="0" collapsed="false">
      <c r="A397" s="118" t="n">
        <f aca="false">'🤖 GPT 4o'!$A$67</f>
        <v>0</v>
      </c>
      <c r="B397" s="4" t="s">
        <v>22</v>
      </c>
      <c r="C397" s="119" t="str">
        <f aca="false">'🤖 GPT 4o'!C67</f>
        <v>Base</v>
      </c>
      <c r="D397" s="132" t="n">
        <f aca="false">'🤖 GPT 4o'!E67</f>
        <v>0.004761904762</v>
      </c>
      <c r="E397" s="119" t="n">
        <f aca="false">'🤖 GPT 4o'!F67</f>
        <v>0</v>
      </c>
      <c r="F397" s="119" t="n">
        <f aca="false">'🤖 GPT 4o'!G67</f>
        <v>0</v>
      </c>
      <c r="G397" s="119" t="n">
        <f aca="false">'🤖 GPT 4o'!H67</f>
        <v>0</v>
      </c>
      <c r="H397" s="119" t="n">
        <f aca="false">'🤖 GPT 4o'!I67</f>
        <v>0</v>
      </c>
      <c r="I397" s="119" t="n">
        <f aca="false">'🤖 GPT 4o'!J67</f>
        <v>0</v>
      </c>
    </row>
    <row r="398" customFormat="false" ht="15.75" hidden="false" customHeight="false" outlineLevel="0" collapsed="false">
      <c r="A398" s="118" t="n">
        <f aca="false">'🤖 GPT 4o'!$A$67</f>
        <v>0</v>
      </c>
      <c r="B398" s="4" t="s">
        <v>22</v>
      </c>
      <c r="C398" s="119" t="str">
        <f aca="false">'🤖 GPT 4o'!C68</f>
        <v>CoT</v>
      </c>
      <c r="D398" s="132" t="n">
        <f aca="false">'🤖 GPT 4o'!E68</f>
        <v>0.004761904762</v>
      </c>
      <c r="E398" s="119" t="n">
        <f aca="false">'🤖 GPT 4o'!F68</f>
        <v>0</v>
      </c>
      <c r="F398" s="119" t="n">
        <f aca="false">'🤖 GPT 4o'!G68</f>
        <v>0</v>
      </c>
      <c r="G398" s="119" t="n">
        <f aca="false">'🤖 GPT 4o'!H68</f>
        <v>0</v>
      </c>
      <c r="H398" s="119" t="n">
        <f aca="false">'🤖 GPT 4o'!I68</f>
        <v>0</v>
      </c>
      <c r="I398" s="119" t="n">
        <f aca="false">'🤖 GPT 4o'!J68</f>
        <v>0</v>
      </c>
    </row>
    <row r="399" customFormat="false" ht="15.75" hidden="false" customHeight="false" outlineLevel="0" collapsed="false">
      <c r="A399" s="118" t="n">
        <f aca="false">'🤖 GPT 4o'!$A$67</f>
        <v>0</v>
      </c>
      <c r="B399" s="4" t="s">
        <v>22</v>
      </c>
      <c r="C399" s="119" t="str">
        <f aca="false">'🤖 GPT 4o'!C69</f>
        <v>5W1H</v>
      </c>
      <c r="D399" s="132" t="n">
        <f aca="false">'🤖 GPT 4o'!E69</f>
        <v>0.004761904762</v>
      </c>
      <c r="E399" s="119" t="n">
        <f aca="false">'🤖 GPT 4o'!F69</f>
        <v>0</v>
      </c>
      <c r="F399" s="119" t="n">
        <f aca="false">'🤖 GPT 4o'!G69</f>
        <v>0</v>
      </c>
      <c r="G399" s="119" t="n">
        <f aca="false">'🤖 GPT 4o'!H69</f>
        <v>0</v>
      </c>
      <c r="H399" s="119" t="n">
        <f aca="false">'🤖 GPT 4o'!I69</f>
        <v>0</v>
      </c>
      <c r="I399" s="119" t="n">
        <f aca="false">'🤖 GPT 4o'!J69</f>
        <v>0</v>
      </c>
    </row>
    <row r="400" customFormat="false" ht="15.75" hidden="false" customHeight="false" outlineLevel="0" collapsed="false">
      <c r="A400" s="118" t="n">
        <f aca="false">'🤖 GPT 4o'!$A$67</f>
        <v>0</v>
      </c>
      <c r="B400" s="4" t="s">
        <v>22</v>
      </c>
      <c r="C400" s="119" t="str">
        <f aca="false">'🤖 GPT 4o'!C70</f>
        <v>tldr</v>
      </c>
      <c r="D400" s="132" t="n">
        <f aca="false">'🤖 GPT 4o'!E70</f>
        <v>0.004761904762</v>
      </c>
      <c r="E400" s="119" t="n">
        <f aca="false">'🤖 GPT 4o'!F70</f>
        <v>0</v>
      </c>
      <c r="F400" s="119" t="n">
        <f aca="false">'🤖 GPT 4o'!G70</f>
        <v>0</v>
      </c>
      <c r="G400" s="119" t="n">
        <f aca="false">'🤖 GPT 4o'!H70</f>
        <v>0</v>
      </c>
      <c r="H400" s="119" t="n">
        <f aca="false">'🤖 GPT 4o'!I70</f>
        <v>0</v>
      </c>
      <c r="I400" s="119" t="n">
        <f aca="false">'🤖 GPT 4o'!J70</f>
        <v>0</v>
      </c>
    </row>
    <row r="401" customFormat="false" ht="15.75" hidden="false" customHeight="false" outlineLevel="0" collapsed="false">
      <c r="A401" s="118"/>
      <c r="B401" s="4"/>
      <c r="C401" s="6"/>
      <c r="D401" s="132"/>
      <c r="E401" s="6"/>
      <c r="F401" s="6"/>
      <c r="G401" s="6"/>
      <c r="H401" s="6"/>
      <c r="I401" s="6"/>
    </row>
    <row r="402" customFormat="false" ht="15.75" hidden="false" customHeight="false" outlineLevel="0" collapsed="false">
      <c r="A402" s="118" t="n">
        <f aca="false">'🤖 GPT 4o'!$A$72</f>
        <v>0</v>
      </c>
      <c r="B402" s="4" t="s">
        <v>22</v>
      </c>
      <c r="C402" s="119" t="str">
        <f aca="false">'🤖 GPT 4o'!C72</f>
        <v>Base</v>
      </c>
      <c r="D402" s="132" t="n">
        <f aca="false">'🤖 GPT 4o'!E72</f>
        <v>0.004761904762</v>
      </c>
      <c r="E402" s="119" t="n">
        <f aca="false">'🤖 GPT 4o'!F72</f>
        <v>0</v>
      </c>
      <c r="F402" s="119" t="n">
        <f aca="false">'🤖 GPT 4o'!G72</f>
        <v>0</v>
      </c>
      <c r="G402" s="119" t="n">
        <f aca="false">'🤖 GPT 4o'!H72</f>
        <v>0</v>
      </c>
      <c r="H402" s="119" t="n">
        <f aca="false">'🤖 GPT 4o'!I72</f>
        <v>0</v>
      </c>
      <c r="I402" s="119" t="n">
        <f aca="false">'🤖 GPT 4o'!J72</f>
        <v>0</v>
      </c>
    </row>
    <row r="403" customFormat="false" ht="15.75" hidden="false" customHeight="false" outlineLevel="0" collapsed="false">
      <c r="A403" s="118" t="n">
        <f aca="false">'🤖 GPT 4o'!$A$72</f>
        <v>0</v>
      </c>
      <c r="B403" s="4" t="s">
        <v>22</v>
      </c>
      <c r="C403" s="119" t="str">
        <f aca="false">'🤖 GPT 4o'!C73</f>
        <v>CoT</v>
      </c>
      <c r="D403" s="132" t="n">
        <f aca="false">'🤖 GPT 4o'!E73</f>
        <v>0.004761904762</v>
      </c>
      <c r="E403" s="119" t="n">
        <f aca="false">'🤖 GPT 4o'!F73</f>
        <v>0</v>
      </c>
      <c r="F403" s="119" t="n">
        <f aca="false">'🤖 GPT 4o'!G73</f>
        <v>0</v>
      </c>
      <c r="G403" s="119" t="n">
        <f aca="false">'🤖 GPT 4o'!H73</f>
        <v>0</v>
      </c>
      <c r="H403" s="119" t="n">
        <f aca="false">'🤖 GPT 4o'!I73</f>
        <v>0</v>
      </c>
      <c r="I403" s="119" t="n">
        <f aca="false">'🤖 GPT 4o'!J73</f>
        <v>0</v>
      </c>
    </row>
    <row r="404" customFormat="false" ht="15.75" hidden="false" customHeight="false" outlineLevel="0" collapsed="false">
      <c r="A404" s="118" t="n">
        <f aca="false">'🤖 GPT 4o'!$A$72</f>
        <v>0</v>
      </c>
      <c r="B404" s="4" t="s">
        <v>22</v>
      </c>
      <c r="C404" s="119" t="str">
        <f aca="false">'🤖 GPT 4o'!C74</f>
        <v>5W1H</v>
      </c>
      <c r="D404" s="132" t="n">
        <f aca="false">'🤖 GPT 4o'!E74</f>
        <v>0.004761904762</v>
      </c>
      <c r="E404" s="119" t="n">
        <f aca="false">'🤖 GPT 4o'!F74</f>
        <v>0</v>
      </c>
      <c r="F404" s="119" t="n">
        <f aca="false">'🤖 GPT 4o'!G74</f>
        <v>0</v>
      </c>
      <c r="G404" s="119" t="n">
        <f aca="false">'🤖 GPT 4o'!H74</f>
        <v>0</v>
      </c>
      <c r="H404" s="119" t="n">
        <f aca="false">'🤖 GPT 4o'!I74</f>
        <v>0</v>
      </c>
      <c r="I404" s="119" t="n">
        <f aca="false">'🤖 GPT 4o'!J74</f>
        <v>0</v>
      </c>
    </row>
    <row r="405" customFormat="false" ht="15.75" hidden="false" customHeight="false" outlineLevel="0" collapsed="false">
      <c r="A405" s="118" t="n">
        <f aca="false">'🤖 GPT 4o'!$A$72</f>
        <v>0</v>
      </c>
      <c r="B405" s="4" t="s">
        <v>22</v>
      </c>
      <c r="C405" s="119" t="str">
        <f aca="false">'🤖 GPT 4o'!C75</f>
        <v>tldr</v>
      </c>
      <c r="D405" s="132" t="n">
        <f aca="false">'🤖 GPT 4o'!E75</f>
        <v>0.004761904762</v>
      </c>
      <c r="E405" s="119" t="n">
        <f aca="false">'🤖 GPT 4o'!F75</f>
        <v>0</v>
      </c>
      <c r="F405" s="119" t="n">
        <f aca="false">'🤖 GPT 4o'!G75</f>
        <v>0</v>
      </c>
      <c r="G405" s="119" t="n">
        <f aca="false">'🤖 GPT 4o'!H75</f>
        <v>0</v>
      </c>
      <c r="H405" s="119" t="n">
        <f aca="false">'🤖 GPT 4o'!I75</f>
        <v>0</v>
      </c>
      <c r="I405" s="119" t="n">
        <f aca="false">'🤖 GPT 4o'!J75</f>
        <v>0</v>
      </c>
    </row>
    <row r="406" customFormat="false" ht="15.75" hidden="false" customHeight="false" outlineLevel="0" collapsed="false">
      <c r="A406" s="118"/>
      <c r="B406" s="4"/>
      <c r="C406" s="6"/>
      <c r="D406" s="132"/>
      <c r="E406" s="6"/>
      <c r="F406" s="6"/>
      <c r="G406" s="6"/>
      <c r="H406" s="6"/>
      <c r="I406" s="6"/>
    </row>
    <row r="407" customFormat="false" ht="15.75" hidden="false" customHeight="false" outlineLevel="0" collapsed="false">
      <c r="A407" s="118" t="n">
        <f aca="false">'🤖 GPT 4o'!$A$77</f>
        <v>0</v>
      </c>
      <c r="B407" s="4" t="s">
        <v>22</v>
      </c>
      <c r="C407" s="119" t="str">
        <f aca="false">'🤖 GPT 4o'!C77</f>
        <v>Base</v>
      </c>
      <c r="D407" s="132" t="n">
        <f aca="false">'🤖 GPT 4o'!E77</f>
        <v>0.004761904762</v>
      </c>
      <c r="E407" s="119" t="n">
        <f aca="false">'🤖 GPT 4o'!F77</f>
        <v>0</v>
      </c>
      <c r="F407" s="119" t="n">
        <f aca="false">'🤖 GPT 4o'!G77</f>
        <v>0</v>
      </c>
      <c r="G407" s="119" t="n">
        <f aca="false">'🤖 GPT 4o'!H77</f>
        <v>0</v>
      </c>
      <c r="H407" s="119" t="n">
        <f aca="false">'🤖 GPT 4o'!I77</f>
        <v>0</v>
      </c>
      <c r="I407" s="119" t="n">
        <f aca="false">'🤖 GPT 4o'!J77</f>
        <v>0</v>
      </c>
    </row>
    <row r="408" customFormat="false" ht="15.75" hidden="false" customHeight="false" outlineLevel="0" collapsed="false">
      <c r="A408" s="118" t="n">
        <f aca="false">'🤖 GPT 4o'!$A$77</f>
        <v>0</v>
      </c>
      <c r="B408" s="4" t="s">
        <v>22</v>
      </c>
      <c r="C408" s="119" t="str">
        <f aca="false">'🤖 GPT 4o'!C78</f>
        <v>CoT</v>
      </c>
      <c r="D408" s="132" t="n">
        <f aca="false">'🤖 GPT 4o'!E78</f>
        <v>0.004761904762</v>
      </c>
      <c r="E408" s="119" t="n">
        <f aca="false">'🤖 GPT 4o'!F78</f>
        <v>0</v>
      </c>
      <c r="F408" s="119" t="n">
        <f aca="false">'🤖 GPT 4o'!G78</f>
        <v>0</v>
      </c>
      <c r="G408" s="119" t="n">
        <f aca="false">'🤖 GPT 4o'!H78</f>
        <v>0</v>
      </c>
      <c r="H408" s="119" t="n">
        <f aca="false">'🤖 GPT 4o'!I78</f>
        <v>0</v>
      </c>
      <c r="I408" s="119" t="n">
        <f aca="false">'🤖 GPT 4o'!J78</f>
        <v>0</v>
      </c>
    </row>
    <row r="409" customFormat="false" ht="15.75" hidden="false" customHeight="false" outlineLevel="0" collapsed="false">
      <c r="A409" s="118" t="n">
        <f aca="false">'🤖 GPT 4o'!$A$77</f>
        <v>0</v>
      </c>
      <c r="B409" s="4" t="s">
        <v>22</v>
      </c>
      <c r="C409" s="119" t="str">
        <f aca="false">'🤖 GPT 4o'!C79</f>
        <v>5W1H</v>
      </c>
      <c r="D409" s="132" t="n">
        <f aca="false">'🤖 GPT 4o'!E79</f>
        <v>0.004761904762</v>
      </c>
      <c r="E409" s="119" t="n">
        <f aca="false">'🤖 GPT 4o'!F79</f>
        <v>0</v>
      </c>
      <c r="F409" s="119" t="n">
        <f aca="false">'🤖 GPT 4o'!G79</f>
        <v>0</v>
      </c>
      <c r="G409" s="119" t="n">
        <f aca="false">'🤖 GPT 4o'!H79</f>
        <v>0</v>
      </c>
      <c r="H409" s="119" t="n">
        <f aca="false">'🤖 GPT 4o'!I79</f>
        <v>0</v>
      </c>
      <c r="I409" s="119" t="n">
        <f aca="false">'🤖 GPT 4o'!J79</f>
        <v>0</v>
      </c>
    </row>
    <row r="410" customFormat="false" ht="15.75" hidden="false" customHeight="false" outlineLevel="0" collapsed="false">
      <c r="A410" s="118" t="n">
        <f aca="false">'🤖 GPT 4o'!$A$77</f>
        <v>0</v>
      </c>
      <c r="B410" s="4" t="s">
        <v>22</v>
      </c>
      <c r="C410" s="119" t="str">
        <f aca="false">'🤖 GPT 4o'!C80</f>
        <v>tldr</v>
      </c>
      <c r="D410" s="132" t="n">
        <f aca="false">'🤖 GPT 4o'!E80</f>
        <v>0.004761904762</v>
      </c>
      <c r="E410" s="119" t="n">
        <f aca="false">'🤖 GPT 4o'!F80</f>
        <v>0</v>
      </c>
      <c r="F410" s="119" t="n">
        <f aca="false">'🤖 GPT 4o'!G80</f>
        <v>0</v>
      </c>
      <c r="G410" s="119" t="n">
        <f aca="false">'🤖 GPT 4o'!H80</f>
        <v>0</v>
      </c>
      <c r="H410" s="119" t="n">
        <f aca="false">'🤖 GPT 4o'!I80</f>
        <v>0</v>
      </c>
      <c r="I410" s="119" t="n">
        <f aca="false">'🤖 GPT 4o'!J80</f>
        <v>0</v>
      </c>
    </row>
    <row r="411" customFormat="false" ht="15.75" hidden="false" customHeight="false" outlineLevel="0" collapsed="false">
      <c r="A411" s="118"/>
      <c r="B411" s="4"/>
      <c r="C411" s="6"/>
      <c r="D411" s="132"/>
      <c r="E411" s="6"/>
      <c r="F411" s="6"/>
      <c r="G411" s="6"/>
      <c r="H411" s="6"/>
      <c r="I411" s="6"/>
    </row>
    <row r="412" customFormat="false" ht="15.75" hidden="false" customHeight="false" outlineLevel="0" collapsed="false">
      <c r="A412" s="118" t="n">
        <f aca="false">'🤖 GPT 4o'!$A$82</f>
        <v>0</v>
      </c>
      <c r="B412" s="4" t="s">
        <v>22</v>
      </c>
      <c r="C412" s="119" t="str">
        <f aca="false">'🤖 GPT 4o'!C82</f>
        <v>Base</v>
      </c>
      <c r="D412" s="132" t="n">
        <f aca="false">'🤖 GPT 4o'!E82</f>
        <v>0.004761904762</v>
      </c>
      <c r="E412" s="119" t="n">
        <f aca="false">'🤖 GPT 4o'!F82</f>
        <v>0</v>
      </c>
      <c r="F412" s="119" t="n">
        <f aca="false">'🤖 GPT 4o'!G82</f>
        <v>0</v>
      </c>
      <c r="G412" s="119" t="n">
        <f aca="false">'🤖 GPT 4o'!H82</f>
        <v>0</v>
      </c>
      <c r="H412" s="119" t="n">
        <f aca="false">'🤖 GPT 4o'!I82</f>
        <v>0</v>
      </c>
      <c r="I412" s="119" t="n">
        <f aca="false">'🤖 GPT 4o'!J82</f>
        <v>0</v>
      </c>
    </row>
    <row r="413" customFormat="false" ht="15.75" hidden="false" customHeight="false" outlineLevel="0" collapsed="false">
      <c r="A413" s="118" t="n">
        <f aca="false">'🤖 GPT 4o'!$A$82</f>
        <v>0</v>
      </c>
      <c r="B413" s="4" t="s">
        <v>22</v>
      </c>
      <c r="C413" s="119" t="str">
        <f aca="false">'🤖 GPT 4o'!C83</f>
        <v>CoT</v>
      </c>
      <c r="D413" s="132" t="n">
        <f aca="false">'🤖 GPT 4o'!E83</f>
        <v>0.004761904762</v>
      </c>
      <c r="E413" s="119" t="n">
        <f aca="false">'🤖 GPT 4o'!F83</f>
        <v>0</v>
      </c>
      <c r="F413" s="119" t="n">
        <f aca="false">'🤖 GPT 4o'!G83</f>
        <v>0</v>
      </c>
      <c r="G413" s="119" t="n">
        <f aca="false">'🤖 GPT 4o'!H83</f>
        <v>0</v>
      </c>
      <c r="H413" s="119" t="n">
        <f aca="false">'🤖 GPT 4o'!I83</f>
        <v>0</v>
      </c>
      <c r="I413" s="119" t="n">
        <f aca="false">'🤖 GPT 4o'!J83</f>
        <v>0</v>
      </c>
    </row>
    <row r="414" customFormat="false" ht="15.75" hidden="false" customHeight="false" outlineLevel="0" collapsed="false">
      <c r="A414" s="118" t="n">
        <f aca="false">'🤖 GPT 4o'!$A$82</f>
        <v>0</v>
      </c>
      <c r="B414" s="4" t="s">
        <v>22</v>
      </c>
      <c r="C414" s="119" t="str">
        <f aca="false">'🤖 GPT 4o'!C84</f>
        <v>5W1H</v>
      </c>
      <c r="D414" s="132" t="n">
        <f aca="false">'🤖 GPT 4o'!E84</f>
        <v>0.004761904762</v>
      </c>
      <c r="E414" s="119" t="n">
        <f aca="false">'🤖 GPT 4o'!F84</f>
        <v>0</v>
      </c>
      <c r="F414" s="119" t="n">
        <f aca="false">'🤖 GPT 4o'!G84</f>
        <v>0</v>
      </c>
      <c r="G414" s="119" t="n">
        <f aca="false">'🤖 GPT 4o'!H84</f>
        <v>0</v>
      </c>
      <c r="H414" s="119" t="n">
        <f aca="false">'🤖 GPT 4o'!I84</f>
        <v>0</v>
      </c>
      <c r="I414" s="119" t="n">
        <f aca="false">'🤖 GPT 4o'!J84</f>
        <v>0</v>
      </c>
    </row>
    <row r="415" customFormat="false" ht="15.75" hidden="false" customHeight="false" outlineLevel="0" collapsed="false">
      <c r="A415" s="118" t="n">
        <f aca="false">'🤖 GPT 4o'!$A$82</f>
        <v>0</v>
      </c>
      <c r="B415" s="4" t="s">
        <v>22</v>
      </c>
      <c r="C415" s="119" t="str">
        <f aca="false">'🤖 GPT 4o'!C85</f>
        <v>tldr</v>
      </c>
      <c r="D415" s="132" t="n">
        <f aca="false">'🤖 GPT 4o'!E85</f>
        <v>0.004761904762</v>
      </c>
      <c r="E415" s="119" t="n">
        <f aca="false">'🤖 GPT 4o'!F85</f>
        <v>0</v>
      </c>
      <c r="F415" s="119" t="n">
        <f aca="false">'🤖 GPT 4o'!G85</f>
        <v>0</v>
      </c>
      <c r="G415" s="119" t="n">
        <f aca="false">'🤖 GPT 4o'!H85</f>
        <v>0</v>
      </c>
      <c r="H415" s="119" t="n">
        <f aca="false">'🤖 GPT 4o'!I85</f>
        <v>0</v>
      </c>
      <c r="I415" s="119" t="n">
        <f aca="false">'🤖 GPT 4o'!J85</f>
        <v>0</v>
      </c>
    </row>
    <row r="416" customFormat="false" ht="15.75" hidden="false" customHeight="false" outlineLevel="0" collapsed="false">
      <c r="A416" s="118"/>
      <c r="B416" s="4"/>
      <c r="C416" s="6"/>
      <c r="D416" s="132"/>
      <c r="E416" s="6"/>
      <c r="F416" s="6"/>
      <c r="G416" s="6"/>
      <c r="H416" s="6"/>
      <c r="I416" s="6"/>
    </row>
    <row r="417" customFormat="false" ht="15.75" hidden="false" customHeight="false" outlineLevel="0" collapsed="false">
      <c r="A417" s="118" t="n">
        <f aca="false">'🤖 GPT 4o'!$A$87</f>
        <v>0</v>
      </c>
      <c r="B417" s="4" t="s">
        <v>22</v>
      </c>
      <c r="C417" s="119" t="str">
        <f aca="false">'🤖 GPT 4o'!C87</f>
        <v>Base</v>
      </c>
      <c r="D417" s="132" t="n">
        <f aca="false">'🤖 GPT 4o'!E87</f>
        <v>0.004761904762</v>
      </c>
      <c r="E417" s="119" t="n">
        <f aca="false">'🤖 GPT 4o'!F87</f>
        <v>0</v>
      </c>
      <c r="F417" s="119" t="n">
        <f aca="false">'🤖 GPT 4o'!G87</f>
        <v>0</v>
      </c>
      <c r="G417" s="119" t="n">
        <f aca="false">'🤖 GPT 4o'!H87</f>
        <v>0</v>
      </c>
      <c r="H417" s="119" t="n">
        <f aca="false">'🤖 GPT 4o'!I87</f>
        <v>0</v>
      </c>
      <c r="I417" s="119" t="n">
        <f aca="false">'🤖 GPT 4o'!J87</f>
        <v>0</v>
      </c>
    </row>
    <row r="418" customFormat="false" ht="15.75" hidden="false" customHeight="false" outlineLevel="0" collapsed="false">
      <c r="A418" s="118" t="n">
        <f aca="false">'🤖 GPT 4o'!$A$87</f>
        <v>0</v>
      </c>
      <c r="B418" s="4" t="s">
        <v>22</v>
      </c>
      <c r="C418" s="119" t="str">
        <f aca="false">'🤖 GPT 4o'!C88</f>
        <v>CoT</v>
      </c>
      <c r="D418" s="132" t="n">
        <f aca="false">'🤖 GPT 4o'!E88</f>
        <v>0.004761904762</v>
      </c>
      <c r="E418" s="119" t="n">
        <f aca="false">'🤖 GPT 4o'!F88</f>
        <v>0</v>
      </c>
      <c r="F418" s="119" t="n">
        <f aca="false">'🤖 GPT 4o'!G88</f>
        <v>0</v>
      </c>
      <c r="G418" s="119" t="n">
        <f aca="false">'🤖 GPT 4o'!H88</f>
        <v>0</v>
      </c>
      <c r="H418" s="119" t="n">
        <f aca="false">'🤖 GPT 4o'!I88</f>
        <v>0</v>
      </c>
      <c r="I418" s="119" t="n">
        <f aca="false">'🤖 GPT 4o'!J88</f>
        <v>0</v>
      </c>
    </row>
    <row r="419" customFormat="false" ht="15.75" hidden="false" customHeight="false" outlineLevel="0" collapsed="false">
      <c r="A419" s="118" t="n">
        <f aca="false">'🤖 GPT 4o'!$A$87</f>
        <v>0</v>
      </c>
      <c r="B419" s="4" t="s">
        <v>22</v>
      </c>
      <c r="C419" s="119" t="str">
        <f aca="false">'🤖 GPT 4o'!C89</f>
        <v>5W1H</v>
      </c>
      <c r="D419" s="132" t="n">
        <f aca="false">'🤖 GPT 4o'!E89</f>
        <v>0.004761904762</v>
      </c>
      <c r="E419" s="119" t="n">
        <f aca="false">'🤖 GPT 4o'!F89</f>
        <v>0</v>
      </c>
      <c r="F419" s="119" t="n">
        <f aca="false">'🤖 GPT 4o'!G89</f>
        <v>0</v>
      </c>
      <c r="G419" s="119" t="n">
        <f aca="false">'🤖 GPT 4o'!H89</f>
        <v>0</v>
      </c>
      <c r="H419" s="119" t="n">
        <f aca="false">'🤖 GPT 4o'!I89</f>
        <v>0</v>
      </c>
      <c r="I419" s="119" t="n">
        <f aca="false">'🤖 GPT 4o'!J89</f>
        <v>0</v>
      </c>
    </row>
    <row r="420" customFormat="false" ht="15.75" hidden="false" customHeight="false" outlineLevel="0" collapsed="false">
      <c r="A420" s="118" t="n">
        <f aca="false">'🤖 GPT 4o'!$A$87</f>
        <v>0</v>
      </c>
      <c r="B420" s="4" t="s">
        <v>22</v>
      </c>
      <c r="C420" s="119" t="str">
        <f aca="false">'🤖 GPT 4o'!C90</f>
        <v>tldr</v>
      </c>
      <c r="D420" s="132" t="n">
        <f aca="false">'🤖 GPT 4o'!E90</f>
        <v>0.004761904762</v>
      </c>
      <c r="E420" s="119" t="n">
        <f aca="false">'🤖 GPT 4o'!F90</f>
        <v>0</v>
      </c>
      <c r="F420" s="119" t="n">
        <f aca="false">'🤖 GPT 4o'!G90</f>
        <v>0</v>
      </c>
      <c r="G420" s="119" t="n">
        <f aca="false">'🤖 GPT 4o'!H90</f>
        <v>0</v>
      </c>
      <c r="H420" s="119" t="n">
        <f aca="false">'🤖 GPT 4o'!I90</f>
        <v>0</v>
      </c>
      <c r="I420" s="119" t="n">
        <f aca="false">'🤖 GPT 4o'!J90</f>
        <v>0</v>
      </c>
    </row>
    <row r="421" customFormat="false" ht="15.75" hidden="false" customHeight="false" outlineLevel="0" collapsed="false">
      <c r="A421" s="118"/>
      <c r="B421" s="4"/>
      <c r="C421" s="6"/>
      <c r="D421" s="132"/>
      <c r="E421" s="6"/>
      <c r="F421" s="6"/>
      <c r="G421" s="6"/>
      <c r="H421" s="6"/>
      <c r="I421" s="6"/>
    </row>
    <row r="422" customFormat="false" ht="15.75" hidden="false" customHeight="false" outlineLevel="0" collapsed="false">
      <c r="A422" s="118" t="n">
        <f aca="false">'🤖 GPT 4o'!$A$92</f>
        <v>0</v>
      </c>
      <c r="B422" s="4" t="s">
        <v>22</v>
      </c>
      <c r="C422" s="119" t="str">
        <f aca="false">'🤖 GPT 4o'!C92</f>
        <v>Base</v>
      </c>
      <c r="D422" s="132" t="n">
        <f aca="false">'🤖 GPT 4o'!E92</f>
        <v>0.004761904762</v>
      </c>
      <c r="E422" s="119" t="n">
        <f aca="false">'🤖 GPT 4o'!F92</f>
        <v>0</v>
      </c>
      <c r="F422" s="119" t="n">
        <f aca="false">'🤖 GPT 4o'!G92</f>
        <v>0</v>
      </c>
      <c r="G422" s="119" t="n">
        <f aca="false">'🤖 GPT 4o'!H92</f>
        <v>0</v>
      </c>
      <c r="H422" s="119" t="n">
        <f aca="false">'🤖 GPT 4o'!I92</f>
        <v>0</v>
      </c>
      <c r="I422" s="119" t="n">
        <f aca="false">'🤖 GPT 4o'!J92</f>
        <v>0</v>
      </c>
    </row>
    <row r="423" customFormat="false" ht="15.75" hidden="false" customHeight="false" outlineLevel="0" collapsed="false">
      <c r="A423" s="118" t="n">
        <f aca="false">'🤖 GPT 4o'!$A$92</f>
        <v>0</v>
      </c>
      <c r="B423" s="4" t="s">
        <v>22</v>
      </c>
      <c r="C423" s="119" t="str">
        <f aca="false">'🤖 GPT 4o'!C93</f>
        <v>CoT</v>
      </c>
      <c r="D423" s="132" t="n">
        <f aca="false">'🤖 GPT 4o'!E93</f>
        <v>0.004761904762</v>
      </c>
      <c r="E423" s="119" t="n">
        <f aca="false">'🤖 GPT 4o'!F93</f>
        <v>0</v>
      </c>
      <c r="F423" s="119" t="n">
        <f aca="false">'🤖 GPT 4o'!G93</f>
        <v>0</v>
      </c>
      <c r="G423" s="119" t="n">
        <f aca="false">'🤖 GPT 4o'!H93</f>
        <v>0</v>
      </c>
      <c r="H423" s="119" t="n">
        <f aca="false">'🤖 GPT 4o'!I93</f>
        <v>0</v>
      </c>
      <c r="I423" s="119" t="n">
        <f aca="false">'🤖 GPT 4o'!J93</f>
        <v>0</v>
      </c>
    </row>
    <row r="424" customFormat="false" ht="15.75" hidden="false" customHeight="false" outlineLevel="0" collapsed="false">
      <c r="A424" s="118" t="n">
        <f aca="false">'🤖 GPT 4o'!$A$92</f>
        <v>0</v>
      </c>
      <c r="B424" s="4" t="s">
        <v>22</v>
      </c>
      <c r="C424" s="119" t="str">
        <f aca="false">'🤖 GPT 4o'!C94</f>
        <v>5W1H</v>
      </c>
      <c r="D424" s="132" t="n">
        <f aca="false">'🤖 GPT 4o'!E94</f>
        <v>0.004761904762</v>
      </c>
      <c r="E424" s="119" t="n">
        <f aca="false">'🤖 GPT 4o'!F94</f>
        <v>0</v>
      </c>
      <c r="F424" s="119" t="n">
        <f aca="false">'🤖 GPT 4o'!G94</f>
        <v>0</v>
      </c>
      <c r="G424" s="119" t="n">
        <f aca="false">'🤖 GPT 4o'!H94</f>
        <v>0</v>
      </c>
      <c r="H424" s="119" t="n">
        <f aca="false">'🤖 GPT 4o'!I94</f>
        <v>0</v>
      </c>
      <c r="I424" s="119" t="n">
        <f aca="false">'🤖 GPT 4o'!J94</f>
        <v>0</v>
      </c>
    </row>
    <row r="425" customFormat="false" ht="15.75" hidden="false" customHeight="false" outlineLevel="0" collapsed="false">
      <c r="A425" s="118" t="n">
        <f aca="false">'🤖 GPT 4o'!$A$92</f>
        <v>0</v>
      </c>
      <c r="B425" s="4" t="s">
        <v>22</v>
      </c>
      <c r="C425" s="119" t="str">
        <f aca="false">'🤖 GPT 4o'!C95</f>
        <v>tldr</v>
      </c>
      <c r="D425" s="132" t="n">
        <f aca="false">'🤖 GPT 4o'!E95</f>
        <v>0.004761904762</v>
      </c>
      <c r="E425" s="119" t="n">
        <f aca="false">'🤖 GPT 4o'!F95</f>
        <v>0</v>
      </c>
      <c r="F425" s="119" t="n">
        <f aca="false">'🤖 GPT 4o'!G95</f>
        <v>0</v>
      </c>
      <c r="G425" s="119" t="n">
        <f aca="false">'🤖 GPT 4o'!H95</f>
        <v>0</v>
      </c>
      <c r="H425" s="119" t="n">
        <f aca="false">'🤖 GPT 4o'!I95</f>
        <v>0</v>
      </c>
      <c r="I425" s="119" t="n">
        <f aca="false">'🤖 GPT 4o'!J95</f>
        <v>0</v>
      </c>
    </row>
    <row r="426" customFormat="false" ht="15.75" hidden="false" customHeight="false" outlineLevel="0" collapsed="false">
      <c r="A426" s="118"/>
      <c r="B426" s="4"/>
      <c r="C426" s="6"/>
      <c r="D426" s="132"/>
      <c r="E426" s="6"/>
      <c r="F426" s="6"/>
      <c r="G426" s="6"/>
      <c r="H426" s="6"/>
      <c r="I426" s="6"/>
    </row>
    <row r="427" customFormat="false" ht="15.75" hidden="false" customHeight="false" outlineLevel="0" collapsed="false">
      <c r="A427" s="118" t="n">
        <f aca="false">'🤖 GPT 4o'!$A$97</f>
        <v>0</v>
      </c>
      <c r="B427" s="4" t="s">
        <v>22</v>
      </c>
      <c r="C427" s="119" t="str">
        <f aca="false">'🤖 GPT 4o'!C97</f>
        <v>Base</v>
      </c>
      <c r="D427" s="132" t="n">
        <f aca="false">'🤖 GPT 4o'!E97</f>
        <v>0.004761904762</v>
      </c>
      <c r="E427" s="119" t="n">
        <f aca="false">'🤖 GPT 4o'!F97</f>
        <v>0</v>
      </c>
      <c r="F427" s="119" t="n">
        <f aca="false">'🤖 GPT 4o'!G97</f>
        <v>0</v>
      </c>
      <c r="G427" s="119" t="n">
        <f aca="false">'🤖 GPT 4o'!H97</f>
        <v>0</v>
      </c>
      <c r="H427" s="119" t="n">
        <f aca="false">'🤖 GPT 4o'!I97</f>
        <v>0</v>
      </c>
      <c r="I427" s="119" t="n">
        <f aca="false">'🤖 GPT 4o'!J97</f>
        <v>0</v>
      </c>
    </row>
    <row r="428" customFormat="false" ht="15.75" hidden="false" customHeight="false" outlineLevel="0" collapsed="false">
      <c r="A428" s="118" t="n">
        <f aca="false">'🤖 GPT 4o'!$A$97</f>
        <v>0</v>
      </c>
      <c r="B428" s="4" t="s">
        <v>22</v>
      </c>
      <c r="C428" s="119" t="str">
        <f aca="false">'🤖 GPT 4o'!C98</f>
        <v>CoT</v>
      </c>
      <c r="D428" s="132" t="n">
        <f aca="false">'🤖 GPT 4o'!E98</f>
        <v>0.004761904762</v>
      </c>
      <c r="E428" s="119" t="n">
        <f aca="false">'🤖 GPT 4o'!F98</f>
        <v>0</v>
      </c>
      <c r="F428" s="119" t="n">
        <f aca="false">'🤖 GPT 4o'!G98</f>
        <v>0</v>
      </c>
      <c r="G428" s="119" t="n">
        <f aca="false">'🤖 GPT 4o'!H98</f>
        <v>0</v>
      </c>
      <c r="H428" s="119" t="n">
        <f aca="false">'🤖 GPT 4o'!I98</f>
        <v>0</v>
      </c>
      <c r="I428" s="119" t="n">
        <f aca="false">'🤖 GPT 4o'!J98</f>
        <v>0</v>
      </c>
    </row>
    <row r="429" customFormat="false" ht="15.75" hidden="false" customHeight="false" outlineLevel="0" collapsed="false">
      <c r="A429" s="118" t="n">
        <f aca="false">'🤖 GPT 4o'!$A$97</f>
        <v>0</v>
      </c>
      <c r="B429" s="4" t="s">
        <v>22</v>
      </c>
      <c r="C429" s="119" t="str">
        <f aca="false">'🤖 GPT 4o'!C99</f>
        <v>5W1H</v>
      </c>
      <c r="D429" s="132" t="n">
        <f aca="false">'🤖 GPT 4o'!E99</f>
        <v>0.004761904762</v>
      </c>
      <c r="E429" s="119" t="n">
        <f aca="false">'🤖 GPT 4o'!F99</f>
        <v>0</v>
      </c>
      <c r="F429" s="119" t="n">
        <f aca="false">'🤖 GPT 4o'!G99</f>
        <v>0</v>
      </c>
      <c r="G429" s="119" t="n">
        <f aca="false">'🤖 GPT 4o'!H99</f>
        <v>0</v>
      </c>
      <c r="H429" s="119" t="n">
        <f aca="false">'🤖 GPT 4o'!I99</f>
        <v>0</v>
      </c>
      <c r="I429" s="119" t="n">
        <f aca="false">'🤖 GPT 4o'!J99</f>
        <v>0</v>
      </c>
    </row>
    <row r="430" customFormat="false" ht="15.75" hidden="false" customHeight="false" outlineLevel="0" collapsed="false">
      <c r="A430" s="118" t="n">
        <f aca="false">'🤖 GPT 4o'!$A$97</f>
        <v>0</v>
      </c>
      <c r="B430" s="4" t="s">
        <v>22</v>
      </c>
      <c r="C430" s="119" t="str">
        <f aca="false">'🤖 GPT 4o'!C100</f>
        <v>tldr</v>
      </c>
      <c r="D430" s="132" t="n">
        <f aca="false">'🤖 GPT 4o'!E100</f>
        <v>0.004761904762</v>
      </c>
      <c r="E430" s="119" t="n">
        <f aca="false">'🤖 GPT 4o'!F100</f>
        <v>0</v>
      </c>
      <c r="F430" s="119" t="n">
        <f aca="false">'🤖 GPT 4o'!G100</f>
        <v>0</v>
      </c>
      <c r="G430" s="119" t="n">
        <f aca="false">'🤖 GPT 4o'!H100</f>
        <v>0</v>
      </c>
      <c r="H430" s="119" t="n">
        <f aca="false">'🤖 GPT 4o'!I100</f>
        <v>0</v>
      </c>
      <c r="I430" s="119" t="n">
        <f aca="false">'🤖 GPT 4o'!J100</f>
        <v>0</v>
      </c>
    </row>
    <row r="431" customFormat="false" ht="15.75" hidden="false" customHeight="false" outlineLevel="0" collapsed="false">
      <c r="A431" s="118"/>
      <c r="B431" s="4"/>
      <c r="C431" s="6"/>
      <c r="D431" s="132"/>
      <c r="E431" s="6"/>
      <c r="F431" s="6"/>
      <c r="G431" s="6"/>
      <c r="H431" s="6"/>
      <c r="I431" s="6"/>
    </row>
    <row r="432" customFormat="false" ht="15.75" hidden="false" customHeight="false" outlineLevel="0" collapsed="false">
      <c r="A432" s="118" t="n">
        <f aca="false">'🤖 GPT 4o'!$A$102</f>
        <v>0</v>
      </c>
      <c r="B432" s="4" t="s">
        <v>22</v>
      </c>
      <c r="C432" s="119" t="str">
        <f aca="false">'🤖 GPT 4o'!C102</f>
        <v>Base</v>
      </c>
      <c r="D432" s="132" t="n">
        <f aca="false">'🤖 GPT 4o'!E102</f>
        <v>0.004761904762</v>
      </c>
      <c r="E432" s="119" t="n">
        <f aca="false">'🤖 GPT 4o'!F102</f>
        <v>0</v>
      </c>
      <c r="F432" s="119" t="n">
        <f aca="false">'🤖 GPT 4o'!G102</f>
        <v>0</v>
      </c>
      <c r="G432" s="119" t="n">
        <f aca="false">'🤖 GPT 4o'!H102</f>
        <v>0</v>
      </c>
      <c r="H432" s="119" t="n">
        <f aca="false">'🤖 GPT 4o'!I102</f>
        <v>0</v>
      </c>
      <c r="I432" s="119" t="n">
        <f aca="false">'🤖 GPT 4o'!J102</f>
        <v>0</v>
      </c>
    </row>
    <row r="433" customFormat="false" ht="15.75" hidden="false" customHeight="false" outlineLevel="0" collapsed="false">
      <c r="A433" s="118" t="n">
        <f aca="false">'🤖 GPT 4o'!$A$102</f>
        <v>0</v>
      </c>
      <c r="B433" s="4" t="s">
        <v>22</v>
      </c>
      <c r="C433" s="119" t="str">
        <f aca="false">'🤖 GPT 4o'!C103</f>
        <v>CoT</v>
      </c>
      <c r="D433" s="132" t="n">
        <f aca="false">'🤖 GPT 4o'!E103</f>
        <v>0.004761904762</v>
      </c>
      <c r="E433" s="119" t="n">
        <f aca="false">'🤖 GPT 4o'!F103</f>
        <v>0</v>
      </c>
      <c r="F433" s="119" t="n">
        <f aca="false">'🤖 GPT 4o'!G103</f>
        <v>0</v>
      </c>
      <c r="G433" s="119" t="n">
        <f aca="false">'🤖 GPT 4o'!H103</f>
        <v>0</v>
      </c>
      <c r="H433" s="119" t="n">
        <f aca="false">'🤖 GPT 4o'!I103</f>
        <v>0</v>
      </c>
      <c r="I433" s="119" t="n">
        <f aca="false">'🤖 GPT 4o'!J103</f>
        <v>0</v>
      </c>
    </row>
    <row r="434" customFormat="false" ht="15.75" hidden="false" customHeight="false" outlineLevel="0" collapsed="false">
      <c r="A434" s="118" t="n">
        <f aca="false">'🤖 GPT 4o'!$A$102</f>
        <v>0</v>
      </c>
      <c r="B434" s="4" t="s">
        <v>22</v>
      </c>
      <c r="C434" s="119" t="str">
        <f aca="false">'🤖 GPT 4o'!C104</f>
        <v>5W1H</v>
      </c>
      <c r="D434" s="132" t="n">
        <f aca="false">'🤖 GPT 4o'!E104</f>
        <v>0.004761904762</v>
      </c>
      <c r="E434" s="119" t="n">
        <f aca="false">'🤖 GPT 4o'!F104</f>
        <v>0</v>
      </c>
      <c r="F434" s="119" t="n">
        <f aca="false">'🤖 GPT 4o'!G104</f>
        <v>0</v>
      </c>
      <c r="G434" s="119" t="n">
        <f aca="false">'🤖 GPT 4o'!H104</f>
        <v>0</v>
      </c>
      <c r="H434" s="119" t="n">
        <f aca="false">'🤖 GPT 4o'!I104</f>
        <v>0</v>
      </c>
      <c r="I434" s="119" t="n">
        <f aca="false">'🤖 GPT 4o'!J104</f>
        <v>0</v>
      </c>
    </row>
    <row r="435" customFormat="false" ht="15.75" hidden="false" customHeight="false" outlineLevel="0" collapsed="false">
      <c r="A435" s="118" t="n">
        <f aca="false">'🤖 GPT 4o'!$A$102</f>
        <v>0</v>
      </c>
      <c r="B435" s="4" t="s">
        <v>22</v>
      </c>
      <c r="C435" s="119" t="str">
        <f aca="false">'🤖 GPT 4o'!C105</f>
        <v>tldr</v>
      </c>
      <c r="D435" s="132" t="n">
        <f aca="false">'🤖 GPT 4o'!E105</f>
        <v>0.004761904762</v>
      </c>
      <c r="E435" s="119" t="n">
        <f aca="false">'🤖 GPT 4o'!F105</f>
        <v>0</v>
      </c>
      <c r="F435" s="119" t="n">
        <f aca="false">'🤖 GPT 4o'!G105</f>
        <v>0</v>
      </c>
      <c r="G435" s="119" t="n">
        <f aca="false">'🤖 GPT 4o'!H105</f>
        <v>0</v>
      </c>
      <c r="H435" s="119" t="n">
        <f aca="false">'🤖 GPT 4o'!I105</f>
        <v>0</v>
      </c>
      <c r="I435" s="119" t="n">
        <f aca="false">'🤖 GPT 4o'!J105</f>
        <v>0</v>
      </c>
    </row>
    <row r="436" customFormat="false" ht="15.75" hidden="false" customHeight="false" outlineLevel="0" collapsed="false">
      <c r="A436" s="118"/>
      <c r="B436" s="4"/>
      <c r="C436" s="6"/>
      <c r="D436" s="132"/>
      <c r="E436" s="6"/>
      <c r="F436" s="6"/>
      <c r="G436" s="6"/>
      <c r="H436" s="6"/>
      <c r="I436" s="6"/>
    </row>
    <row r="437" customFormat="false" ht="15.75" hidden="false" customHeight="false" outlineLevel="0" collapsed="false">
      <c r="A437" s="118" t="n">
        <f aca="false">'🤖 GPT 4o'!$A$107</f>
        <v>0</v>
      </c>
      <c r="B437" s="4" t="s">
        <v>22</v>
      </c>
      <c r="C437" s="119" t="str">
        <f aca="false">'🤖 GPT 4o'!C107</f>
        <v>Base</v>
      </c>
      <c r="D437" s="132" t="n">
        <f aca="false">'🤖 GPT 4o'!E107</f>
        <v>0.004761904762</v>
      </c>
      <c r="E437" s="119" t="n">
        <f aca="false">'🤖 GPT 4o'!F107</f>
        <v>0</v>
      </c>
      <c r="F437" s="119" t="n">
        <f aca="false">'🤖 GPT 4o'!G107</f>
        <v>0</v>
      </c>
      <c r="G437" s="119" t="n">
        <f aca="false">'🤖 GPT 4o'!H107</f>
        <v>0</v>
      </c>
      <c r="H437" s="119" t="n">
        <f aca="false">'🤖 GPT 4o'!I107</f>
        <v>0</v>
      </c>
      <c r="I437" s="119" t="n">
        <f aca="false">'🤖 GPT 4o'!J107</f>
        <v>0</v>
      </c>
    </row>
    <row r="438" customFormat="false" ht="15.75" hidden="false" customHeight="false" outlineLevel="0" collapsed="false">
      <c r="A438" s="118" t="n">
        <f aca="false">'🤖 GPT 4o'!$A$107</f>
        <v>0</v>
      </c>
      <c r="B438" s="4" t="s">
        <v>22</v>
      </c>
      <c r="C438" s="119" t="str">
        <f aca="false">'🤖 GPT 4o'!C108</f>
        <v>CoT</v>
      </c>
      <c r="D438" s="132" t="n">
        <f aca="false">'🤖 GPT 4o'!E108</f>
        <v>0.004761904762</v>
      </c>
      <c r="E438" s="119" t="n">
        <f aca="false">'🤖 GPT 4o'!F108</f>
        <v>0</v>
      </c>
      <c r="F438" s="119" t="n">
        <f aca="false">'🤖 GPT 4o'!G108</f>
        <v>0</v>
      </c>
      <c r="G438" s="119" t="n">
        <f aca="false">'🤖 GPT 4o'!H108</f>
        <v>0</v>
      </c>
      <c r="H438" s="119" t="n">
        <f aca="false">'🤖 GPT 4o'!I108</f>
        <v>0</v>
      </c>
      <c r="I438" s="119" t="n">
        <f aca="false">'🤖 GPT 4o'!J108</f>
        <v>0</v>
      </c>
    </row>
    <row r="439" customFormat="false" ht="15.75" hidden="false" customHeight="false" outlineLevel="0" collapsed="false">
      <c r="A439" s="118" t="n">
        <f aca="false">'🤖 GPT 4o'!$A$107</f>
        <v>0</v>
      </c>
      <c r="B439" s="4" t="s">
        <v>22</v>
      </c>
      <c r="C439" s="119" t="str">
        <f aca="false">'🤖 GPT 4o'!C109</f>
        <v>5W1H</v>
      </c>
      <c r="D439" s="132" t="n">
        <f aca="false">'🤖 GPT 4o'!E109</f>
        <v>0.004761904762</v>
      </c>
      <c r="E439" s="119" t="n">
        <f aca="false">'🤖 GPT 4o'!F109</f>
        <v>0</v>
      </c>
      <c r="F439" s="119" t="n">
        <f aca="false">'🤖 GPT 4o'!G109</f>
        <v>0</v>
      </c>
      <c r="G439" s="119" t="n">
        <f aca="false">'🤖 GPT 4o'!H109</f>
        <v>0</v>
      </c>
      <c r="H439" s="119" t="n">
        <f aca="false">'🤖 GPT 4o'!I109</f>
        <v>0</v>
      </c>
      <c r="I439" s="119" t="n">
        <f aca="false">'🤖 GPT 4o'!J109</f>
        <v>0</v>
      </c>
    </row>
    <row r="440" customFormat="false" ht="15.75" hidden="false" customHeight="false" outlineLevel="0" collapsed="false">
      <c r="A440" s="118" t="n">
        <f aca="false">'🤖 GPT 4o'!$A$107</f>
        <v>0</v>
      </c>
      <c r="B440" s="4" t="s">
        <v>22</v>
      </c>
      <c r="C440" s="119" t="str">
        <f aca="false">'🤖 GPT 4o'!C110</f>
        <v>tldr</v>
      </c>
      <c r="D440" s="132" t="n">
        <f aca="false">'🤖 GPT 4o'!E110</f>
        <v>0.004761904762</v>
      </c>
      <c r="E440" s="119" t="n">
        <f aca="false">'🤖 GPT 4o'!F110</f>
        <v>0</v>
      </c>
      <c r="F440" s="119" t="n">
        <f aca="false">'🤖 GPT 4o'!G110</f>
        <v>0</v>
      </c>
      <c r="G440" s="119" t="n">
        <f aca="false">'🤖 GPT 4o'!H110</f>
        <v>0</v>
      </c>
      <c r="H440" s="119" t="n">
        <f aca="false">'🤖 GPT 4o'!I110</f>
        <v>0</v>
      </c>
      <c r="I440" s="119" t="n">
        <f aca="false">'🤖 GPT 4o'!J110</f>
        <v>0</v>
      </c>
    </row>
    <row r="441" customFormat="false" ht="15.75" hidden="false" customHeight="false" outlineLevel="0" collapsed="false">
      <c r="A441" s="118"/>
      <c r="B441" s="4"/>
      <c r="C441" s="6"/>
      <c r="D441" s="132"/>
      <c r="E441" s="6"/>
      <c r="F441" s="6"/>
      <c r="G441" s="6"/>
      <c r="H441" s="6"/>
      <c r="I441" s="6"/>
    </row>
    <row r="442" customFormat="false" ht="15.75" hidden="false" customHeight="false" outlineLevel="0" collapsed="false">
      <c r="A442" s="118" t="n">
        <f aca="false">'🤖 GPT 4o'!$A$112</f>
        <v>0</v>
      </c>
      <c r="B442" s="4" t="s">
        <v>22</v>
      </c>
      <c r="C442" s="119" t="str">
        <f aca="false">'🤖 GPT 4o'!C112</f>
        <v>Base</v>
      </c>
      <c r="D442" s="132" t="n">
        <f aca="false">'🤖 GPT 4o'!E112</f>
        <v>0.004761904762</v>
      </c>
      <c r="E442" s="119" t="n">
        <f aca="false">'🤖 GPT 4o'!F112</f>
        <v>0</v>
      </c>
      <c r="F442" s="119" t="n">
        <f aca="false">'🤖 GPT 4o'!G112</f>
        <v>0</v>
      </c>
      <c r="G442" s="119" t="n">
        <f aca="false">'🤖 GPT 4o'!H112</f>
        <v>0</v>
      </c>
      <c r="H442" s="119" t="n">
        <f aca="false">'🤖 GPT 4o'!I112</f>
        <v>0</v>
      </c>
      <c r="I442" s="119" t="n">
        <f aca="false">'🤖 GPT 4o'!J112</f>
        <v>0</v>
      </c>
    </row>
    <row r="443" customFormat="false" ht="15.75" hidden="false" customHeight="false" outlineLevel="0" collapsed="false">
      <c r="A443" s="118" t="n">
        <f aca="false">'🤖 GPT 4o'!$A$112</f>
        <v>0</v>
      </c>
      <c r="B443" s="4" t="s">
        <v>22</v>
      </c>
      <c r="C443" s="119" t="str">
        <f aca="false">'🤖 GPT 4o'!C113</f>
        <v>CoT</v>
      </c>
      <c r="D443" s="132" t="n">
        <f aca="false">'🤖 GPT 4o'!E113</f>
        <v>0.004761904762</v>
      </c>
      <c r="E443" s="119" t="n">
        <f aca="false">'🤖 GPT 4o'!F113</f>
        <v>0</v>
      </c>
      <c r="F443" s="119" t="n">
        <f aca="false">'🤖 GPT 4o'!G113</f>
        <v>0</v>
      </c>
      <c r="G443" s="119" t="n">
        <f aca="false">'🤖 GPT 4o'!H113</f>
        <v>0</v>
      </c>
      <c r="H443" s="119" t="n">
        <f aca="false">'🤖 GPT 4o'!I113</f>
        <v>0</v>
      </c>
      <c r="I443" s="119" t="n">
        <f aca="false">'🤖 GPT 4o'!J113</f>
        <v>0</v>
      </c>
    </row>
    <row r="444" customFormat="false" ht="15.75" hidden="false" customHeight="false" outlineLevel="0" collapsed="false">
      <c r="A444" s="118" t="n">
        <f aca="false">'🤖 GPT 4o'!$A$112</f>
        <v>0</v>
      </c>
      <c r="B444" s="4" t="s">
        <v>22</v>
      </c>
      <c r="C444" s="119" t="str">
        <f aca="false">'🤖 GPT 4o'!C114</f>
        <v>5W1H</v>
      </c>
      <c r="D444" s="132" t="n">
        <f aca="false">'🤖 GPT 4o'!E114</f>
        <v>0.004761904762</v>
      </c>
      <c r="E444" s="119" t="n">
        <f aca="false">'🤖 GPT 4o'!F114</f>
        <v>0</v>
      </c>
      <c r="F444" s="119" t="n">
        <f aca="false">'🤖 GPT 4o'!G114</f>
        <v>0</v>
      </c>
      <c r="G444" s="119" t="n">
        <f aca="false">'🤖 GPT 4o'!H114</f>
        <v>0</v>
      </c>
      <c r="H444" s="119" t="n">
        <f aca="false">'🤖 GPT 4o'!I114</f>
        <v>0</v>
      </c>
      <c r="I444" s="119" t="n">
        <f aca="false">'🤖 GPT 4o'!J114</f>
        <v>0</v>
      </c>
    </row>
    <row r="445" customFormat="false" ht="15.75" hidden="false" customHeight="false" outlineLevel="0" collapsed="false">
      <c r="A445" s="118" t="n">
        <f aca="false">'🤖 GPT 4o'!$A$112</f>
        <v>0</v>
      </c>
      <c r="B445" s="4" t="s">
        <v>22</v>
      </c>
      <c r="C445" s="119" t="str">
        <f aca="false">'🤖 GPT 4o'!C115</f>
        <v>tldr</v>
      </c>
      <c r="D445" s="132" t="n">
        <f aca="false">'🤖 GPT 4o'!E115</f>
        <v>0.004761904762</v>
      </c>
      <c r="E445" s="119" t="n">
        <f aca="false">'🤖 GPT 4o'!F115</f>
        <v>0</v>
      </c>
      <c r="F445" s="119" t="n">
        <f aca="false">'🤖 GPT 4o'!G115</f>
        <v>0</v>
      </c>
      <c r="G445" s="119" t="n">
        <f aca="false">'🤖 GPT 4o'!H115</f>
        <v>0</v>
      </c>
      <c r="H445" s="119" t="n">
        <f aca="false">'🤖 GPT 4o'!I115</f>
        <v>0</v>
      </c>
      <c r="I445" s="119" t="n">
        <f aca="false">'🤖 GPT 4o'!J115</f>
        <v>0</v>
      </c>
    </row>
    <row r="446" customFormat="false" ht="15.75" hidden="false" customHeight="false" outlineLevel="0" collapsed="false">
      <c r="A446" s="118"/>
      <c r="B446" s="4"/>
      <c r="C446" s="6"/>
      <c r="D446" s="132"/>
      <c r="E446" s="6"/>
      <c r="F446" s="6"/>
      <c r="G446" s="6"/>
      <c r="H446" s="6"/>
      <c r="I446" s="6"/>
    </row>
    <row r="447" customFormat="false" ht="15.75" hidden="false" customHeight="false" outlineLevel="0" collapsed="false">
      <c r="A447" s="118" t="n">
        <f aca="false">'🤖 GPT 4o'!$A$117</f>
        <v>0</v>
      </c>
      <c r="B447" s="4" t="s">
        <v>22</v>
      </c>
      <c r="C447" s="119" t="str">
        <f aca="false">'🤖 GPT 4o'!C117</f>
        <v>Base</v>
      </c>
      <c r="D447" s="132" t="n">
        <f aca="false">'🤖 GPT 4o'!E117</f>
        <v>0.004761904762</v>
      </c>
      <c r="E447" s="119" t="n">
        <f aca="false">'🤖 GPT 4o'!F117</f>
        <v>0</v>
      </c>
      <c r="F447" s="119" t="n">
        <f aca="false">'🤖 GPT 4o'!G117</f>
        <v>0</v>
      </c>
      <c r="G447" s="119" t="n">
        <f aca="false">'🤖 GPT 4o'!H117</f>
        <v>0</v>
      </c>
      <c r="H447" s="119" t="n">
        <f aca="false">'🤖 GPT 4o'!I117</f>
        <v>0</v>
      </c>
      <c r="I447" s="119" t="n">
        <f aca="false">'🤖 GPT 4o'!J117</f>
        <v>0</v>
      </c>
    </row>
    <row r="448" customFormat="false" ht="15.75" hidden="false" customHeight="false" outlineLevel="0" collapsed="false">
      <c r="A448" s="118" t="n">
        <f aca="false">'🤖 GPT 4o'!$A$117</f>
        <v>0</v>
      </c>
      <c r="B448" s="4" t="s">
        <v>22</v>
      </c>
      <c r="C448" s="119" t="str">
        <f aca="false">'🤖 GPT 4o'!C118</f>
        <v>CoT</v>
      </c>
      <c r="D448" s="132" t="n">
        <f aca="false">'🤖 GPT 4o'!E118</f>
        <v>0.004761904762</v>
      </c>
      <c r="E448" s="119" t="n">
        <f aca="false">'🤖 GPT 4o'!F118</f>
        <v>0</v>
      </c>
      <c r="F448" s="119" t="n">
        <f aca="false">'🤖 GPT 4o'!G118</f>
        <v>0</v>
      </c>
      <c r="G448" s="119" t="n">
        <f aca="false">'🤖 GPT 4o'!H118</f>
        <v>0</v>
      </c>
      <c r="H448" s="119" t="n">
        <f aca="false">'🤖 GPT 4o'!I118</f>
        <v>0</v>
      </c>
      <c r="I448" s="119" t="n">
        <f aca="false">'🤖 GPT 4o'!J118</f>
        <v>0</v>
      </c>
    </row>
    <row r="449" customFormat="false" ht="15.75" hidden="false" customHeight="false" outlineLevel="0" collapsed="false">
      <c r="A449" s="118" t="n">
        <f aca="false">'🤖 GPT 4o'!$A$117</f>
        <v>0</v>
      </c>
      <c r="B449" s="4" t="s">
        <v>22</v>
      </c>
      <c r="C449" s="119" t="str">
        <f aca="false">'🤖 GPT 4o'!C119</f>
        <v>5W1H</v>
      </c>
      <c r="D449" s="132" t="n">
        <f aca="false">'🤖 GPT 4o'!E119</f>
        <v>0.004761904762</v>
      </c>
      <c r="E449" s="119" t="n">
        <f aca="false">'🤖 GPT 4o'!F119</f>
        <v>0</v>
      </c>
      <c r="F449" s="119" t="n">
        <f aca="false">'🤖 GPT 4o'!G119</f>
        <v>0</v>
      </c>
      <c r="G449" s="119" t="n">
        <f aca="false">'🤖 GPT 4o'!H119</f>
        <v>0</v>
      </c>
      <c r="H449" s="119" t="n">
        <f aca="false">'🤖 GPT 4o'!I119</f>
        <v>0</v>
      </c>
      <c r="I449" s="119" t="n">
        <f aca="false">'🤖 GPT 4o'!J119</f>
        <v>0</v>
      </c>
    </row>
    <row r="450" customFormat="false" ht="15.75" hidden="false" customHeight="false" outlineLevel="0" collapsed="false">
      <c r="A450" s="118" t="n">
        <f aca="false">'🤖 GPT 4o'!$A$117</f>
        <v>0</v>
      </c>
      <c r="B450" s="4" t="s">
        <v>22</v>
      </c>
      <c r="C450" s="119" t="str">
        <f aca="false">'🤖 GPT 4o'!C120</f>
        <v>tldr</v>
      </c>
      <c r="D450" s="132" t="n">
        <f aca="false">'🤖 GPT 4o'!E120</f>
        <v>0.004761904762</v>
      </c>
      <c r="E450" s="119" t="n">
        <f aca="false">'🤖 GPT 4o'!F120</f>
        <v>0</v>
      </c>
      <c r="F450" s="119" t="n">
        <f aca="false">'🤖 GPT 4o'!G120</f>
        <v>0</v>
      </c>
      <c r="G450" s="119" t="n">
        <f aca="false">'🤖 GPT 4o'!H120</f>
        <v>0</v>
      </c>
      <c r="H450" s="119" t="n">
        <f aca="false">'🤖 GPT 4o'!I120</f>
        <v>0</v>
      </c>
      <c r="I450" s="119" t="n">
        <f aca="false">'🤖 GPT 4o'!J120</f>
        <v>0</v>
      </c>
    </row>
    <row r="451" customFormat="false" ht="15.75" hidden="false" customHeight="false" outlineLevel="0" collapsed="false">
      <c r="A451" s="118"/>
      <c r="B451" s="4"/>
      <c r="C451" s="6"/>
      <c r="D451" s="132"/>
      <c r="E451" s="6"/>
      <c r="F451" s="6"/>
      <c r="G451" s="6"/>
      <c r="H451" s="6"/>
      <c r="I451" s="6"/>
    </row>
    <row r="452" customFormat="false" ht="15.75" hidden="false" customHeight="false" outlineLevel="0" collapsed="false">
      <c r="A452" s="118" t="n">
        <f aca="false">'🤖 GPT 4o'!$A$122</f>
        <v>0</v>
      </c>
      <c r="B452" s="4" t="s">
        <v>22</v>
      </c>
      <c r="C452" s="119" t="str">
        <f aca="false">'🤖 GPT 4o'!C122</f>
        <v>Base</v>
      </c>
      <c r="D452" s="132" t="n">
        <f aca="false">'🤖 GPT 4o'!E122</f>
        <v>0.004761904762</v>
      </c>
      <c r="E452" s="119" t="n">
        <f aca="false">'🤖 GPT 4o'!F122</f>
        <v>0</v>
      </c>
      <c r="F452" s="119" t="n">
        <f aca="false">'🤖 GPT 4o'!G122</f>
        <v>0</v>
      </c>
      <c r="G452" s="119" t="n">
        <f aca="false">'🤖 GPT 4o'!H122</f>
        <v>0</v>
      </c>
      <c r="H452" s="119" t="n">
        <f aca="false">'🤖 GPT 4o'!I122</f>
        <v>0</v>
      </c>
      <c r="I452" s="119" t="n">
        <f aca="false">'🤖 GPT 4o'!J122</f>
        <v>0</v>
      </c>
    </row>
    <row r="453" customFormat="false" ht="15.75" hidden="false" customHeight="false" outlineLevel="0" collapsed="false">
      <c r="A453" s="118" t="n">
        <f aca="false">'🤖 GPT 4o'!$A$122</f>
        <v>0</v>
      </c>
      <c r="B453" s="4" t="s">
        <v>22</v>
      </c>
      <c r="C453" s="119" t="str">
        <f aca="false">'🤖 GPT 4o'!C123</f>
        <v>CoT</v>
      </c>
      <c r="D453" s="132" t="n">
        <f aca="false">'🤖 GPT 4o'!E123</f>
        <v>0.004761904762</v>
      </c>
      <c r="E453" s="119" t="n">
        <f aca="false">'🤖 GPT 4o'!F123</f>
        <v>0</v>
      </c>
      <c r="F453" s="119" t="n">
        <f aca="false">'🤖 GPT 4o'!G123</f>
        <v>0</v>
      </c>
      <c r="G453" s="119" t="n">
        <f aca="false">'🤖 GPT 4o'!H123</f>
        <v>0</v>
      </c>
      <c r="H453" s="119" t="n">
        <f aca="false">'🤖 GPT 4o'!I123</f>
        <v>0</v>
      </c>
      <c r="I453" s="119" t="n">
        <f aca="false">'🤖 GPT 4o'!J123</f>
        <v>0</v>
      </c>
    </row>
    <row r="454" customFormat="false" ht="15.75" hidden="false" customHeight="false" outlineLevel="0" collapsed="false">
      <c r="A454" s="118" t="n">
        <f aca="false">'🤖 GPT 4o'!$A$122</f>
        <v>0</v>
      </c>
      <c r="B454" s="4" t="s">
        <v>22</v>
      </c>
      <c r="C454" s="119" t="str">
        <f aca="false">'🤖 GPT 4o'!C124</f>
        <v>5W1H</v>
      </c>
      <c r="D454" s="132" t="n">
        <f aca="false">'🤖 GPT 4o'!E124</f>
        <v>0.004761904762</v>
      </c>
      <c r="E454" s="119" t="n">
        <f aca="false">'🤖 GPT 4o'!F124</f>
        <v>0</v>
      </c>
      <c r="F454" s="119" t="n">
        <f aca="false">'🤖 GPT 4o'!G124</f>
        <v>0</v>
      </c>
      <c r="G454" s="119" t="n">
        <f aca="false">'🤖 GPT 4o'!H124</f>
        <v>0</v>
      </c>
      <c r="H454" s="119" t="n">
        <f aca="false">'🤖 GPT 4o'!I124</f>
        <v>0</v>
      </c>
      <c r="I454" s="119" t="n">
        <f aca="false">'🤖 GPT 4o'!J124</f>
        <v>0</v>
      </c>
    </row>
    <row r="455" customFormat="false" ht="15.75" hidden="false" customHeight="false" outlineLevel="0" collapsed="false">
      <c r="A455" s="118" t="n">
        <f aca="false">'🤖 GPT 4o'!$A$122</f>
        <v>0</v>
      </c>
      <c r="B455" s="4" t="s">
        <v>22</v>
      </c>
      <c r="C455" s="119" t="str">
        <f aca="false">'🤖 GPT 4o'!C125</f>
        <v>tldr</v>
      </c>
      <c r="D455" s="132" t="n">
        <f aca="false">'🤖 GPT 4o'!E125</f>
        <v>0.004761904762</v>
      </c>
      <c r="E455" s="119" t="n">
        <f aca="false">'🤖 GPT 4o'!F125</f>
        <v>0</v>
      </c>
      <c r="F455" s="119" t="n">
        <f aca="false">'🤖 GPT 4o'!G125</f>
        <v>0</v>
      </c>
      <c r="G455" s="119" t="n">
        <f aca="false">'🤖 GPT 4o'!H125</f>
        <v>0</v>
      </c>
      <c r="H455" s="119" t="n">
        <f aca="false">'🤖 GPT 4o'!I125</f>
        <v>0</v>
      </c>
      <c r="I455" s="119" t="n">
        <f aca="false">'🤖 GPT 4o'!J125</f>
        <v>0</v>
      </c>
    </row>
    <row r="456" customFormat="false" ht="15.75" hidden="false" customHeight="false" outlineLevel="0" collapsed="false">
      <c r="A456" s="118"/>
      <c r="B456" s="4"/>
      <c r="C456" s="6"/>
      <c r="D456" s="132"/>
      <c r="E456" s="6"/>
      <c r="F456" s="6"/>
      <c r="G456" s="6"/>
      <c r="H456" s="6"/>
      <c r="I456" s="6"/>
    </row>
    <row r="457" customFormat="false" ht="15.75" hidden="false" customHeight="false" outlineLevel="0" collapsed="false">
      <c r="A457" s="118" t="n">
        <f aca="false">'🤖 GPT 4o'!$A$127</f>
        <v>0</v>
      </c>
      <c r="B457" s="4" t="s">
        <v>22</v>
      </c>
      <c r="C457" s="119" t="str">
        <f aca="false">'🤖 GPT 4o'!C127</f>
        <v>Base</v>
      </c>
      <c r="D457" s="132" t="n">
        <f aca="false">'🤖 GPT 4o'!E127</f>
        <v>0.004761904762</v>
      </c>
      <c r="E457" s="119" t="n">
        <f aca="false">'🤖 GPT 4o'!F127</f>
        <v>0</v>
      </c>
      <c r="F457" s="119" t="n">
        <f aca="false">'🤖 GPT 4o'!G127</f>
        <v>0</v>
      </c>
      <c r="G457" s="119" t="n">
        <f aca="false">'🤖 GPT 4o'!H127</f>
        <v>0</v>
      </c>
      <c r="H457" s="119" t="n">
        <f aca="false">'🤖 GPT 4o'!I127</f>
        <v>0</v>
      </c>
      <c r="I457" s="119" t="n">
        <f aca="false">'🤖 GPT 4o'!J127</f>
        <v>0</v>
      </c>
    </row>
    <row r="458" customFormat="false" ht="15.75" hidden="false" customHeight="false" outlineLevel="0" collapsed="false">
      <c r="A458" s="118" t="n">
        <f aca="false">'🤖 GPT 4o'!$A$127</f>
        <v>0</v>
      </c>
      <c r="B458" s="4" t="s">
        <v>22</v>
      </c>
      <c r="C458" s="119" t="str">
        <f aca="false">'🤖 GPT 4o'!C128</f>
        <v>CoT</v>
      </c>
      <c r="D458" s="132" t="n">
        <f aca="false">'🤖 GPT 4o'!E128</f>
        <v>0.004761904762</v>
      </c>
      <c r="E458" s="119" t="n">
        <f aca="false">'🤖 GPT 4o'!F128</f>
        <v>0</v>
      </c>
      <c r="F458" s="119" t="n">
        <f aca="false">'🤖 GPT 4o'!G128</f>
        <v>0</v>
      </c>
      <c r="G458" s="119" t="n">
        <f aca="false">'🤖 GPT 4o'!H128</f>
        <v>0</v>
      </c>
      <c r="H458" s="119" t="n">
        <f aca="false">'🤖 GPT 4o'!I128</f>
        <v>0</v>
      </c>
      <c r="I458" s="119" t="n">
        <f aca="false">'🤖 GPT 4o'!J128</f>
        <v>0</v>
      </c>
    </row>
    <row r="459" customFormat="false" ht="15.75" hidden="false" customHeight="false" outlineLevel="0" collapsed="false">
      <c r="A459" s="118" t="n">
        <f aca="false">'🤖 GPT 4o'!$A$127</f>
        <v>0</v>
      </c>
      <c r="B459" s="4" t="s">
        <v>22</v>
      </c>
      <c r="C459" s="119" t="str">
        <f aca="false">'🤖 GPT 4o'!C129</f>
        <v>5W1H</v>
      </c>
      <c r="D459" s="132" t="n">
        <f aca="false">'🤖 GPT 4o'!E129</f>
        <v>0.004761904762</v>
      </c>
      <c r="E459" s="119" t="n">
        <f aca="false">'🤖 GPT 4o'!F129</f>
        <v>0</v>
      </c>
      <c r="F459" s="119" t="n">
        <f aca="false">'🤖 GPT 4o'!G129</f>
        <v>0</v>
      </c>
      <c r="G459" s="119" t="n">
        <f aca="false">'🤖 GPT 4o'!H129</f>
        <v>0</v>
      </c>
      <c r="H459" s="119" t="n">
        <f aca="false">'🤖 GPT 4o'!I129</f>
        <v>0</v>
      </c>
      <c r="I459" s="119" t="n">
        <f aca="false">'🤖 GPT 4o'!J129</f>
        <v>0</v>
      </c>
    </row>
    <row r="460" customFormat="false" ht="15.75" hidden="false" customHeight="false" outlineLevel="0" collapsed="false">
      <c r="A460" s="118" t="n">
        <f aca="false">'🤖 GPT 4o'!$A$127</f>
        <v>0</v>
      </c>
      <c r="B460" s="4" t="s">
        <v>22</v>
      </c>
      <c r="C460" s="119" t="str">
        <f aca="false">'🤖 GPT 4o'!C130</f>
        <v>tldr</v>
      </c>
      <c r="D460" s="132" t="n">
        <f aca="false">'🤖 GPT 4o'!E130</f>
        <v>0.004761904762</v>
      </c>
      <c r="E460" s="119" t="n">
        <f aca="false">'🤖 GPT 4o'!F130</f>
        <v>0</v>
      </c>
      <c r="F460" s="119" t="n">
        <f aca="false">'🤖 GPT 4o'!G130</f>
        <v>0</v>
      </c>
      <c r="G460" s="119" t="n">
        <f aca="false">'🤖 GPT 4o'!H130</f>
        <v>0</v>
      </c>
      <c r="H460" s="119" t="n">
        <f aca="false">'🤖 GPT 4o'!I130</f>
        <v>0</v>
      </c>
      <c r="I460" s="119" t="n">
        <f aca="false">'🤖 GPT 4o'!J130</f>
        <v>0</v>
      </c>
    </row>
    <row r="461" customFormat="false" ht="15.75" hidden="false" customHeight="false" outlineLevel="0" collapsed="false">
      <c r="A461" s="118"/>
      <c r="B461" s="4"/>
      <c r="C461" s="6"/>
      <c r="D461" s="132"/>
      <c r="E461" s="6"/>
      <c r="F461" s="6"/>
      <c r="G461" s="6"/>
      <c r="H461" s="6"/>
      <c r="I461" s="6"/>
    </row>
    <row r="462" customFormat="false" ht="15.75" hidden="false" customHeight="false" outlineLevel="0" collapsed="false">
      <c r="A462" s="118" t="n">
        <f aca="false">'🤖 GPT 4o'!$A$132</f>
        <v>0</v>
      </c>
      <c r="B462" s="4" t="s">
        <v>22</v>
      </c>
      <c r="C462" s="119" t="str">
        <f aca="false">'🤖 GPT 4o'!C132</f>
        <v>Base</v>
      </c>
      <c r="D462" s="132" t="n">
        <f aca="false">'🤖 GPT 4o'!E132</f>
        <v>0.004761904762</v>
      </c>
      <c r="E462" s="119" t="n">
        <f aca="false">'🤖 GPT 4o'!F132</f>
        <v>0</v>
      </c>
      <c r="F462" s="119" t="n">
        <f aca="false">'🤖 GPT 4o'!G132</f>
        <v>0</v>
      </c>
      <c r="G462" s="119" t="n">
        <f aca="false">'🤖 GPT 4o'!H132</f>
        <v>0</v>
      </c>
      <c r="H462" s="119" t="n">
        <f aca="false">'🤖 GPT 4o'!I132</f>
        <v>0</v>
      </c>
      <c r="I462" s="119" t="n">
        <f aca="false">'🤖 GPT 4o'!J132</f>
        <v>0</v>
      </c>
    </row>
    <row r="463" customFormat="false" ht="15.75" hidden="false" customHeight="false" outlineLevel="0" collapsed="false">
      <c r="A463" s="118" t="n">
        <f aca="false">'🤖 GPT 4o'!$A$132</f>
        <v>0</v>
      </c>
      <c r="B463" s="4" t="s">
        <v>22</v>
      </c>
      <c r="C463" s="119" t="str">
        <f aca="false">'🤖 GPT 4o'!C133</f>
        <v>CoT</v>
      </c>
      <c r="D463" s="132" t="n">
        <f aca="false">'🤖 GPT 4o'!E133</f>
        <v>0.004761904762</v>
      </c>
      <c r="E463" s="119" t="n">
        <f aca="false">'🤖 GPT 4o'!F133</f>
        <v>0</v>
      </c>
      <c r="F463" s="119" t="n">
        <f aca="false">'🤖 GPT 4o'!G133</f>
        <v>0</v>
      </c>
      <c r="G463" s="119" t="n">
        <f aca="false">'🤖 GPT 4o'!H133</f>
        <v>0</v>
      </c>
      <c r="H463" s="119" t="n">
        <f aca="false">'🤖 GPT 4o'!I133</f>
        <v>0</v>
      </c>
      <c r="I463" s="119" t="n">
        <f aca="false">'🤖 GPT 4o'!J133</f>
        <v>0</v>
      </c>
    </row>
    <row r="464" customFormat="false" ht="15.75" hidden="false" customHeight="false" outlineLevel="0" collapsed="false">
      <c r="A464" s="118" t="n">
        <f aca="false">'🤖 GPT 4o'!$A$132</f>
        <v>0</v>
      </c>
      <c r="B464" s="4" t="s">
        <v>22</v>
      </c>
      <c r="C464" s="119" t="str">
        <f aca="false">'🤖 GPT 4o'!C134</f>
        <v>5W1H</v>
      </c>
      <c r="D464" s="132" t="n">
        <f aca="false">'🤖 GPT 4o'!E134</f>
        <v>0.004761904762</v>
      </c>
      <c r="E464" s="119" t="n">
        <f aca="false">'🤖 GPT 4o'!F134</f>
        <v>0</v>
      </c>
      <c r="F464" s="119" t="n">
        <f aca="false">'🤖 GPT 4o'!G134</f>
        <v>0</v>
      </c>
      <c r="G464" s="119" t="n">
        <f aca="false">'🤖 GPT 4o'!H134</f>
        <v>0</v>
      </c>
      <c r="H464" s="119" t="n">
        <f aca="false">'🤖 GPT 4o'!I134</f>
        <v>0</v>
      </c>
      <c r="I464" s="119" t="n">
        <f aca="false">'🤖 GPT 4o'!J134</f>
        <v>0</v>
      </c>
    </row>
    <row r="465" customFormat="false" ht="15.75" hidden="false" customHeight="false" outlineLevel="0" collapsed="false">
      <c r="A465" s="118" t="n">
        <f aca="false">'🤖 GPT 4o'!$A$132</f>
        <v>0</v>
      </c>
      <c r="B465" s="4" t="s">
        <v>22</v>
      </c>
      <c r="C465" s="119" t="str">
        <f aca="false">'🤖 GPT 4o'!C135</f>
        <v>tldr</v>
      </c>
      <c r="D465" s="132" t="n">
        <f aca="false">'🤖 GPT 4o'!E135</f>
        <v>0.004761904762</v>
      </c>
      <c r="E465" s="119" t="n">
        <f aca="false">'🤖 GPT 4o'!F135</f>
        <v>0</v>
      </c>
      <c r="F465" s="119" t="n">
        <f aca="false">'🤖 GPT 4o'!G135</f>
        <v>0</v>
      </c>
      <c r="G465" s="119" t="n">
        <f aca="false">'🤖 GPT 4o'!H135</f>
        <v>0</v>
      </c>
      <c r="H465" s="119" t="n">
        <f aca="false">'🤖 GPT 4o'!I135</f>
        <v>0</v>
      </c>
      <c r="I465" s="119" t="n">
        <f aca="false">'🤖 GPT 4o'!J135</f>
        <v>0</v>
      </c>
    </row>
    <row r="466" customFormat="false" ht="15.75" hidden="false" customHeight="false" outlineLevel="0" collapsed="false">
      <c r="A466" s="118"/>
      <c r="B466" s="4"/>
      <c r="C466" s="6"/>
      <c r="D466" s="132"/>
      <c r="E466" s="6"/>
      <c r="F466" s="6"/>
      <c r="G466" s="6"/>
      <c r="H466" s="6"/>
      <c r="I466" s="6"/>
    </row>
    <row r="467" customFormat="false" ht="15.75" hidden="false" customHeight="false" outlineLevel="0" collapsed="false">
      <c r="A467" s="118" t="n">
        <f aca="false">'🤖 GPT 4o'!$A$137</f>
        <v>0</v>
      </c>
      <c r="B467" s="4" t="s">
        <v>22</v>
      </c>
      <c r="C467" s="119" t="str">
        <f aca="false">'🤖 GPT 4o'!C137</f>
        <v>Base</v>
      </c>
      <c r="D467" s="132" t="n">
        <f aca="false">'🤖 GPT 4o'!E137</f>
        <v>0.004761904762</v>
      </c>
      <c r="E467" s="119" t="n">
        <f aca="false">'🤖 GPT 4o'!F137</f>
        <v>0</v>
      </c>
      <c r="F467" s="119" t="n">
        <f aca="false">'🤖 GPT 4o'!G137</f>
        <v>0</v>
      </c>
      <c r="G467" s="119" t="n">
        <f aca="false">'🤖 GPT 4o'!H137</f>
        <v>0</v>
      </c>
      <c r="H467" s="119" t="n">
        <f aca="false">'🤖 GPT 4o'!I137</f>
        <v>0</v>
      </c>
      <c r="I467" s="119" t="n">
        <f aca="false">'🤖 GPT 4o'!J137</f>
        <v>0</v>
      </c>
    </row>
    <row r="468" customFormat="false" ht="15.75" hidden="false" customHeight="false" outlineLevel="0" collapsed="false">
      <c r="A468" s="118" t="n">
        <f aca="false">'🤖 GPT 4o'!$A$137</f>
        <v>0</v>
      </c>
      <c r="B468" s="4" t="s">
        <v>22</v>
      </c>
      <c r="C468" s="119" t="str">
        <f aca="false">'🤖 GPT 4o'!C138</f>
        <v>CoT</v>
      </c>
      <c r="D468" s="132" t="n">
        <f aca="false">'🤖 GPT 4o'!E138</f>
        <v>0.004761904762</v>
      </c>
      <c r="E468" s="119" t="n">
        <f aca="false">'🤖 GPT 4o'!F138</f>
        <v>0</v>
      </c>
      <c r="F468" s="119" t="n">
        <f aca="false">'🤖 GPT 4o'!G138</f>
        <v>0</v>
      </c>
      <c r="G468" s="119" t="n">
        <f aca="false">'🤖 GPT 4o'!H138</f>
        <v>0</v>
      </c>
      <c r="H468" s="119" t="n">
        <f aca="false">'🤖 GPT 4o'!I138</f>
        <v>0</v>
      </c>
      <c r="I468" s="119" t="n">
        <f aca="false">'🤖 GPT 4o'!J138</f>
        <v>0</v>
      </c>
    </row>
    <row r="469" customFormat="false" ht="15.75" hidden="false" customHeight="false" outlineLevel="0" collapsed="false">
      <c r="A469" s="118" t="n">
        <f aca="false">'🤖 GPT 4o'!$A$137</f>
        <v>0</v>
      </c>
      <c r="B469" s="4" t="s">
        <v>22</v>
      </c>
      <c r="C469" s="119" t="str">
        <f aca="false">'🤖 GPT 4o'!C139</f>
        <v>5W1H</v>
      </c>
      <c r="D469" s="132" t="n">
        <f aca="false">'🤖 GPT 4o'!E139</f>
        <v>0.004761904762</v>
      </c>
      <c r="E469" s="119" t="n">
        <f aca="false">'🤖 GPT 4o'!F139</f>
        <v>0</v>
      </c>
      <c r="F469" s="119" t="n">
        <f aca="false">'🤖 GPT 4o'!G139</f>
        <v>0</v>
      </c>
      <c r="G469" s="119" t="n">
        <f aca="false">'🤖 GPT 4o'!H139</f>
        <v>0</v>
      </c>
      <c r="H469" s="119" t="n">
        <f aca="false">'🤖 GPT 4o'!I139</f>
        <v>0</v>
      </c>
      <c r="I469" s="119" t="n">
        <f aca="false">'🤖 GPT 4o'!J139</f>
        <v>0</v>
      </c>
    </row>
    <row r="470" customFormat="false" ht="15.75" hidden="false" customHeight="false" outlineLevel="0" collapsed="false">
      <c r="A470" s="118" t="n">
        <f aca="false">'🤖 GPT 4o'!$A$137</f>
        <v>0</v>
      </c>
      <c r="B470" s="4" t="s">
        <v>22</v>
      </c>
      <c r="C470" s="119" t="str">
        <f aca="false">'🤖 GPT 4o'!C140</f>
        <v>tldr</v>
      </c>
      <c r="D470" s="132" t="n">
        <f aca="false">'🤖 GPT 4o'!E140</f>
        <v>0.004761904762</v>
      </c>
      <c r="E470" s="119" t="n">
        <f aca="false">'🤖 GPT 4o'!F140</f>
        <v>0</v>
      </c>
      <c r="F470" s="119" t="n">
        <f aca="false">'🤖 GPT 4o'!G140</f>
        <v>0</v>
      </c>
      <c r="G470" s="119" t="n">
        <f aca="false">'🤖 GPT 4o'!H140</f>
        <v>0</v>
      </c>
      <c r="H470" s="119" t="n">
        <f aca="false">'🤖 GPT 4o'!I140</f>
        <v>0</v>
      </c>
      <c r="I470" s="119" t="n">
        <f aca="false">'🤖 GPT 4o'!J140</f>
        <v>0</v>
      </c>
    </row>
    <row r="471" customFormat="false" ht="15.75" hidden="false" customHeight="false" outlineLevel="0" collapsed="false">
      <c r="A471" s="118"/>
      <c r="B471" s="4"/>
      <c r="C471" s="6"/>
      <c r="D471" s="132"/>
      <c r="E471" s="6"/>
      <c r="F471" s="6"/>
      <c r="G471" s="6"/>
      <c r="H471" s="6"/>
      <c r="I471" s="6"/>
    </row>
    <row r="472" customFormat="false" ht="15.75" hidden="false" customHeight="false" outlineLevel="0" collapsed="false">
      <c r="A472" s="118" t="n">
        <f aca="false">'🤖 GPT 4o'!$A$142</f>
        <v>0</v>
      </c>
      <c r="B472" s="4" t="s">
        <v>22</v>
      </c>
      <c r="C472" s="119" t="str">
        <f aca="false">'🤖 GPT 4o'!C142</f>
        <v>Base</v>
      </c>
      <c r="D472" s="132" t="n">
        <f aca="false">'🤖 GPT 4o'!E142</f>
        <v>0.004761904762</v>
      </c>
      <c r="E472" s="119" t="n">
        <f aca="false">'🤖 GPT 4o'!F142</f>
        <v>0</v>
      </c>
      <c r="F472" s="119" t="n">
        <f aca="false">'🤖 GPT 4o'!G142</f>
        <v>0</v>
      </c>
      <c r="G472" s="119" t="n">
        <f aca="false">'🤖 GPT 4o'!H142</f>
        <v>0</v>
      </c>
      <c r="H472" s="119" t="n">
        <f aca="false">'🤖 GPT 4o'!I142</f>
        <v>0</v>
      </c>
      <c r="I472" s="119" t="n">
        <f aca="false">'🤖 GPT 4o'!J142</f>
        <v>0</v>
      </c>
    </row>
    <row r="473" customFormat="false" ht="15.75" hidden="false" customHeight="false" outlineLevel="0" collapsed="false">
      <c r="A473" s="118" t="n">
        <f aca="false">'🤖 GPT 4o'!$A$142</f>
        <v>0</v>
      </c>
      <c r="B473" s="4" t="s">
        <v>22</v>
      </c>
      <c r="C473" s="119" t="str">
        <f aca="false">'🤖 GPT 4o'!C143</f>
        <v>CoT</v>
      </c>
      <c r="D473" s="132" t="n">
        <f aca="false">'🤖 GPT 4o'!E143</f>
        <v>0.004761904762</v>
      </c>
      <c r="E473" s="119" t="n">
        <f aca="false">'🤖 GPT 4o'!F143</f>
        <v>0</v>
      </c>
      <c r="F473" s="119" t="n">
        <f aca="false">'🤖 GPT 4o'!G143</f>
        <v>0</v>
      </c>
      <c r="G473" s="119" t="n">
        <f aca="false">'🤖 GPT 4o'!H143</f>
        <v>0</v>
      </c>
      <c r="H473" s="119" t="n">
        <f aca="false">'🤖 GPT 4o'!I143</f>
        <v>0</v>
      </c>
      <c r="I473" s="119" t="n">
        <f aca="false">'🤖 GPT 4o'!J143</f>
        <v>0</v>
      </c>
    </row>
    <row r="474" customFormat="false" ht="15.75" hidden="false" customHeight="false" outlineLevel="0" collapsed="false">
      <c r="A474" s="118" t="n">
        <f aca="false">'🤖 GPT 4o'!$A$142</f>
        <v>0</v>
      </c>
      <c r="B474" s="4" t="s">
        <v>22</v>
      </c>
      <c r="C474" s="119" t="str">
        <f aca="false">'🤖 GPT 4o'!C144</f>
        <v>5W1H</v>
      </c>
      <c r="D474" s="132" t="n">
        <f aca="false">'🤖 GPT 4o'!E144</f>
        <v>0.004761904762</v>
      </c>
      <c r="E474" s="119" t="n">
        <f aca="false">'🤖 GPT 4o'!F144</f>
        <v>0</v>
      </c>
      <c r="F474" s="119" t="n">
        <f aca="false">'🤖 GPT 4o'!G144</f>
        <v>0</v>
      </c>
      <c r="G474" s="119" t="n">
        <f aca="false">'🤖 GPT 4o'!H144</f>
        <v>0</v>
      </c>
      <c r="H474" s="119" t="n">
        <f aca="false">'🤖 GPT 4o'!I144</f>
        <v>0</v>
      </c>
      <c r="I474" s="119" t="n">
        <f aca="false">'🤖 GPT 4o'!J144</f>
        <v>0</v>
      </c>
    </row>
    <row r="475" customFormat="false" ht="15.75" hidden="false" customHeight="false" outlineLevel="0" collapsed="false">
      <c r="A475" s="118" t="n">
        <f aca="false">'🤖 GPT 4o'!$A$142</f>
        <v>0</v>
      </c>
      <c r="B475" s="4" t="s">
        <v>22</v>
      </c>
      <c r="C475" s="119" t="str">
        <f aca="false">'🤖 GPT 4o'!C145</f>
        <v>tldr</v>
      </c>
      <c r="D475" s="132" t="n">
        <f aca="false">'🤖 GPT 4o'!E145</f>
        <v>0.004761904762</v>
      </c>
      <c r="E475" s="119" t="n">
        <f aca="false">'🤖 GPT 4o'!F145</f>
        <v>0</v>
      </c>
      <c r="F475" s="119" t="n">
        <f aca="false">'🤖 GPT 4o'!G145</f>
        <v>0</v>
      </c>
      <c r="G475" s="119" t="n">
        <f aca="false">'🤖 GPT 4o'!H145</f>
        <v>0</v>
      </c>
      <c r="H475" s="119" t="n">
        <f aca="false">'🤖 GPT 4o'!I145</f>
        <v>0</v>
      </c>
      <c r="I475" s="119" t="n">
        <f aca="false">'🤖 GPT 4o'!J145</f>
        <v>0</v>
      </c>
    </row>
    <row r="476" customFormat="false" ht="15.75" hidden="false" customHeight="false" outlineLevel="0" collapsed="false">
      <c r="A476" s="118"/>
      <c r="B476" s="4"/>
      <c r="C476" s="6"/>
      <c r="D476" s="132"/>
      <c r="E476" s="6"/>
      <c r="F476" s="6"/>
      <c r="G476" s="6"/>
      <c r="H476" s="6"/>
      <c r="I476" s="6"/>
    </row>
    <row r="477" customFormat="false" ht="15.75" hidden="false" customHeight="false" outlineLevel="0" collapsed="false">
      <c r="A477" s="118" t="n">
        <f aca="false">'🤖 GPT 4o'!$A$147</f>
        <v>0</v>
      </c>
      <c r="B477" s="4" t="s">
        <v>22</v>
      </c>
      <c r="C477" s="119" t="str">
        <f aca="false">'🤖 GPT 4o'!C147</f>
        <v>Base</v>
      </c>
      <c r="D477" s="132" t="n">
        <f aca="false">'🤖 GPT 4o'!E147</f>
        <v>0.004761904762</v>
      </c>
      <c r="E477" s="119" t="n">
        <f aca="false">'🤖 GPT 4o'!F147</f>
        <v>0</v>
      </c>
      <c r="F477" s="119" t="n">
        <f aca="false">'🤖 GPT 4o'!G147</f>
        <v>0</v>
      </c>
      <c r="G477" s="119" t="n">
        <f aca="false">'🤖 GPT 4o'!H147</f>
        <v>0</v>
      </c>
      <c r="H477" s="119" t="n">
        <f aca="false">'🤖 GPT 4o'!I147</f>
        <v>0</v>
      </c>
      <c r="I477" s="119" t="n">
        <f aca="false">'🤖 GPT 4o'!J147</f>
        <v>0</v>
      </c>
    </row>
    <row r="478" customFormat="false" ht="15.75" hidden="false" customHeight="false" outlineLevel="0" collapsed="false">
      <c r="A478" s="118" t="n">
        <f aca="false">'🤖 GPT 4o'!$A$147</f>
        <v>0</v>
      </c>
      <c r="B478" s="4" t="s">
        <v>22</v>
      </c>
      <c r="C478" s="119" t="str">
        <f aca="false">'🤖 GPT 4o'!C148</f>
        <v>CoT</v>
      </c>
      <c r="D478" s="132" t="n">
        <f aca="false">'🤖 GPT 4o'!E148</f>
        <v>0.004761904762</v>
      </c>
      <c r="E478" s="119" t="n">
        <f aca="false">'🤖 GPT 4o'!F148</f>
        <v>0</v>
      </c>
      <c r="F478" s="119" t="n">
        <f aca="false">'🤖 GPT 4o'!G148</f>
        <v>0</v>
      </c>
      <c r="G478" s="119" t="n">
        <f aca="false">'🤖 GPT 4o'!H148</f>
        <v>0</v>
      </c>
      <c r="H478" s="119" t="n">
        <f aca="false">'🤖 GPT 4o'!I148</f>
        <v>0</v>
      </c>
      <c r="I478" s="119" t="n">
        <f aca="false">'🤖 GPT 4o'!J148</f>
        <v>0</v>
      </c>
    </row>
    <row r="479" customFormat="false" ht="15.75" hidden="false" customHeight="false" outlineLevel="0" collapsed="false">
      <c r="A479" s="118" t="n">
        <f aca="false">'🤖 GPT 4o'!$A$147</f>
        <v>0</v>
      </c>
      <c r="B479" s="4" t="s">
        <v>22</v>
      </c>
      <c r="C479" s="119" t="str">
        <f aca="false">'🤖 GPT 4o'!C149</f>
        <v>5W1H</v>
      </c>
      <c r="D479" s="132" t="n">
        <f aca="false">'🤖 GPT 4o'!E149</f>
        <v>0.004761904762</v>
      </c>
      <c r="E479" s="119" t="n">
        <f aca="false">'🤖 GPT 4o'!F149</f>
        <v>0</v>
      </c>
      <c r="F479" s="119" t="n">
        <f aca="false">'🤖 GPT 4o'!G149</f>
        <v>0</v>
      </c>
      <c r="G479" s="119" t="n">
        <f aca="false">'🤖 GPT 4o'!H149</f>
        <v>0</v>
      </c>
      <c r="H479" s="119" t="n">
        <f aca="false">'🤖 GPT 4o'!I149</f>
        <v>0</v>
      </c>
      <c r="I479" s="119" t="n">
        <f aca="false">'🤖 GPT 4o'!J149</f>
        <v>0</v>
      </c>
    </row>
    <row r="480" customFormat="false" ht="15.75" hidden="false" customHeight="false" outlineLevel="0" collapsed="false">
      <c r="A480" s="118" t="n">
        <f aca="false">'🤖 GPT 4o'!$A$147</f>
        <v>0</v>
      </c>
      <c r="B480" s="4" t="s">
        <v>22</v>
      </c>
      <c r="C480" s="119" t="str">
        <f aca="false">'🤖 GPT 4o'!C150</f>
        <v>tldr</v>
      </c>
      <c r="D480" s="132" t="n">
        <f aca="false">'🤖 GPT 4o'!E150</f>
        <v>0.004761904762</v>
      </c>
      <c r="E480" s="119" t="n">
        <f aca="false">'🤖 GPT 4o'!F150</f>
        <v>0</v>
      </c>
      <c r="F480" s="119" t="n">
        <f aca="false">'🤖 GPT 4o'!G150</f>
        <v>0</v>
      </c>
      <c r="G480" s="119" t="n">
        <f aca="false">'🤖 GPT 4o'!H150</f>
        <v>0</v>
      </c>
      <c r="H480" s="119" t="n">
        <f aca="false">'🤖 GPT 4o'!I150</f>
        <v>0</v>
      </c>
      <c r="I480" s="119" t="n">
        <f aca="false">'🤖 GPT 4o'!J150</f>
        <v>0</v>
      </c>
    </row>
    <row r="481" customFormat="false" ht="15.75" hidden="false" customHeight="false" outlineLevel="0" collapsed="false">
      <c r="A481" s="118"/>
      <c r="B481" s="4"/>
      <c r="C481" s="6"/>
      <c r="D481" s="132"/>
      <c r="E481" s="6"/>
      <c r="F481" s="6"/>
      <c r="G481" s="6"/>
      <c r="H481" s="6"/>
      <c r="I481" s="6"/>
    </row>
    <row r="482" customFormat="false" ht="15.75" hidden="false" customHeight="false" outlineLevel="0" collapsed="false">
      <c r="A482" s="118" t="n">
        <f aca="false">'🤖 GPT 4o'!$A$152</f>
        <v>0</v>
      </c>
      <c r="B482" s="4" t="s">
        <v>22</v>
      </c>
      <c r="C482" s="119" t="str">
        <f aca="false">'🤖 GPT 4o'!C152</f>
        <v>Base</v>
      </c>
      <c r="D482" s="132" t="n">
        <f aca="false">'🤖 GPT 4o'!E152</f>
        <v>0.004761904762</v>
      </c>
      <c r="E482" s="119" t="n">
        <f aca="false">'🤖 GPT 4o'!F152</f>
        <v>0</v>
      </c>
      <c r="F482" s="119" t="n">
        <f aca="false">'🤖 GPT 4o'!G152</f>
        <v>0</v>
      </c>
      <c r="G482" s="119" t="n">
        <f aca="false">'🤖 GPT 4o'!H152</f>
        <v>0</v>
      </c>
      <c r="H482" s="119" t="n">
        <f aca="false">'🤖 GPT 4o'!I152</f>
        <v>0</v>
      </c>
      <c r="I482" s="119" t="n">
        <f aca="false">'🤖 GPT 4o'!J152</f>
        <v>0</v>
      </c>
    </row>
    <row r="483" customFormat="false" ht="15.75" hidden="false" customHeight="false" outlineLevel="0" collapsed="false">
      <c r="A483" s="118" t="n">
        <f aca="false">'🤖 GPT 4o'!$A$152</f>
        <v>0</v>
      </c>
      <c r="B483" s="4" t="s">
        <v>22</v>
      </c>
      <c r="C483" s="119" t="str">
        <f aca="false">'🤖 GPT 4o'!C153</f>
        <v>CoT</v>
      </c>
      <c r="D483" s="132" t="n">
        <f aca="false">'🤖 GPT 4o'!E153</f>
        <v>0.004761904762</v>
      </c>
      <c r="E483" s="119" t="n">
        <f aca="false">'🤖 GPT 4o'!F153</f>
        <v>0</v>
      </c>
      <c r="F483" s="119" t="n">
        <f aca="false">'🤖 GPT 4o'!G153</f>
        <v>0</v>
      </c>
      <c r="G483" s="119" t="n">
        <f aca="false">'🤖 GPT 4o'!H153</f>
        <v>0</v>
      </c>
      <c r="H483" s="119" t="n">
        <f aca="false">'🤖 GPT 4o'!I153</f>
        <v>0</v>
      </c>
      <c r="I483" s="119" t="n">
        <f aca="false">'🤖 GPT 4o'!J153</f>
        <v>0</v>
      </c>
    </row>
    <row r="484" customFormat="false" ht="15.75" hidden="false" customHeight="false" outlineLevel="0" collapsed="false">
      <c r="A484" s="118" t="n">
        <f aca="false">'🤖 GPT 4o'!$A$152</f>
        <v>0</v>
      </c>
      <c r="B484" s="4" t="s">
        <v>22</v>
      </c>
      <c r="C484" s="119" t="str">
        <f aca="false">'🤖 GPT 4o'!C154</f>
        <v>5W1H</v>
      </c>
      <c r="D484" s="132" t="n">
        <f aca="false">'🤖 GPT 4o'!E154</f>
        <v>0.004761904762</v>
      </c>
      <c r="E484" s="119" t="n">
        <f aca="false">'🤖 GPT 4o'!F154</f>
        <v>0</v>
      </c>
      <c r="F484" s="119" t="n">
        <f aca="false">'🤖 GPT 4o'!G154</f>
        <v>0</v>
      </c>
      <c r="G484" s="119" t="n">
        <f aca="false">'🤖 GPT 4o'!H154</f>
        <v>0</v>
      </c>
      <c r="H484" s="119" t="n">
        <f aca="false">'🤖 GPT 4o'!I154</f>
        <v>0</v>
      </c>
      <c r="I484" s="119" t="n">
        <f aca="false">'🤖 GPT 4o'!J154</f>
        <v>0</v>
      </c>
    </row>
    <row r="485" customFormat="false" ht="15.75" hidden="false" customHeight="false" outlineLevel="0" collapsed="false">
      <c r="A485" s="118" t="n">
        <f aca="false">'🤖 GPT 4o'!$A$152</f>
        <v>0</v>
      </c>
      <c r="B485" s="4" t="s">
        <v>22</v>
      </c>
      <c r="C485" s="119" t="str">
        <f aca="false">'🤖 GPT 4o'!C155</f>
        <v>tldr</v>
      </c>
      <c r="D485" s="132" t="n">
        <f aca="false">'🤖 GPT 4o'!E155</f>
        <v>0.004761904762</v>
      </c>
      <c r="E485" s="119" t="n">
        <f aca="false">'🤖 GPT 4o'!F155</f>
        <v>0</v>
      </c>
      <c r="F485" s="119" t="n">
        <f aca="false">'🤖 GPT 4o'!G155</f>
        <v>0</v>
      </c>
      <c r="G485" s="119" t="n">
        <f aca="false">'🤖 GPT 4o'!H155</f>
        <v>0</v>
      </c>
      <c r="H485" s="119" t="n">
        <f aca="false">'🤖 GPT 4o'!I155</f>
        <v>0</v>
      </c>
      <c r="I485" s="119" t="n">
        <f aca="false">'🤖 GPT 4o'!J155</f>
        <v>0</v>
      </c>
    </row>
    <row r="486" customFormat="false" ht="15.75" hidden="false" customHeight="false" outlineLevel="0" collapsed="false">
      <c r="A486" s="118"/>
      <c r="B486" s="4"/>
      <c r="C486" s="6"/>
      <c r="D486" s="132"/>
      <c r="E486" s="6"/>
      <c r="F486" s="6"/>
      <c r="G486" s="6"/>
      <c r="H486" s="6"/>
      <c r="I486" s="6"/>
    </row>
    <row r="487" customFormat="false" ht="15.75" hidden="false" customHeight="false" outlineLevel="0" collapsed="false">
      <c r="A487" s="118" t="n">
        <f aca="false">'🤖 GPT 4o'!$A$157</f>
        <v>0</v>
      </c>
      <c r="B487" s="4" t="s">
        <v>22</v>
      </c>
      <c r="C487" s="119" t="str">
        <f aca="false">'🤖 GPT 4o'!C157</f>
        <v>Base</v>
      </c>
      <c r="D487" s="132" t="n">
        <f aca="false">'🤖 GPT 4o'!E157</f>
        <v>0.004761904762</v>
      </c>
      <c r="E487" s="119" t="n">
        <f aca="false">'🤖 GPT 4o'!F157</f>
        <v>0</v>
      </c>
      <c r="F487" s="119" t="n">
        <f aca="false">'🤖 GPT 4o'!G157</f>
        <v>0</v>
      </c>
      <c r="G487" s="119" t="n">
        <f aca="false">'🤖 GPT 4o'!H157</f>
        <v>0</v>
      </c>
      <c r="H487" s="119" t="n">
        <f aca="false">'🤖 GPT 4o'!I157</f>
        <v>0</v>
      </c>
      <c r="I487" s="119" t="n">
        <f aca="false">'🤖 GPT 4o'!J157</f>
        <v>0</v>
      </c>
    </row>
    <row r="488" customFormat="false" ht="15.75" hidden="false" customHeight="false" outlineLevel="0" collapsed="false">
      <c r="A488" s="118" t="n">
        <f aca="false">'🤖 GPT 4o'!$A$157</f>
        <v>0</v>
      </c>
      <c r="B488" s="4" t="s">
        <v>22</v>
      </c>
      <c r="C488" s="119" t="str">
        <f aca="false">'🤖 GPT 4o'!C158</f>
        <v>CoT</v>
      </c>
      <c r="D488" s="132" t="n">
        <f aca="false">'🤖 GPT 4o'!E158</f>
        <v>0.004761904762</v>
      </c>
      <c r="E488" s="119" t="n">
        <f aca="false">'🤖 GPT 4o'!F158</f>
        <v>0</v>
      </c>
      <c r="F488" s="119" t="n">
        <f aca="false">'🤖 GPT 4o'!G158</f>
        <v>0</v>
      </c>
      <c r="G488" s="119" t="n">
        <f aca="false">'🤖 GPT 4o'!H158</f>
        <v>0</v>
      </c>
      <c r="H488" s="119" t="n">
        <f aca="false">'🤖 GPT 4o'!I158</f>
        <v>0</v>
      </c>
      <c r="I488" s="119" t="n">
        <f aca="false">'🤖 GPT 4o'!J158</f>
        <v>0</v>
      </c>
    </row>
    <row r="489" customFormat="false" ht="15.75" hidden="false" customHeight="false" outlineLevel="0" collapsed="false">
      <c r="A489" s="118" t="n">
        <f aca="false">'🤖 GPT 4o'!$A$157</f>
        <v>0</v>
      </c>
      <c r="B489" s="4" t="s">
        <v>22</v>
      </c>
      <c r="C489" s="119" t="str">
        <f aca="false">'🤖 GPT 4o'!C159</f>
        <v>5W1H</v>
      </c>
      <c r="D489" s="132" t="n">
        <f aca="false">'🤖 GPT 4o'!E159</f>
        <v>0.004761904762</v>
      </c>
      <c r="E489" s="119" t="n">
        <f aca="false">'🤖 GPT 4o'!F159</f>
        <v>0</v>
      </c>
      <c r="F489" s="119" t="n">
        <f aca="false">'🤖 GPT 4o'!G159</f>
        <v>0</v>
      </c>
      <c r="G489" s="119" t="n">
        <f aca="false">'🤖 GPT 4o'!H159</f>
        <v>0</v>
      </c>
      <c r="H489" s="119" t="n">
        <f aca="false">'🤖 GPT 4o'!I159</f>
        <v>0</v>
      </c>
      <c r="I489" s="119" t="n">
        <f aca="false">'🤖 GPT 4o'!J159</f>
        <v>0</v>
      </c>
    </row>
    <row r="490" customFormat="false" ht="15.75" hidden="false" customHeight="false" outlineLevel="0" collapsed="false">
      <c r="A490" s="118" t="n">
        <f aca="false">'🤖 GPT 4o'!$A$157</f>
        <v>0</v>
      </c>
      <c r="B490" s="4" t="s">
        <v>22</v>
      </c>
      <c r="C490" s="119" t="str">
        <f aca="false">'🤖 GPT 4o'!C160</f>
        <v>tldr</v>
      </c>
      <c r="D490" s="132" t="n">
        <f aca="false">'🤖 GPT 4o'!E160</f>
        <v>0.004761904762</v>
      </c>
      <c r="E490" s="119" t="n">
        <f aca="false">'🤖 GPT 4o'!F160</f>
        <v>0</v>
      </c>
      <c r="F490" s="119" t="n">
        <f aca="false">'🤖 GPT 4o'!G160</f>
        <v>0</v>
      </c>
      <c r="G490" s="119" t="n">
        <f aca="false">'🤖 GPT 4o'!H160</f>
        <v>0</v>
      </c>
      <c r="H490" s="119" t="n">
        <f aca="false">'🤖 GPT 4o'!I160</f>
        <v>0</v>
      </c>
      <c r="I490" s="119" t="n">
        <f aca="false">'🤖 GPT 4o'!J160</f>
        <v>0</v>
      </c>
    </row>
    <row r="491" customFormat="false" ht="15.75" hidden="false" customHeight="false" outlineLevel="0" collapsed="false">
      <c r="A491" s="118"/>
      <c r="B491" s="4"/>
      <c r="C491" s="6"/>
      <c r="D491" s="132"/>
      <c r="E491" s="6"/>
      <c r="F491" s="6"/>
      <c r="G491" s="6"/>
      <c r="H491" s="6"/>
      <c r="I491" s="6"/>
    </row>
    <row r="492" customFormat="false" ht="15.75" hidden="false" customHeight="false" outlineLevel="0" collapsed="false">
      <c r="A492" s="118" t="n">
        <f aca="false">'🤖 GPT 4o'!$A$162</f>
        <v>0</v>
      </c>
      <c r="B492" s="4" t="s">
        <v>22</v>
      </c>
      <c r="C492" s="119" t="str">
        <f aca="false">'🤖 GPT 4o'!C162</f>
        <v>Base</v>
      </c>
      <c r="D492" s="132" t="n">
        <f aca="false">'🤖 GPT 4o'!E162</f>
        <v>0.004761904762</v>
      </c>
      <c r="E492" s="119" t="n">
        <f aca="false">'🤖 GPT 4o'!F162</f>
        <v>0</v>
      </c>
      <c r="F492" s="119" t="n">
        <f aca="false">'🤖 GPT 4o'!G162</f>
        <v>0</v>
      </c>
      <c r="G492" s="119" t="n">
        <f aca="false">'🤖 GPT 4o'!H162</f>
        <v>0</v>
      </c>
      <c r="H492" s="119" t="n">
        <f aca="false">'🤖 GPT 4o'!I162</f>
        <v>0</v>
      </c>
      <c r="I492" s="119" t="n">
        <f aca="false">'🤖 GPT 4o'!J162</f>
        <v>0</v>
      </c>
    </row>
    <row r="493" customFormat="false" ht="15.75" hidden="false" customHeight="false" outlineLevel="0" collapsed="false">
      <c r="A493" s="118" t="n">
        <f aca="false">'🤖 GPT 4o'!$A$162</f>
        <v>0</v>
      </c>
      <c r="B493" s="4" t="s">
        <v>22</v>
      </c>
      <c r="C493" s="119" t="str">
        <f aca="false">'🤖 GPT 4o'!C163</f>
        <v>CoT</v>
      </c>
      <c r="D493" s="132" t="n">
        <f aca="false">'🤖 GPT 4o'!E163</f>
        <v>0.004761904762</v>
      </c>
      <c r="E493" s="119" t="n">
        <f aca="false">'🤖 GPT 4o'!F163</f>
        <v>0</v>
      </c>
      <c r="F493" s="119" t="n">
        <f aca="false">'🤖 GPT 4o'!G163</f>
        <v>0</v>
      </c>
      <c r="G493" s="119" t="n">
        <f aca="false">'🤖 GPT 4o'!H163</f>
        <v>0</v>
      </c>
      <c r="H493" s="119" t="n">
        <f aca="false">'🤖 GPT 4o'!I163</f>
        <v>0</v>
      </c>
      <c r="I493" s="119" t="n">
        <f aca="false">'🤖 GPT 4o'!J163</f>
        <v>0</v>
      </c>
    </row>
    <row r="494" customFormat="false" ht="15.75" hidden="false" customHeight="false" outlineLevel="0" collapsed="false">
      <c r="A494" s="118" t="n">
        <f aca="false">'🤖 GPT 4o'!$A$162</f>
        <v>0</v>
      </c>
      <c r="B494" s="4" t="s">
        <v>22</v>
      </c>
      <c r="C494" s="119" t="str">
        <f aca="false">'🤖 GPT 4o'!C164</f>
        <v>5W1H</v>
      </c>
      <c r="D494" s="132" t="n">
        <f aca="false">'🤖 GPT 4o'!E164</f>
        <v>0.004761904762</v>
      </c>
      <c r="E494" s="119" t="n">
        <f aca="false">'🤖 GPT 4o'!F164</f>
        <v>0</v>
      </c>
      <c r="F494" s="119" t="n">
        <f aca="false">'🤖 GPT 4o'!G164</f>
        <v>0</v>
      </c>
      <c r="G494" s="119" t="n">
        <f aca="false">'🤖 GPT 4o'!H164</f>
        <v>0</v>
      </c>
      <c r="H494" s="119" t="n">
        <f aca="false">'🤖 GPT 4o'!I164</f>
        <v>0</v>
      </c>
      <c r="I494" s="119" t="n">
        <f aca="false">'🤖 GPT 4o'!J164</f>
        <v>0</v>
      </c>
    </row>
    <row r="495" customFormat="false" ht="15.75" hidden="false" customHeight="false" outlineLevel="0" collapsed="false">
      <c r="A495" s="118" t="n">
        <f aca="false">'🤖 GPT 4o'!$A$162</f>
        <v>0</v>
      </c>
      <c r="B495" s="4" t="s">
        <v>22</v>
      </c>
      <c r="C495" s="119" t="str">
        <f aca="false">'🤖 GPT 4o'!C165</f>
        <v>tldr</v>
      </c>
      <c r="D495" s="132" t="n">
        <f aca="false">'🤖 GPT 4o'!E165</f>
        <v>0.004761904762</v>
      </c>
      <c r="E495" s="119" t="n">
        <f aca="false">'🤖 GPT 4o'!F165</f>
        <v>0</v>
      </c>
      <c r="F495" s="119" t="n">
        <f aca="false">'🤖 GPT 4o'!G165</f>
        <v>0</v>
      </c>
      <c r="G495" s="119" t="n">
        <f aca="false">'🤖 GPT 4o'!H165</f>
        <v>0</v>
      </c>
      <c r="H495" s="119" t="n">
        <f aca="false">'🤖 GPT 4o'!I165</f>
        <v>0</v>
      </c>
      <c r="I495" s="119" t="n">
        <f aca="false">'🤖 GPT 4o'!J165</f>
        <v>0</v>
      </c>
    </row>
    <row r="496" customFormat="false" ht="15.75" hidden="false" customHeight="false" outlineLevel="0" collapsed="false">
      <c r="A496" s="9"/>
      <c r="B496" s="9"/>
      <c r="C496" s="51"/>
      <c r="D496" s="9"/>
      <c r="E496" s="51"/>
      <c r="F496" s="51"/>
      <c r="G496" s="51"/>
      <c r="H496" s="51"/>
      <c r="I496" s="51"/>
    </row>
    <row r="497" customFormat="false" ht="15.75" hidden="false" customHeight="false" outlineLevel="0" collapsed="false">
      <c r="A497" s="118" t="str">
        <f aca="false">'🤖 Reka Flash'!$A$2</f>
        <v>https://www.berria.eus/ekonomia/urte-eta-erdiko-kartzela-zigorra-eta-30000-euroko-kalte-ordainak-zorroza-gestion-enpresan-hil-zen-langileagatik_2124960_102.html</v>
      </c>
      <c r="B497" s="4" t="s">
        <v>23</v>
      </c>
      <c r="C497" s="119" t="str">
        <f aca="false">'🤖 Reka Flash'!C2</f>
        <v>Base</v>
      </c>
      <c r="D497" s="148" t="n">
        <f aca="false">'🤖 Reka Flash'!E2</f>
        <v>0.3794871795</v>
      </c>
      <c r="E497" s="119" t="n">
        <f aca="false">'🤖 Reka Flash'!F2</f>
        <v>4</v>
      </c>
      <c r="F497" s="119" t="n">
        <f aca="false">'🤖 Reka Flash'!G2</f>
        <v>4</v>
      </c>
      <c r="G497" s="119" t="n">
        <f aca="false">'🤖 Reka Flash'!H2</f>
        <v>3</v>
      </c>
      <c r="H497" s="119" t="n">
        <f aca="false">'🤖 Reka Flash'!I2</f>
        <v>5</v>
      </c>
      <c r="I497" s="119" t="n">
        <f aca="false">'🤖 Reka Flash'!J2</f>
        <v>5</v>
      </c>
    </row>
    <row r="498" customFormat="false" ht="15.75" hidden="false" customHeight="false" outlineLevel="0" collapsed="false">
      <c r="A498" s="118" t="str">
        <f aca="false">'🤖 Reka Flash'!$A$2</f>
        <v>https://www.berria.eus/ekonomia/urte-eta-erdiko-kartzela-zigorra-eta-30000-euroko-kalte-ordainak-zorroza-gestion-enpresan-hil-zen-langileagatik_2124960_102.html</v>
      </c>
      <c r="B498" s="4" t="s">
        <v>23</v>
      </c>
      <c r="C498" s="119" t="str">
        <f aca="false">'🤖 Reka Flash'!C3</f>
        <v>CoT</v>
      </c>
      <c r="D498" s="148" t="n">
        <f aca="false">'🤖 Reka Flash'!E3</f>
        <v>0.5128205128</v>
      </c>
      <c r="E498" s="119" t="n">
        <f aca="false">'🤖 Reka Flash'!F3</f>
        <v>4</v>
      </c>
      <c r="F498" s="119" t="n">
        <f aca="false">'🤖 Reka Flash'!G3</f>
        <v>3</v>
      </c>
      <c r="G498" s="119" t="n">
        <f aca="false">'🤖 Reka Flash'!H3</f>
        <v>3</v>
      </c>
      <c r="H498" s="119" t="n">
        <f aca="false">'🤖 Reka Flash'!I3</f>
        <v>3</v>
      </c>
      <c r="I498" s="119" t="n">
        <f aca="false">'🤖 Reka Flash'!J3</f>
        <v>4</v>
      </c>
    </row>
    <row r="499" customFormat="false" ht="15.75" hidden="false" customHeight="false" outlineLevel="0" collapsed="false">
      <c r="A499" s="118" t="str">
        <f aca="false">'🤖 Reka Flash'!$A$2</f>
        <v>https://www.berria.eus/ekonomia/urte-eta-erdiko-kartzela-zigorra-eta-30000-euroko-kalte-ordainak-zorroza-gestion-enpresan-hil-zen-langileagatik_2124960_102.html</v>
      </c>
      <c r="B499" s="4" t="s">
        <v>23</v>
      </c>
      <c r="C499" s="119" t="str">
        <f aca="false">'🤖 Reka Flash'!C4</f>
        <v>5W1H</v>
      </c>
      <c r="D499" s="168" t="n">
        <f aca="false">'🤖 Reka Flash'!E4</f>
        <v>0.5025641026</v>
      </c>
      <c r="E499" s="119" t="n">
        <f aca="false">'🤖 Reka Flash'!F4</f>
        <v>2</v>
      </c>
      <c r="F499" s="119" t="n">
        <f aca="false">'🤖 Reka Flash'!G4</f>
        <v>4</v>
      </c>
      <c r="G499" s="119" t="n">
        <f aca="false">'🤖 Reka Flash'!H4</f>
        <v>3</v>
      </c>
      <c r="H499" s="119" t="n">
        <f aca="false">'🤖 Reka Flash'!I4</f>
        <v>4</v>
      </c>
      <c r="I499" s="119" t="n">
        <f aca="false">'🤖 Reka Flash'!J4</f>
        <v>4</v>
      </c>
    </row>
    <row r="500" customFormat="false" ht="15.75" hidden="false" customHeight="false" outlineLevel="0" collapsed="false">
      <c r="A500" s="118" t="str">
        <f aca="false">'🤖 Reka Flash'!$A$2</f>
        <v>https://www.berria.eus/ekonomia/urte-eta-erdiko-kartzela-zigorra-eta-30000-euroko-kalte-ordainak-zorroza-gestion-enpresan-hil-zen-langileagatik_2124960_102.html</v>
      </c>
      <c r="B500" s="4" t="s">
        <v>23</v>
      </c>
      <c r="C500" s="119" t="str">
        <f aca="false">'🤖 Reka Flash'!C5</f>
        <v>tldr</v>
      </c>
      <c r="D500" s="140" t="n">
        <f aca="false">'🤖 Reka Flash'!E5</f>
        <v>0.3384615385</v>
      </c>
      <c r="E500" s="119" t="n">
        <f aca="false">'🤖 Reka Flash'!F5</f>
        <v>4</v>
      </c>
      <c r="F500" s="119" t="n">
        <f aca="false">'🤖 Reka Flash'!G5</f>
        <v>5</v>
      </c>
      <c r="G500" s="119" t="n">
        <f aca="false">'🤖 Reka Flash'!H5</f>
        <v>4</v>
      </c>
      <c r="H500" s="119" t="n">
        <f aca="false">'🤖 Reka Flash'!I5</f>
        <v>5</v>
      </c>
      <c r="I500" s="119" t="n">
        <f aca="false">'🤖 Reka Flash'!J5</f>
        <v>4</v>
      </c>
    </row>
    <row r="501" customFormat="false" ht="15.75" hidden="false" customHeight="false" outlineLevel="0" collapsed="false">
      <c r="A501" s="9"/>
      <c r="B501" s="9"/>
      <c r="C501" s="51"/>
      <c r="D501" s="9"/>
      <c r="E501" s="51"/>
      <c r="F501" s="51"/>
      <c r="G501" s="51"/>
      <c r="H501" s="51"/>
      <c r="I501" s="51"/>
    </row>
    <row r="502" customFormat="false" ht="15.75" hidden="false" customHeight="false" outlineLevel="0" collapsed="false">
      <c r="A502" s="118" t="str">
        <f aca="false">'🤖 Reka Flash'!$A$7</f>
        <v>https://www.berria.eus/kirola/hirutik-hiru-jaka-mariezkurrenarentzat_2117677_102.html</v>
      </c>
      <c r="B502" s="4" t="s">
        <v>23</v>
      </c>
      <c r="C502" s="119" t="str">
        <f aca="false">'🤖 Reka Flash'!C7</f>
        <v>Base</v>
      </c>
      <c r="D502" s="124" t="n">
        <f aca="false">'🤖 Reka Flash'!E7</f>
        <v>0.4047619048</v>
      </c>
      <c r="E502" s="119" t="n">
        <f aca="false">'🤖 Reka Flash'!F7</f>
        <v>4</v>
      </c>
      <c r="F502" s="119" t="n">
        <f aca="false">'🤖 Reka Flash'!G7</f>
        <v>2</v>
      </c>
      <c r="G502" s="119" t="n">
        <f aca="false">'🤖 Reka Flash'!H7</f>
        <v>3</v>
      </c>
      <c r="H502" s="119" t="n">
        <f aca="false">'🤖 Reka Flash'!I7</f>
        <v>4</v>
      </c>
      <c r="I502" s="119" t="n">
        <f aca="false">'🤖 Reka Flash'!J7</f>
        <v>3</v>
      </c>
    </row>
    <row r="503" customFormat="false" ht="15.75" hidden="false" customHeight="false" outlineLevel="0" collapsed="false">
      <c r="A503" s="118" t="str">
        <f aca="false">'🤖 Reka Flash'!$A$7</f>
        <v>https://www.berria.eus/kirola/hirutik-hiru-jaka-mariezkurrenarentzat_2117677_102.html</v>
      </c>
      <c r="B503" s="4" t="s">
        <v>23</v>
      </c>
      <c r="C503" s="119" t="str">
        <f aca="false">'🤖 Reka Flash'!C8</f>
        <v>CoT</v>
      </c>
      <c r="D503" s="140" t="n">
        <f aca="false">'🤖 Reka Flash'!E8</f>
        <v>0.5535714286</v>
      </c>
      <c r="E503" s="119" t="n">
        <f aca="false">'🤖 Reka Flash'!F8</f>
        <v>4</v>
      </c>
      <c r="F503" s="119" t="n">
        <f aca="false">'🤖 Reka Flash'!G8</f>
        <v>4</v>
      </c>
      <c r="G503" s="119" t="n">
        <f aca="false">'🤖 Reka Flash'!H8</f>
        <v>3</v>
      </c>
      <c r="H503" s="119" t="n">
        <f aca="false">'🤖 Reka Flash'!I8</f>
        <v>3</v>
      </c>
      <c r="I503" s="119" t="n">
        <f aca="false">'🤖 Reka Flash'!J8</f>
        <v>4</v>
      </c>
    </row>
    <row r="504" customFormat="false" ht="15.75" hidden="false" customHeight="false" outlineLevel="0" collapsed="false">
      <c r="A504" s="118" t="str">
        <f aca="false">'🤖 Reka Flash'!$A$7</f>
        <v>https://www.berria.eus/kirola/hirutik-hiru-jaka-mariezkurrenarentzat_2117677_102.html</v>
      </c>
      <c r="B504" s="4" t="s">
        <v>23</v>
      </c>
      <c r="C504" s="119" t="str">
        <f aca="false">'🤖 Reka Flash'!C9</f>
        <v>5W1H</v>
      </c>
      <c r="D504" s="122" t="n">
        <f aca="false">'🤖 Reka Flash'!E9</f>
        <v>0.2797619048</v>
      </c>
      <c r="E504" s="119" t="n">
        <f aca="false">'🤖 Reka Flash'!F9</f>
        <v>2</v>
      </c>
      <c r="F504" s="119" t="n">
        <f aca="false">'🤖 Reka Flash'!G9</f>
        <v>5</v>
      </c>
      <c r="G504" s="119" t="n">
        <f aca="false">'🤖 Reka Flash'!H9</f>
        <v>4</v>
      </c>
      <c r="H504" s="119" t="n">
        <f aca="false">'🤖 Reka Flash'!I9</f>
        <v>4</v>
      </c>
      <c r="I504" s="119" t="n">
        <f aca="false">'🤖 Reka Flash'!J9</f>
        <v>4</v>
      </c>
    </row>
    <row r="505" customFormat="false" ht="15.75" hidden="false" customHeight="false" outlineLevel="0" collapsed="false">
      <c r="A505" s="118" t="str">
        <f aca="false">'🤖 Reka Flash'!$A$7</f>
        <v>https://www.berria.eus/kirola/hirutik-hiru-jaka-mariezkurrenarentzat_2117677_102.html</v>
      </c>
      <c r="B505" s="4" t="s">
        <v>23</v>
      </c>
      <c r="C505" s="119" t="str">
        <f aca="false">'🤖 Reka Flash'!C10</f>
        <v>tldr</v>
      </c>
      <c r="D505" s="128" t="n">
        <f aca="false">'🤖 Reka Flash'!E10</f>
        <v>0.375</v>
      </c>
      <c r="E505" s="119" t="n">
        <f aca="false">'🤖 Reka Flash'!F10</f>
        <v>5</v>
      </c>
      <c r="F505" s="119" t="n">
        <f aca="false">'🤖 Reka Flash'!G10</f>
        <v>4</v>
      </c>
      <c r="G505" s="119" t="n">
        <f aca="false">'🤖 Reka Flash'!H10</f>
        <v>3</v>
      </c>
      <c r="H505" s="119" t="n">
        <f aca="false">'🤖 Reka Flash'!I10</f>
        <v>5</v>
      </c>
      <c r="I505" s="119" t="n">
        <f aca="false">'🤖 Reka Flash'!J10</f>
        <v>4</v>
      </c>
    </row>
    <row r="506" customFormat="false" ht="15.75" hidden="false" customHeight="false" outlineLevel="0" collapsed="false">
      <c r="A506" s="9"/>
      <c r="B506" s="9"/>
      <c r="C506" s="51"/>
      <c r="D506" s="9"/>
      <c r="E506" s="51"/>
      <c r="F506" s="51"/>
      <c r="G506" s="51"/>
      <c r="H506" s="51"/>
      <c r="I506" s="51"/>
    </row>
    <row r="507" customFormat="false" ht="15.75" hidden="false" customHeight="false" outlineLevel="0" collapsed="false">
      <c r="A507" s="118" t="str">
        <f aca="false">'🤖 Reka Flash'!$A$12</f>
        <v>https://www.berria.eus/bizigiro/larreen-eta-larrabereen-balioaz_2126273_102.html</v>
      </c>
      <c r="B507" s="4" t="s">
        <v>23</v>
      </c>
      <c r="C507" s="119" t="str">
        <f aca="false">'🤖 Reka Flash'!C12</f>
        <v>Base</v>
      </c>
      <c r="D507" s="142" t="n">
        <f aca="false">'🤖 Reka Flash'!E12</f>
        <v>0.3409610984</v>
      </c>
      <c r="E507" s="119" t="n">
        <f aca="false">'🤖 Reka Flash'!F12</f>
        <v>3</v>
      </c>
      <c r="F507" s="119" t="n">
        <f aca="false">'🤖 Reka Flash'!G12</f>
        <v>5</v>
      </c>
      <c r="G507" s="119" t="n">
        <f aca="false">'🤖 Reka Flash'!H12</f>
        <v>4</v>
      </c>
      <c r="H507" s="119" t="n">
        <f aca="false">'🤖 Reka Flash'!I12</f>
        <v>3</v>
      </c>
      <c r="I507" s="119" t="n">
        <f aca="false">'🤖 Reka Flash'!J12</f>
        <v>4</v>
      </c>
    </row>
    <row r="508" customFormat="false" ht="15.75" hidden="false" customHeight="false" outlineLevel="0" collapsed="false">
      <c r="A508" s="118" t="str">
        <f aca="false">'🤖 Reka Flash'!$A$12</f>
        <v>https://www.berria.eus/bizigiro/larreen-eta-larrabereen-balioaz_2126273_102.html</v>
      </c>
      <c r="B508" s="4" t="s">
        <v>23</v>
      </c>
      <c r="C508" s="119" t="str">
        <f aca="false">'🤖 Reka Flash'!C13</f>
        <v>CoT</v>
      </c>
      <c r="D508" s="133" t="n">
        <f aca="false">'🤖 Reka Flash'!E13</f>
        <v>0.2036613272</v>
      </c>
      <c r="E508" s="119" t="n">
        <f aca="false">'🤖 Reka Flash'!F13</f>
        <v>5</v>
      </c>
      <c r="F508" s="119" t="n">
        <f aca="false">'🤖 Reka Flash'!G13</f>
        <v>3</v>
      </c>
      <c r="G508" s="119" t="n">
        <f aca="false">'🤖 Reka Flash'!H13</f>
        <v>4</v>
      </c>
      <c r="H508" s="119" t="n">
        <f aca="false">'🤖 Reka Flash'!I13</f>
        <v>5</v>
      </c>
      <c r="I508" s="119" t="n">
        <f aca="false">'🤖 Reka Flash'!J13</f>
        <v>3</v>
      </c>
    </row>
    <row r="509" customFormat="false" ht="15.75" hidden="false" customHeight="false" outlineLevel="0" collapsed="false">
      <c r="A509" s="118" t="str">
        <f aca="false">'🤖 Reka Flash'!$A$12</f>
        <v>https://www.berria.eus/bizigiro/larreen-eta-larrabereen-balioaz_2126273_102.html</v>
      </c>
      <c r="B509" s="4" t="s">
        <v>23</v>
      </c>
      <c r="C509" s="119" t="str">
        <f aca="false">'🤖 Reka Flash'!C14</f>
        <v>5W1H</v>
      </c>
      <c r="D509" s="132" t="n">
        <f aca="false">'🤖 Reka Flash'!E14</f>
        <v>0.2631578947</v>
      </c>
      <c r="E509" s="119" t="n">
        <f aca="false">'🤖 Reka Flash'!F14</f>
        <v>2</v>
      </c>
      <c r="F509" s="119" t="n">
        <f aca="false">'🤖 Reka Flash'!G14</f>
        <v>4</v>
      </c>
      <c r="G509" s="119" t="n">
        <f aca="false">'🤖 Reka Flash'!H14</f>
        <v>3</v>
      </c>
      <c r="H509" s="119" t="n">
        <f aca="false">'🤖 Reka Flash'!I14</f>
        <v>4</v>
      </c>
      <c r="I509" s="119" t="n">
        <f aca="false">'🤖 Reka Flash'!J14</f>
        <v>4</v>
      </c>
    </row>
    <row r="510" customFormat="false" ht="15.75" hidden="false" customHeight="false" outlineLevel="0" collapsed="false">
      <c r="A510" s="118" t="str">
        <f aca="false">'🤖 Reka Flash'!$A$12</f>
        <v>https://www.berria.eus/bizigiro/larreen-eta-larrabereen-balioaz_2126273_102.html</v>
      </c>
      <c r="B510" s="4" t="s">
        <v>23</v>
      </c>
      <c r="C510" s="119" t="str">
        <f aca="false">'🤖 Reka Flash'!C15</f>
        <v>tldr</v>
      </c>
      <c r="D510" s="145" t="n">
        <f aca="false">'🤖 Reka Flash'!E15</f>
        <v>0.1395881007</v>
      </c>
      <c r="E510" s="119" t="n">
        <f aca="false">'🤖 Reka Flash'!F15</f>
        <v>4</v>
      </c>
      <c r="F510" s="119" t="n">
        <f aca="false">'🤖 Reka Flash'!G15</f>
        <v>4</v>
      </c>
      <c r="G510" s="119" t="n">
        <f aca="false">'🤖 Reka Flash'!H15</f>
        <v>4</v>
      </c>
      <c r="H510" s="119" t="n">
        <f aca="false">'🤖 Reka Flash'!I15</f>
        <v>5</v>
      </c>
      <c r="I510" s="119" t="n">
        <f aca="false">'🤖 Reka Flash'!J15</f>
        <v>3</v>
      </c>
    </row>
    <row r="511" customFormat="false" ht="15.75" hidden="false" customHeight="false" outlineLevel="0" collapsed="false">
      <c r="A511" s="9"/>
      <c r="B511" s="9"/>
      <c r="C511" s="51"/>
      <c r="D511" s="9"/>
      <c r="E511" s="51"/>
      <c r="F511" s="51"/>
      <c r="G511" s="51"/>
      <c r="H511" s="51"/>
      <c r="I511" s="51"/>
    </row>
    <row r="512" customFormat="false" ht="15.75" hidden="false" customHeight="false" outlineLevel="0" collapsed="false">
      <c r="A512" s="118" t="str">
        <f aca="false">'🤖 Reka Flash'!$A$17</f>
        <v>https://www.berria.eus/kirola/olatua-hartuta-parisera_2121856_102.html</v>
      </c>
      <c r="B512" s="4" t="s">
        <v>23</v>
      </c>
      <c r="C512" s="119" t="str">
        <f aca="false">'🤖 Reka Flash'!C17</f>
        <v>Base</v>
      </c>
      <c r="D512" s="148" t="n">
        <f aca="false">'🤖 Reka Flash'!E17</f>
        <v>0.3274111675</v>
      </c>
      <c r="E512" s="119" t="n">
        <f aca="false">'🤖 Reka Flash'!F17</f>
        <v>3</v>
      </c>
      <c r="F512" s="119" t="n">
        <f aca="false">'🤖 Reka Flash'!G17</f>
        <v>4</v>
      </c>
      <c r="G512" s="119" t="n">
        <f aca="false">'🤖 Reka Flash'!H17</f>
        <v>4</v>
      </c>
      <c r="H512" s="119" t="n">
        <f aca="false">'🤖 Reka Flash'!I17</f>
        <v>4</v>
      </c>
      <c r="I512" s="119" t="n">
        <f aca="false">'🤖 Reka Flash'!J17</f>
        <v>5</v>
      </c>
    </row>
    <row r="513" customFormat="false" ht="15.75" hidden="false" customHeight="false" outlineLevel="0" collapsed="false">
      <c r="A513" s="118" t="str">
        <f aca="false">'🤖 Reka Flash'!$A$17</f>
        <v>https://www.berria.eus/kirola/olatua-hartuta-parisera_2121856_102.html</v>
      </c>
      <c r="B513" s="4" t="s">
        <v>23</v>
      </c>
      <c r="C513" s="119" t="str">
        <f aca="false">'🤖 Reka Flash'!C18</f>
        <v>CoT</v>
      </c>
      <c r="D513" s="149" t="n">
        <f aca="false">'🤖 Reka Flash'!E18</f>
        <v>0.2360406091</v>
      </c>
      <c r="E513" s="119" t="n">
        <f aca="false">'🤖 Reka Flash'!F18</f>
        <v>4</v>
      </c>
      <c r="F513" s="119" t="n">
        <f aca="false">'🤖 Reka Flash'!G18</f>
        <v>3</v>
      </c>
      <c r="G513" s="119" t="n">
        <f aca="false">'🤖 Reka Flash'!H18</f>
        <v>4</v>
      </c>
      <c r="H513" s="119" t="n">
        <f aca="false">'🤖 Reka Flash'!I18</f>
        <v>5</v>
      </c>
      <c r="I513" s="119" t="n">
        <f aca="false">'🤖 Reka Flash'!J18</f>
        <v>3</v>
      </c>
    </row>
    <row r="514" customFormat="false" ht="15.75" hidden="false" customHeight="false" outlineLevel="0" collapsed="false">
      <c r="A514" s="118" t="str">
        <f aca="false">'🤖 Reka Flash'!$A$17</f>
        <v>https://www.berria.eus/kirola/olatua-hartuta-parisera_2121856_102.html</v>
      </c>
      <c r="B514" s="4" t="s">
        <v>23</v>
      </c>
      <c r="C514" s="119" t="str">
        <f aca="false">'🤖 Reka Flash'!C19</f>
        <v>5W1H</v>
      </c>
      <c r="D514" s="120" t="n">
        <f aca="false">'🤖 Reka Flash'!E19</f>
        <v>0.3680203046</v>
      </c>
      <c r="E514" s="119" t="n">
        <f aca="false">'🤖 Reka Flash'!F19</f>
        <v>3</v>
      </c>
      <c r="F514" s="119" t="n">
        <f aca="false">'🤖 Reka Flash'!G19</f>
        <v>3</v>
      </c>
      <c r="G514" s="119" t="n">
        <f aca="false">'🤖 Reka Flash'!H19</f>
        <v>4</v>
      </c>
      <c r="H514" s="119" t="n">
        <f aca="false">'🤖 Reka Flash'!I19</f>
        <v>3</v>
      </c>
      <c r="I514" s="119" t="n">
        <f aca="false">'🤖 Reka Flash'!J19</f>
        <v>3</v>
      </c>
    </row>
    <row r="515" customFormat="false" ht="15.75" hidden="false" customHeight="false" outlineLevel="0" collapsed="false">
      <c r="A515" s="118" t="str">
        <f aca="false">'🤖 Reka Flash'!$A$17</f>
        <v>https://www.berria.eus/kirola/olatua-hartuta-parisera_2121856_102.html</v>
      </c>
      <c r="B515" s="4" t="s">
        <v>23</v>
      </c>
      <c r="C515" s="119" t="str">
        <f aca="false">'🤖 Reka Flash'!C20</f>
        <v>tldr</v>
      </c>
      <c r="D515" s="125" t="n">
        <f aca="false">'🤖 Reka Flash'!E20</f>
        <v>0.2284263959</v>
      </c>
      <c r="E515" s="119" t="n">
        <f aca="false">'🤖 Reka Flash'!F20</f>
        <v>5</v>
      </c>
      <c r="F515" s="119" t="n">
        <f aca="false">'🤖 Reka Flash'!G20</f>
        <v>3</v>
      </c>
      <c r="G515" s="119" t="n">
        <f aca="false">'🤖 Reka Flash'!H20</f>
        <v>4</v>
      </c>
      <c r="H515" s="119" t="n">
        <f aca="false">'🤖 Reka Flash'!I20</f>
        <v>5</v>
      </c>
      <c r="I515" s="119" t="n">
        <f aca="false">'🤖 Reka Flash'!J20</f>
        <v>3</v>
      </c>
    </row>
    <row r="516" customFormat="false" ht="15.75" hidden="false" customHeight="false" outlineLevel="0" collapsed="false">
      <c r="A516" s="9"/>
      <c r="B516" s="9"/>
      <c r="C516" s="51"/>
      <c r="D516" s="9"/>
      <c r="E516" s="51"/>
      <c r="F516" s="51"/>
      <c r="G516" s="51"/>
      <c r="H516" s="51"/>
      <c r="I516" s="51"/>
    </row>
    <row r="517" customFormat="false" ht="15.75" hidden="false" customHeight="false" outlineLevel="0" collapsed="false">
      <c r="A517" s="118" t="str">
        <f aca="false">'🤖 Reka Flash'!$A$22</f>
        <v>https://www.berria.eus/bizigiro/badago-ezkutuan-dagoen-sektore-bat-sarietatik-kanpo-idazten-ari-dena_2119644_102.html</v>
      </c>
      <c r="B517" s="4" t="s">
        <v>23</v>
      </c>
      <c r="C517" s="119" t="str">
        <f aca="false">'🤖 Reka Flash'!C22</f>
        <v>Base</v>
      </c>
      <c r="D517" s="126" t="n">
        <f aca="false">'🤖 Reka Flash'!E22</f>
        <v>0.1820224719</v>
      </c>
      <c r="E517" s="119" t="n">
        <f aca="false">'🤖 Reka Flash'!F22</f>
        <v>4</v>
      </c>
      <c r="F517" s="119" t="n">
        <f aca="false">'🤖 Reka Flash'!G22</f>
        <v>4</v>
      </c>
      <c r="G517" s="119" t="n">
        <f aca="false">'🤖 Reka Flash'!H22</f>
        <v>4</v>
      </c>
      <c r="H517" s="119" t="n">
        <f aca="false">'🤖 Reka Flash'!I22</f>
        <v>5</v>
      </c>
      <c r="I517" s="119" t="n">
        <f aca="false">'🤖 Reka Flash'!J22</f>
        <v>4</v>
      </c>
    </row>
    <row r="518" customFormat="false" ht="15.75" hidden="false" customHeight="false" outlineLevel="0" collapsed="false">
      <c r="A518" s="118" t="str">
        <f aca="false">'🤖 Reka Flash'!$A$22</f>
        <v>https://www.berria.eus/bizigiro/badago-ezkutuan-dagoen-sektore-bat-sarietatik-kanpo-idazten-ari-dena_2119644_102.html</v>
      </c>
      <c r="B518" s="4" t="s">
        <v>23</v>
      </c>
      <c r="C518" s="119" t="str">
        <f aca="false">'🤖 Reka Flash'!C23</f>
        <v>CoT</v>
      </c>
      <c r="D518" s="133" t="n">
        <f aca="false">'🤖 Reka Flash'!E23</f>
        <v>0.2471910112</v>
      </c>
      <c r="E518" s="119" t="n">
        <f aca="false">'🤖 Reka Flash'!F23</f>
        <v>4</v>
      </c>
      <c r="F518" s="119" t="n">
        <f aca="false">'🤖 Reka Flash'!G23</f>
        <v>2</v>
      </c>
      <c r="G518" s="119" t="n">
        <f aca="false">'🤖 Reka Flash'!H23</f>
        <v>4</v>
      </c>
      <c r="H518" s="119" t="n">
        <f aca="false">'🤖 Reka Flash'!I23</f>
        <v>3</v>
      </c>
      <c r="I518" s="119" t="n">
        <f aca="false">'🤖 Reka Flash'!J23</f>
        <v>3</v>
      </c>
    </row>
    <row r="519" customFormat="false" ht="15.75" hidden="false" customHeight="false" outlineLevel="0" collapsed="false">
      <c r="A519" s="118" t="str">
        <f aca="false">'🤖 Reka Flash'!$A$22</f>
        <v>https://www.berria.eus/bizigiro/badago-ezkutuan-dagoen-sektore-bat-sarietatik-kanpo-idazten-ari-dena_2119644_102.html</v>
      </c>
      <c r="B519" s="4" t="s">
        <v>23</v>
      </c>
      <c r="C519" s="119" t="str">
        <f aca="false">'🤖 Reka Flash'!C24</f>
        <v>5W1H</v>
      </c>
      <c r="D519" s="126" t="n">
        <f aca="false">'🤖 Reka Flash'!E24</f>
        <v>0.2898876404</v>
      </c>
      <c r="E519" s="119" t="n">
        <f aca="false">'🤖 Reka Flash'!F24</f>
        <v>3</v>
      </c>
      <c r="F519" s="119" t="n">
        <f aca="false">'🤖 Reka Flash'!G24</f>
        <v>3</v>
      </c>
      <c r="G519" s="119" t="n">
        <f aca="false">'🤖 Reka Flash'!H24</f>
        <v>3</v>
      </c>
      <c r="H519" s="119" t="n">
        <f aca="false">'🤖 Reka Flash'!I24</f>
        <v>3</v>
      </c>
      <c r="I519" s="119" t="n">
        <f aca="false">'🤖 Reka Flash'!J24</f>
        <v>3</v>
      </c>
    </row>
    <row r="520" customFormat="false" ht="15.75" hidden="false" customHeight="false" outlineLevel="0" collapsed="false">
      <c r="A520" s="118" t="str">
        <f aca="false">'🤖 Reka Flash'!$A$22</f>
        <v>https://www.berria.eus/bizigiro/badago-ezkutuan-dagoen-sektore-bat-sarietatik-kanpo-idazten-ari-dena_2119644_102.html</v>
      </c>
      <c r="B520" s="4" t="s">
        <v>23</v>
      </c>
      <c r="C520" s="119" t="str">
        <f aca="false">'🤖 Reka Flash'!C25</f>
        <v>tldr</v>
      </c>
      <c r="D520" s="142" t="n">
        <f aca="false">'🤖 Reka Flash'!E25</f>
        <v>0.1730337079</v>
      </c>
      <c r="E520" s="119" t="n">
        <f aca="false">'🤖 Reka Flash'!F25</f>
        <v>4</v>
      </c>
      <c r="F520" s="119" t="n">
        <f aca="false">'🤖 Reka Flash'!G25</f>
        <v>2</v>
      </c>
      <c r="G520" s="119" t="n">
        <f aca="false">'🤖 Reka Flash'!H25</f>
        <v>3</v>
      </c>
      <c r="H520" s="119" t="n">
        <f aca="false">'🤖 Reka Flash'!I25</f>
        <v>4</v>
      </c>
      <c r="I520" s="119" t="n">
        <f aca="false">'🤖 Reka Flash'!J25</f>
        <v>4</v>
      </c>
    </row>
    <row r="521" customFormat="false" ht="15.75" hidden="false" customHeight="false" outlineLevel="0" collapsed="false">
      <c r="A521" s="9"/>
      <c r="B521" s="9"/>
      <c r="C521" s="51"/>
      <c r="D521" s="9"/>
      <c r="E521" s="51"/>
      <c r="F521" s="51"/>
      <c r="G521" s="51"/>
      <c r="H521" s="51"/>
      <c r="I521" s="51"/>
    </row>
    <row r="522" customFormat="false" ht="15.75" hidden="false" customHeight="false" outlineLevel="0" collapsed="false">
      <c r="A522" s="118" t="str">
        <f aca="false">'🤖 Reka Flash'!$A$27</f>
        <v>https://www.berria.eus/bizigiro/istorioak-irudien-bidez-kontatzen-ditut-oso-hizkuntza-unibertsala-da_2121576_102.html</v>
      </c>
      <c r="B522" s="4" t="s">
        <v>23</v>
      </c>
      <c r="C522" s="119" t="str">
        <f aca="false">'🤖 Reka Flash'!C27</f>
        <v>Base</v>
      </c>
      <c r="D522" s="169" t="n">
        <f aca="false">'🤖 Reka Flash'!E27</f>
        <v>0.1818181818</v>
      </c>
      <c r="E522" s="119" t="n">
        <f aca="false">'🤖 Reka Flash'!F27</f>
        <v>4</v>
      </c>
      <c r="F522" s="119" t="n">
        <f aca="false">'🤖 Reka Flash'!G27</f>
        <v>5</v>
      </c>
      <c r="G522" s="119" t="n">
        <f aca="false">'🤖 Reka Flash'!H27</f>
        <v>4</v>
      </c>
      <c r="H522" s="119" t="n">
        <f aca="false">'🤖 Reka Flash'!I27</f>
        <v>4</v>
      </c>
      <c r="I522" s="119" t="n">
        <f aca="false">'🤖 Reka Flash'!J27</f>
        <v>5</v>
      </c>
    </row>
    <row r="523" customFormat="false" ht="15.75" hidden="false" customHeight="false" outlineLevel="0" collapsed="false">
      <c r="A523" s="118" t="str">
        <f aca="false">'🤖 Reka Flash'!$A$27</f>
        <v>https://www.berria.eus/bizigiro/istorioak-irudien-bidez-kontatzen-ditut-oso-hizkuntza-unibertsala-da_2121576_102.html</v>
      </c>
      <c r="B523" s="4" t="s">
        <v>23</v>
      </c>
      <c r="C523" s="119" t="str">
        <f aca="false">'🤖 Reka Flash'!C28</f>
        <v>CoT</v>
      </c>
      <c r="D523" s="167" t="n">
        <f aca="false">'🤖 Reka Flash'!E28</f>
        <v>0.2062084257</v>
      </c>
      <c r="E523" s="119" t="n">
        <f aca="false">'🤖 Reka Flash'!F28</f>
        <v>4</v>
      </c>
      <c r="F523" s="119" t="n">
        <f aca="false">'🤖 Reka Flash'!G28</f>
        <v>5</v>
      </c>
      <c r="G523" s="119" t="n">
        <f aca="false">'🤖 Reka Flash'!H28</f>
        <v>4</v>
      </c>
      <c r="H523" s="119" t="n">
        <f aca="false">'🤖 Reka Flash'!I28</f>
        <v>3</v>
      </c>
      <c r="I523" s="119" t="n">
        <f aca="false">'🤖 Reka Flash'!J28</f>
        <v>4</v>
      </c>
    </row>
    <row r="524" customFormat="false" ht="15.75" hidden="false" customHeight="false" outlineLevel="0" collapsed="false">
      <c r="A524" s="118" t="str">
        <f aca="false">'🤖 Reka Flash'!$A$27</f>
        <v>https://www.berria.eus/bizigiro/istorioak-irudien-bidez-kontatzen-ditut-oso-hizkuntza-unibertsala-da_2121576_102.html</v>
      </c>
      <c r="B524" s="4" t="s">
        <v>23</v>
      </c>
      <c r="C524" s="119" t="str">
        <f aca="false">'🤖 Reka Flash'!C29</f>
        <v>5W1H</v>
      </c>
      <c r="D524" s="170" t="n">
        <f aca="false">'🤖 Reka Flash'!E29</f>
        <v>0.2793791574</v>
      </c>
      <c r="E524" s="119" t="n">
        <f aca="false">'🤖 Reka Flash'!F29</f>
        <v>3</v>
      </c>
      <c r="F524" s="119" t="n">
        <f aca="false">'🤖 Reka Flash'!G29</f>
        <v>4</v>
      </c>
      <c r="G524" s="119" t="n">
        <f aca="false">'🤖 Reka Flash'!H29</f>
        <v>5</v>
      </c>
      <c r="H524" s="119" t="n">
        <f aca="false">'🤖 Reka Flash'!I29</f>
        <v>3</v>
      </c>
      <c r="I524" s="119" t="n">
        <f aca="false">'🤖 Reka Flash'!J29</f>
        <v>5</v>
      </c>
    </row>
    <row r="525" customFormat="false" ht="15.75" hidden="false" customHeight="false" outlineLevel="0" collapsed="false">
      <c r="A525" s="118" t="str">
        <f aca="false">'🤖 Reka Flash'!$A$27</f>
        <v>https://www.berria.eus/bizigiro/istorioak-irudien-bidez-kontatzen-ditut-oso-hizkuntza-unibertsala-da_2121576_102.html</v>
      </c>
      <c r="B525" s="4" t="s">
        <v>23</v>
      </c>
      <c r="C525" s="119" t="str">
        <f aca="false">'🤖 Reka Flash'!C30</f>
        <v>tldr</v>
      </c>
      <c r="D525" s="171" t="n">
        <f aca="false">'🤖 Reka Flash'!E30</f>
        <v>0.1729490022</v>
      </c>
      <c r="E525" s="119" t="n">
        <f aca="false">'🤖 Reka Flash'!F30</f>
        <v>4</v>
      </c>
      <c r="F525" s="119" t="n">
        <f aca="false">'🤖 Reka Flash'!G30</f>
        <v>5</v>
      </c>
      <c r="G525" s="119" t="n">
        <f aca="false">'🤖 Reka Flash'!H30</f>
        <v>4</v>
      </c>
      <c r="H525" s="119" t="n">
        <f aca="false">'🤖 Reka Flash'!I30</f>
        <v>4</v>
      </c>
      <c r="I525" s="119" t="n">
        <f aca="false">'🤖 Reka Flash'!J30</f>
        <v>5</v>
      </c>
    </row>
    <row r="526" customFormat="false" ht="15.75" hidden="false" customHeight="false" outlineLevel="0" collapsed="false">
      <c r="A526" s="9"/>
      <c r="B526" s="9"/>
      <c r="C526" s="51"/>
      <c r="D526" s="9"/>
      <c r="E526" s="51"/>
      <c r="F526" s="51"/>
      <c r="G526" s="51"/>
      <c r="H526" s="51"/>
      <c r="I526" s="51"/>
    </row>
    <row r="527" customFormat="false" ht="15.75" hidden="false" customHeight="false" outlineLevel="0" collapsed="false">
      <c r="A527" s="118" t="str">
        <f aca="false">'🤖 Reka Flash'!$A$32</f>
        <v>https://www.berria.eus/euskal-herria/etxeko-atxiloaldia-ezarri-diote-labioko-hiltzaileari_2124515_102.html</v>
      </c>
      <c r="B527" s="4" t="s">
        <v>23</v>
      </c>
      <c r="C527" s="119" t="str">
        <f aca="false">'🤖 Reka Flash'!C32</f>
        <v>Base</v>
      </c>
      <c r="D527" s="151" t="n">
        <f aca="false">'🤖 Reka Flash'!E32</f>
        <v>0.3592592593</v>
      </c>
      <c r="E527" s="119" t="n">
        <f aca="false">'🤖 Reka Flash'!F32</f>
        <v>4</v>
      </c>
      <c r="F527" s="119" t="n">
        <f aca="false">'🤖 Reka Flash'!G32</f>
        <v>3</v>
      </c>
      <c r="G527" s="119" t="n">
        <f aca="false">'🤖 Reka Flash'!H32</f>
        <v>4</v>
      </c>
      <c r="H527" s="119" t="n">
        <f aca="false">'🤖 Reka Flash'!I32</f>
        <v>5</v>
      </c>
      <c r="I527" s="119" t="n">
        <f aca="false">'🤖 Reka Flash'!J32</f>
        <v>4</v>
      </c>
    </row>
    <row r="528" customFormat="false" ht="15.75" hidden="false" customHeight="false" outlineLevel="0" collapsed="false">
      <c r="A528" s="118" t="str">
        <f aca="false">'🤖 Reka Flash'!$A$32</f>
        <v>https://www.berria.eus/euskal-herria/etxeko-atxiloaldia-ezarri-diote-labioko-hiltzaileari_2124515_102.html</v>
      </c>
      <c r="B528" s="4" t="s">
        <v>23</v>
      </c>
      <c r="C528" s="119" t="str">
        <f aca="false">'🤖 Reka Flash'!C33</f>
        <v>CoT</v>
      </c>
      <c r="D528" s="163" t="n">
        <f aca="false">'🤖 Reka Flash'!E33</f>
        <v>0.3481481481</v>
      </c>
      <c r="E528" s="119" t="n">
        <f aca="false">'🤖 Reka Flash'!F33</f>
        <v>4</v>
      </c>
      <c r="F528" s="119" t="n">
        <f aca="false">'🤖 Reka Flash'!G33</f>
        <v>4</v>
      </c>
      <c r="G528" s="119" t="n">
        <f aca="false">'🤖 Reka Flash'!H33</f>
        <v>3</v>
      </c>
      <c r="H528" s="119" t="n">
        <f aca="false">'🤖 Reka Flash'!I33</f>
        <v>5</v>
      </c>
      <c r="I528" s="119" t="n">
        <f aca="false">'🤖 Reka Flash'!J33</f>
        <v>4</v>
      </c>
    </row>
    <row r="529" customFormat="false" ht="15.75" hidden="false" customHeight="false" outlineLevel="0" collapsed="false">
      <c r="A529" s="118" t="str">
        <f aca="false">'🤖 Reka Flash'!$A$32</f>
        <v>https://www.berria.eus/euskal-herria/etxeko-atxiloaldia-ezarri-diote-labioko-hiltzaileari_2124515_102.html</v>
      </c>
      <c r="B529" s="4" t="s">
        <v>23</v>
      </c>
      <c r="C529" s="119" t="str">
        <f aca="false">'🤖 Reka Flash'!C34</f>
        <v>5W1H</v>
      </c>
      <c r="D529" s="153" t="n">
        <f aca="false">'🤖 Reka Flash'!E34</f>
        <v>0.3703703704</v>
      </c>
      <c r="E529" s="119" t="n">
        <f aca="false">'🤖 Reka Flash'!F34</f>
        <v>2</v>
      </c>
      <c r="F529" s="119" t="n">
        <f aca="false">'🤖 Reka Flash'!G34</f>
        <v>4</v>
      </c>
      <c r="G529" s="119" t="n">
        <f aca="false">'🤖 Reka Flash'!H34</f>
        <v>4</v>
      </c>
      <c r="H529" s="119" t="n">
        <f aca="false">'🤖 Reka Flash'!I34</f>
        <v>3</v>
      </c>
      <c r="I529" s="119" t="n">
        <f aca="false">'🤖 Reka Flash'!J34</f>
        <v>3</v>
      </c>
    </row>
    <row r="530" customFormat="false" ht="15.75" hidden="false" customHeight="false" outlineLevel="0" collapsed="false">
      <c r="A530" s="118" t="str">
        <f aca="false">'🤖 Reka Flash'!$A$32</f>
        <v>https://www.berria.eus/euskal-herria/etxeko-atxiloaldia-ezarri-diote-labioko-hiltzaileari_2124515_102.html</v>
      </c>
      <c r="B530" s="4" t="s">
        <v>23</v>
      </c>
      <c r="C530" s="119" t="str">
        <f aca="false">'🤖 Reka Flash'!C35</f>
        <v>tldr</v>
      </c>
      <c r="D530" s="156" t="n">
        <f aca="false">'🤖 Reka Flash'!E35</f>
        <v>0.1962962963</v>
      </c>
      <c r="E530" s="119" t="n">
        <f aca="false">'🤖 Reka Flash'!F35</f>
        <v>3</v>
      </c>
      <c r="F530" s="119" t="n">
        <f aca="false">'🤖 Reka Flash'!G35</f>
        <v>5</v>
      </c>
      <c r="G530" s="119" t="n">
        <f aca="false">'🤖 Reka Flash'!H35</f>
        <v>3</v>
      </c>
      <c r="H530" s="119" t="n">
        <f aca="false">'🤖 Reka Flash'!I35</f>
        <v>5</v>
      </c>
      <c r="I530" s="119" t="n">
        <f aca="false">'🤖 Reka Flash'!J35</f>
        <v>3</v>
      </c>
    </row>
    <row r="531" customFormat="false" ht="15.75" hidden="false" customHeight="false" outlineLevel="0" collapsed="false">
      <c r="A531" s="9"/>
      <c r="B531" s="9"/>
      <c r="C531" s="51"/>
      <c r="D531" s="9"/>
      <c r="E531" s="51"/>
      <c r="F531" s="51"/>
      <c r="G531" s="51"/>
      <c r="H531" s="51"/>
      <c r="I531" s="51"/>
    </row>
    <row r="532" customFormat="false" ht="15.75" hidden="false" customHeight="false" outlineLevel="0" collapsed="false">
      <c r="A532" s="118" t="str">
        <f aca="false">'🤖 Reka Flash'!$A$37</f>
        <v>https://www.berria.eus/ekonomia/sektore-eolikoa-eta-milaka-lanpostu-desagertzeko-arriskuaz-ohartarazi-du-elak_233844_102.html</v>
      </c>
      <c r="B532" s="4" t="s">
        <v>23</v>
      </c>
      <c r="C532" s="119" t="str">
        <f aca="false">'🤖 Reka Flash'!C37</f>
        <v>Base</v>
      </c>
      <c r="D532" s="148" t="n">
        <f aca="false">'🤖 Reka Flash'!E37</f>
        <v>0.3396226415</v>
      </c>
      <c r="E532" s="119" t="n">
        <f aca="false">'🤖 Reka Flash'!F37</f>
        <v>3</v>
      </c>
      <c r="F532" s="119" t="n">
        <f aca="false">'🤖 Reka Flash'!G37</f>
        <v>5</v>
      </c>
      <c r="G532" s="119" t="n">
        <f aca="false">'🤖 Reka Flash'!H37</f>
        <v>3</v>
      </c>
      <c r="H532" s="119" t="n">
        <f aca="false">'🤖 Reka Flash'!I37</f>
        <v>4</v>
      </c>
      <c r="I532" s="119" t="n">
        <f aca="false">'🤖 Reka Flash'!J37</f>
        <v>5</v>
      </c>
    </row>
    <row r="533" customFormat="false" ht="15.75" hidden="false" customHeight="false" outlineLevel="0" collapsed="false">
      <c r="A533" s="118" t="str">
        <f aca="false">'🤖 Reka Flash'!$A$37</f>
        <v>https://www.berria.eus/ekonomia/sektore-eolikoa-eta-milaka-lanpostu-desagertzeko-arriskuaz-ohartarazi-du-elak_233844_102.html</v>
      </c>
      <c r="B533" s="4" t="s">
        <v>23</v>
      </c>
      <c r="C533" s="119" t="str">
        <f aca="false">'🤖 Reka Flash'!C38</f>
        <v>CoT</v>
      </c>
      <c r="D533" s="142" t="n">
        <f aca="false">'🤖 Reka Flash'!E38</f>
        <v>0.2924528302</v>
      </c>
      <c r="E533" s="119" t="n">
        <f aca="false">'🤖 Reka Flash'!F38</f>
        <v>4</v>
      </c>
      <c r="F533" s="119" t="n">
        <f aca="false">'🤖 Reka Flash'!G38</f>
        <v>5</v>
      </c>
      <c r="G533" s="119" t="n">
        <f aca="false">'🤖 Reka Flash'!H38</f>
        <v>4</v>
      </c>
      <c r="H533" s="119" t="n">
        <f aca="false">'🤖 Reka Flash'!I38</f>
        <v>4</v>
      </c>
      <c r="I533" s="119" t="n">
        <f aca="false">'🤖 Reka Flash'!J38</f>
        <v>5</v>
      </c>
    </row>
    <row r="534" customFormat="false" ht="15.75" hidden="false" customHeight="false" outlineLevel="0" collapsed="false">
      <c r="A534" s="118" t="str">
        <f aca="false">'🤖 Reka Flash'!$A$37</f>
        <v>https://www.berria.eus/ekonomia/sektore-eolikoa-eta-milaka-lanpostu-desagertzeko-arriskuaz-ohartarazi-du-elak_233844_102.html</v>
      </c>
      <c r="B534" s="4" t="s">
        <v>23</v>
      </c>
      <c r="C534" s="119" t="str">
        <f aca="false">'🤖 Reka Flash'!C39</f>
        <v>5W1H</v>
      </c>
      <c r="D534" s="172" t="n">
        <f aca="false">'🤖 Reka Flash'!E39</f>
        <v>0.2924528302</v>
      </c>
      <c r="E534" s="119" t="n">
        <f aca="false">'🤖 Reka Flash'!F39</f>
        <v>2</v>
      </c>
      <c r="F534" s="119" t="n">
        <f aca="false">'🤖 Reka Flash'!G39</f>
        <v>4</v>
      </c>
      <c r="G534" s="119" t="n">
        <f aca="false">'🤖 Reka Flash'!H39</f>
        <v>4</v>
      </c>
      <c r="H534" s="119" t="n">
        <f aca="false">'🤖 Reka Flash'!I39</f>
        <v>4</v>
      </c>
      <c r="I534" s="119" t="n">
        <f aca="false">'🤖 Reka Flash'!J39</f>
        <v>4</v>
      </c>
    </row>
    <row r="535" customFormat="false" ht="15.75" hidden="false" customHeight="false" outlineLevel="0" collapsed="false">
      <c r="A535" s="118" t="str">
        <f aca="false">'🤖 Reka Flash'!$A$37</f>
        <v>https://www.berria.eus/ekonomia/sektore-eolikoa-eta-milaka-lanpostu-desagertzeko-arriskuaz-ohartarazi-du-elak_233844_102.html</v>
      </c>
      <c r="B535" s="4" t="s">
        <v>23</v>
      </c>
      <c r="C535" s="119" t="str">
        <f aca="false">'🤖 Reka Flash'!C40</f>
        <v>tldr</v>
      </c>
      <c r="D535" s="139" t="n">
        <f aca="false">'🤖 Reka Flash'!E40</f>
        <v>0.1886792453</v>
      </c>
      <c r="E535" s="119" t="n">
        <f aca="false">'🤖 Reka Flash'!F40</f>
        <v>4</v>
      </c>
      <c r="F535" s="119" t="n">
        <f aca="false">'🤖 Reka Flash'!G40</f>
        <v>4</v>
      </c>
      <c r="G535" s="119" t="n">
        <f aca="false">'🤖 Reka Flash'!H40</f>
        <v>4</v>
      </c>
      <c r="H535" s="119" t="n">
        <f aca="false">'🤖 Reka Flash'!I40</f>
        <v>5</v>
      </c>
      <c r="I535" s="119" t="n">
        <f aca="false">'🤖 Reka Flash'!J40</f>
        <v>4</v>
      </c>
    </row>
    <row r="536" customFormat="false" ht="15.75" hidden="false" customHeight="false" outlineLevel="0" collapsed="false">
      <c r="A536" s="9"/>
      <c r="B536" s="9"/>
      <c r="C536" s="51"/>
      <c r="D536" s="9"/>
      <c r="E536" s="51"/>
      <c r="F536" s="51"/>
      <c r="G536" s="51"/>
      <c r="H536" s="51"/>
      <c r="I536" s="51"/>
    </row>
    <row r="537" customFormat="false" ht="15.75" hidden="false" customHeight="false" outlineLevel="0" collapsed="false">
      <c r="A537" s="118" t="str">
        <f aca="false">'🤖 Reka Flash'!$A$42</f>
        <v>https://www.berria.eus/kultura/mikroipuinak-txikiak-baina-ez-hutsalak_2121931_102.html</v>
      </c>
      <c r="B537" s="4" t="s">
        <v>23</v>
      </c>
      <c r="C537" s="119" t="str">
        <f aca="false">'🤖 Reka Flash'!C42</f>
        <v>Base</v>
      </c>
      <c r="D537" s="173" t="n">
        <f aca="false">'🤖 Reka Flash'!E42</f>
        <v>0.160899654</v>
      </c>
      <c r="E537" s="119" t="n">
        <f aca="false">'🤖 Reka Flash'!F42</f>
        <v>4</v>
      </c>
      <c r="F537" s="119" t="n">
        <f aca="false">'🤖 Reka Flash'!G42</f>
        <v>5</v>
      </c>
      <c r="G537" s="119" t="n">
        <f aca="false">'🤖 Reka Flash'!H42</f>
        <v>4</v>
      </c>
      <c r="H537" s="119" t="n">
        <f aca="false">'🤖 Reka Flash'!I42</f>
        <v>5</v>
      </c>
      <c r="I537" s="119" t="n">
        <f aca="false">'🤖 Reka Flash'!J42</f>
        <v>4</v>
      </c>
    </row>
    <row r="538" customFormat="false" ht="15.75" hidden="false" customHeight="false" outlineLevel="0" collapsed="false">
      <c r="A538" s="118" t="str">
        <f aca="false">'🤖 Reka Flash'!$A$42</f>
        <v>https://www.berria.eus/kultura/mikroipuinak-txikiak-baina-ez-hutsalak_2121931_102.html</v>
      </c>
      <c r="B538" s="4" t="s">
        <v>23</v>
      </c>
      <c r="C538" s="119" t="str">
        <f aca="false">'🤖 Reka Flash'!C43</f>
        <v>CoT</v>
      </c>
      <c r="D538" s="123" t="n">
        <f aca="false">'🤖 Reka Flash'!E43</f>
        <v>0.2197231834</v>
      </c>
      <c r="E538" s="119" t="n">
        <f aca="false">'🤖 Reka Flash'!F43</f>
        <v>4</v>
      </c>
      <c r="F538" s="119" t="n">
        <f aca="false">'🤖 Reka Flash'!G43</f>
        <v>5</v>
      </c>
      <c r="G538" s="119" t="n">
        <f aca="false">'🤖 Reka Flash'!H43</f>
        <v>4</v>
      </c>
      <c r="H538" s="119" t="n">
        <f aca="false">'🤖 Reka Flash'!I43</f>
        <v>3</v>
      </c>
      <c r="I538" s="119" t="n">
        <f aca="false">'🤖 Reka Flash'!J43</f>
        <v>4</v>
      </c>
    </row>
    <row r="539" customFormat="false" ht="15.75" hidden="false" customHeight="false" outlineLevel="0" collapsed="false">
      <c r="A539" s="118" t="str">
        <f aca="false">'🤖 Reka Flash'!$A$42</f>
        <v>https://www.berria.eus/kultura/mikroipuinak-txikiak-baina-ez-hutsalak_2121931_102.html</v>
      </c>
      <c r="B539" s="4" t="s">
        <v>23</v>
      </c>
      <c r="C539" s="119" t="str">
        <f aca="false">'🤖 Reka Flash'!C44</f>
        <v>5W1H</v>
      </c>
      <c r="D539" s="174" t="n">
        <f aca="false">'🤖 Reka Flash'!E44</f>
        <v>0.1868512111</v>
      </c>
      <c r="E539" s="119" t="n">
        <f aca="false">'🤖 Reka Flash'!F44</f>
        <v>3</v>
      </c>
      <c r="F539" s="119" t="n">
        <f aca="false">'🤖 Reka Flash'!G44</f>
        <v>5</v>
      </c>
      <c r="G539" s="119" t="n">
        <f aca="false">'🤖 Reka Flash'!H44</f>
        <v>4</v>
      </c>
      <c r="H539" s="119" t="n">
        <f aca="false">'🤖 Reka Flash'!I44</f>
        <v>3</v>
      </c>
      <c r="I539" s="119" t="n">
        <f aca="false">'🤖 Reka Flash'!J44</f>
        <v>3</v>
      </c>
    </row>
    <row r="540" customFormat="false" ht="15.75" hidden="false" customHeight="false" outlineLevel="0" collapsed="false">
      <c r="A540" s="118" t="str">
        <f aca="false">'🤖 Reka Flash'!$A$42</f>
        <v>https://www.berria.eus/kultura/mikroipuinak-txikiak-baina-ez-hutsalak_2121931_102.html</v>
      </c>
      <c r="B540" s="4" t="s">
        <v>23</v>
      </c>
      <c r="C540" s="119" t="str">
        <f aca="false">'🤖 Reka Flash'!C45</f>
        <v>tldr</v>
      </c>
      <c r="D540" s="173" t="n">
        <f aca="false">'🤖 Reka Flash'!E45</f>
        <v>0.1712802768</v>
      </c>
      <c r="E540" s="119" t="n">
        <f aca="false">'🤖 Reka Flash'!F45</f>
        <v>4</v>
      </c>
      <c r="F540" s="119" t="n">
        <f aca="false">'🤖 Reka Flash'!G45</f>
        <v>5</v>
      </c>
      <c r="G540" s="119" t="n">
        <f aca="false">'🤖 Reka Flash'!H45</f>
        <v>4</v>
      </c>
      <c r="H540" s="119" t="n">
        <f aca="false">'🤖 Reka Flash'!I45</f>
        <v>4</v>
      </c>
      <c r="I540" s="119" t="n">
        <f aca="false">'🤖 Reka Flash'!J45</f>
        <v>4</v>
      </c>
    </row>
    <row r="541" customFormat="false" ht="15.75" hidden="false" customHeight="false" outlineLevel="0" collapsed="false">
      <c r="A541" s="9"/>
      <c r="B541" s="9"/>
      <c r="C541" s="51"/>
      <c r="D541" s="9"/>
      <c r="E541" s="51"/>
      <c r="F541" s="51"/>
      <c r="G541" s="51"/>
      <c r="H541" s="51"/>
      <c r="I541" s="51"/>
    </row>
    <row r="542" customFormat="false" ht="15.75" hidden="false" customHeight="false" outlineLevel="0" collapsed="false">
      <c r="A542" s="118" t="str">
        <f aca="false">'🤖 Reka Flash'!$A$47</f>
        <v>https://www.berria.eus/euskal-herria/guardia-zibilak-dio-europako-speed-laborategi-handiena-aurkitu-duela-euskal-herrian_2125543_102.html</v>
      </c>
      <c r="B542" s="4" t="s">
        <v>23</v>
      </c>
      <c r="C542" s="119" t="str">
        <f aca="false">'🤖 Reka Flash'!C47</f>
        <v>Base</v>
      </c>
      <c r="D542" s="167" t="n">
        <f aca="false">'🤖 Reka Flash'!E47</f>
        <v>0.319047619</v>
      </c>
      <c r="E542" s="119" t="n">
        <f aca="false">'🤖 Reka Flash'!F47</f>
        <v>4</v>
      </c>
      <c r="F542" s="119" t="n">
        <f aca="false">'🤖 Reka Flash'!G47</f>
        <v>4</v>
      </c>
      <c r="G542" s="119" t="n">
        <f aca="false">'🤖 Reka Flash'!H47</f>
        <v>4</v>
      </c>
      <c r="H542" s="119" t="n">
        <f aca="false">'🤖 Reka Flash'!I47</f>
        <v>4</v>
      </c>
      <c r="I542" s="119" t="n">
        <f aca="false">'🤖 Reka Flash'!J47</f>
        <v>5</v>
      </c>
    </row>
    <row r="543" customFormat="false" ht="15.75" hidden="false" customHeight="false" outlineLevel="0" collapsed="false">
      <c r="A543" s="118" t="str">
        <f aca="false">'🤖 Reka Flash'!$A$47</f>
        <v>https://www.berria.eus/euskal-herria/guardia-zibilak-dio-europako-speed-laborategi-handiena-aurkitu-duela-euskal-herrian_2125543_102.html</v>
      </c>
      <c r="B543" s="4" t="s">
        <v>23</v>
      </c>
      <c r="C543" s="119" t="str">
        <f aca="false">'🤖 Reka Flash'!C48</f>
        <v>CoT</v>
      </c>
      <c r="D543" s="122" t="n">
        <f aca="false">'🤖 Reka Flash'!E48</f>
        <v>0.2666666667</v>
      </c>
      <c r="E543" s="119" t="n">
        <f aca="false">'🤖 Reka Flash'!F48</f>
        <v>4</v>
      </c>
      <c r="F543" s="119" t="n">
        <f aca="false">'🤖 Reka Flash'!G48</f>
        <v>4</v>
      </c>
      <c r="G543" s="119" t="n">
        <f aca="false">'🤖 Reka Flash'!H48</f>
        <v>4</v>
      </c>
      <c r="H543" s="119" t="n">
        <f aca="false">'🤖 Reka Flash'!I48</f>
        <v>5</v>
      </c>
      <c r="I543" s="119" t="n">
        <f aca="false">'🤖 Reka Flash'!J48</f>
        <v>4</v>
      </c>
    </row>
    <row r="544" customFormat="false" ht="15.75" hidden="false" customHeight="false" outlineLevel="0" collapsed="false">
      <c r="A544" s="118" t="str">
        <f aca="false">'🤖 Reka Flash'!$A$47</f>
        <v>https://www.berria.eus/euskal-herria/guardia-zibilak-dio-europako-speed-laborategi-handiena-aurkitu-duela-euskal-herrian_2125543_102.html</v>
      </c>
      <c r="B544" s="4" t="s">
        <v>23</v>
      </c>
      <c r="C544" s="119" t="str">
        <f aca="false">'🤖 Reka Flash'!C49</f>
        <v>5W1H</v>
      </c>
      <c r="D544" s="124" t="n">
        <f aca="false">'🤖 Reka Flash'!E49</f>
        <v>0.5714285714</v>
      </c>
      <c r="E544" s="119" t="n">
        <f aca="false">'🤖 Reka Flash'!F49</f>
        <v>3</v>
      </c>
      <c r="F544" s="119" t="n">
        <f aca="false">'🤖 Reka Flash'!G49</f>
        <v>5</v>
      </c>
      <c r="G544" s="119" t="n">
        <f aca="false">'🤖 Reka Flash'!H49</f>
        <v>3</v>
      </c>
      <c r="H544" s="119" t="n">
        <f aca="false">'🤖 Reka Flash'!I49</f>
        <v>4</v>
      </c>
      <c r="I544" s="119" t="n">
        <f aca="false">'🤖 Reka Flash'!J49</f>
        <v>4</v>
      </c>
    </row>
    <row r="545" customFormat="false" ht="15.75" hidden="false" customHeight="false" outlineLevel="0" collapsed="false">
      <c r="A545" s="118" t="str">
        <f aca="false">'🤖 Reka Flash'!$A$47</f>
        <v>https://www.berria.eus/euskal-herria/guardia-zibilak-dio-europako-speed-laborategi-handiena-aurkitu-duela-euskal-herrian_2125543_102.html</v>
      </c>
      <c r="B545" s="4" t="s">
        <v>23</v>
      </c>
      <c r="C545" s="119" t="str">
        <f aca="false">'🤖 Reka Flash'!C50</f>
        <v>tldr</v>
      </c>
      <c r="D545" s="160" t="n">
        <f aca="false">'🤖 Reka Flash'!E50</f>
        <v>0.2523809524</v>
      </c>
      <c r="E545" s="119" t="n">
        <f aca="false">'🤖 Reka Flash'!F50</f>
        <v>4</v>
      </c>
      <c r="F545" s="119" t="n">
        <f aca="false">'🤖 Reka Flash'!G50</f>
        <v>5</v>
      </c>
      <c r="G545" s="119" t="n">
        <f aca="false">'🤖 Reka Flash'!H50</f>
        <v>4</v>
      </c>
      <c r="H545" s="119" t="n">
        <f aca="false">'🤖 Reka Flash'!I50</f>
        <v>5</v>
      </c>
      <c r="I545" s="119" t="n">
        <f aca="false">'🤖 Reka Flash'!J50</f>
        <v>3</v>
      </c>
    </row>
    <row r="546" customFormat="false" ht="15.75" hidden="false" customHeight="false" outlineLevel="0" collapsed="false">
      <c r="A546" s="118"/>
      <c r="B546" s="4"/>
      <c r="C546" s="6"/>
      <c r="D546" s="160"/>
      <c r="E546" s="6"/>
      <c r="F546" s="6"/>
      <c r="G546" s="6"/>
      <c r="H546" s="6"/>
      <c r="I546" s="6"/>
    </row>
    <row r="547" customFormat="false" ht="15.75" hidden="false" customHeight="false" outlineLevel="0" collapsed="false">
      <c r="A547" s="118" t="n">
        <f aca="false">'🤖 Reka Flash'!$A$52</f>
        <v>0</v>
      </c>
      <c r="B547" s="4" t="s">
        <v>23</v>
      </c>
      <c r="C547" s="119" t="str">
        <f aca="false">'🤖 Reka Flash'!C52</f>
        <v>Base</v>
      </c>
      <c r="D547" s="160" t="n">
        <f aca="false">'🤖 Reka Flash'!E52</f>
        <v>0.004761904762</v>
      </c>
      <c r="E547" s="119" t="n">
        <f aca="false">'🤖 Reka Flash'!F52</f>
        <v>0</v>
      </c>
      <c r="F547" s="119" t="n">
        <f aca="false">'🤖 Reka Flash'!G52</f>
        <v>0</v>
      </c>
      <c r="G547" s="119" t="n">
        <f aca="false">'🤖 Reka Flash'!H52</f>
        <v>0</v>
      </c>
      <c r="H547" s="119" t="n">
        <f aca="false">'🤖 Reka Flash'!I52</f>
        <v>0</v>
      </c>
      <c r="I547" s="119" t="n">
        <f aca="false">'🤖 Reka Flash'!J52</f>
        <v>0</v>
      </c>
    </row>
    <row r="548" customFormat="false" ht="15.75" hidden="false" customHeight="false" outlineLevel="0" collapsed="false">
      <c r="A548" s="118" t="n">
        <f aca="false">'🤖 Reka Flash'!$A$52</f>
        <v>0</v>
      </c>
      <c r="B548" s="4" t="s">
        <v>23</v>
      </c>
      <c r="C548" s="119" t="str">
        <f aca="false">'🤖 Reka Flash'!C53</f>
        <v>CoT</v>
      </c>
      <c r="D548" s="160" t="n">
        <f aca="false">'🤖 Reka Flash'!E53</f>
        <v>0.004761904762</v>
      </c>
      <c r="E548" s="119" t="n">
        <f aca="false">'🤖 Reka Flash'!F53</f>
        <v>0</v>
      </c>
      <c r="F548" s="119" t="n">
        <f aca="false">'🤖 Reka Flash'!G53</f>
        <v>0</v>
      </c>
      <c r="G548" s="119" t="n">
        <f aca="false">'🤖 Reka Flash'!H53</f>
        <v>0</v>
      </c>
      <c r="H548" s="119" t="n">
        <f aca="false">'🤖 Reka Flash'!I53</f>
        <v>0</v>
      </c>
      <c r="I548" s="119" t="n">
        <f aca="false">'🤖 Reka Flash'!J53</f>
        <v>0</v>
      </c>
    </row>
    <row r="549" customFormat="false" ht="15.75" hidden="false" customHeight="false" outlineLevel="0" collapsed="false">
      <c r="A549" s="118" t="n">
        <f aca="false">'🤖 Reka Flash'!$A$52</f>
        <v>0</v>
      </c>
      <c r="B549" s="4" t="s">
        <v>23</v>
      </c>
      <c r="C549" s="119" t="str">
        <f aca="false">'🤖 Reka Flash'!C54</f>
        <v>5W1H</v>
      </c>
      <c r="D549" s="160" t="n">
        <f aca="false">'🤖 Reka Flash'!E54</f>
        <v>0.004761904762</v>
      </c>
      <c r="E549" s="119" t="n">
        <f aca="false">'🤖 Reka Flash'!F54</f>
        <v>0</v>
      </c>
      <c r="F549" s="119" t="n">
        <f aca="false">'🤖 Reka Flash'!G54</f>
        <v>0</v>
      </c>
      <c r="G549" s="119" t="n">
        <f aca="false">'🤖 Reka Flash'!H54</f>
        <v>0</v>
      </c>
      <c r="H549" s="119" t="n">
        <f aca="false">'🤖 Reka Flash'!I54</f>
        <v>0</v>
      </c>
      <c r="I549" s="119" t="n">
        <f aca="false">'🤖 Reka Flash'!J54</f>
        <v>0</v>
      </c>
    </row>
    <row r="550" customFormat="false" ht="15.75" hidden="false" customHeight="false" outlineLevel="0" collapsed="false">
      <c r="A550" s="118" t="n">
        <f aca="false">'🤖 Reka Flash'!$A$52</f>
        <v>0</v>
      </c>
      <c r="B550" s="4" t="s">
        <v>23</v>
      </c>
      <c r="C550" s="119" t="str">
        <f aca="false">'🤖 Reka Flash'!C55</f>
        <v>tldr</v>
      </c>
      <c r="D550" s="160" t="n">
        <f aca="false">'🤖 Reka Flash'!E55</f>
        <v>0.004761904762</v>
      </c>
      <c r="E550" s="119" t="n">
        <f aca="false">'🤖 Reka Flash'!F55</f>
        <v>0</v>
      </c>
      <c r="F550" s="119" t="n">
        <f aca="false">'🤖 Reka Flash'!G55</f>
        <v>0</v>
      </c>
      <c r="G550" s="119" t="n">
        <f aca="false">'🤖 Reka Flash'!H55</f>
        <v>0</v>
      </c>
      <c r="H550" s="119" t="n">
        <f aca="false">'🤖 Reka Flash'!I55</f>
        <v>0</v>
      </c>
      <c r="I550" s="119" t="n">
        <f aca="false">'🤖 Reka Flash'!J55</f>
        <v>0</v>
      </c>
    </row>
    <row r="551" customFormat="false" ht="15.75" hidden="false" customHeight="false" outlineLevel="0" collapsed="false">
      <c r="A551" s="118"/>
      <c r="B551" s="4"/>
      <c r="C551" s="6"/>
      <c r="D551" s="160"/>
      <c r="E551" s="6"/>
      <c r="F551" s="6"/>
      <c r="G551" s="6"/>
      <c r="H551" s="6"/>
      <c r="I551" s="6"/>
    </row>
    <row r="552" customFormat="false" ht="15.75" hidden="false" customHeight="false" outlineLevel="0" collapsed="false">
      <c r="A552" s="118" t="n">
        <f aca="false">'🤖 Reka Flash'!$A$57</f>
        <v>0</v>
      </c>
      <c r="B552" s="4" t="s">
        <v>23</v>
      </c>
      <c r="C552" s="119" t="str">
        <f aca="false">'🤖 Reka Flash'!C57</f>
        <v>Base</v>
      </c>
      <c r="D552" s="160" t="n">
        <f aca="false">'🤖 Reka Flash'!E57</f>
        <v>0.004761904762</v>
      </c>
      <c r="E552" s="119" t="n">
        <f aca="false">'🤖 Reka Flash'!F57</f>
        <v>0</v>
      </c>
      <c r="F552" s="119" t="n">
        <f aca="false">'🤖 Reka Flash'!G57</f>
        <v>0</v>
      </c>
      <c r="G552" s="119" t="n">
        <f aca="false">'🤖 Reka Flash'!H57</f>
        <v>0</v>
      </c>
      <c r="H552" s="119" t="n">
        <f aca="false">'🤖 Reka Flash'!I57</f>
        <v>0</v>
      </c>
      <c r="I552" s="119" t="n">
        <f aca="false">'🤖 Reka Flash'!J57</f>
        <v>0</v>
      </c>
    </row>
    <row r="553" customFormat="false" ht="15.75" hidden="false" customHeight="false" outlineLevel="0" collapsed="false">
      <c r="A553" s="118" t="n">
        <f aca="false">'🤖 Reka Flash'!$A$57</f>
        <v>0</v>
      </c>
      <c r="B553" s="4" t="s">
        <v>23</v>
      </c>
      <c r="C553" s="119" t="str">
        <f aca="false">'🤖 Reka Flash'!C58</f>
        <v>CoT</v>
      </c>
      <c r="D553" s="160" t="n">
        <f aca="false">'🤖 Reka Flash'!E58</f>
        <v>0.004761904762</v>
      </c>
      <c r="E553" s="119" t="n">
        <f aca="false">'🤖 Reka Flash'!F58</f>
        <v>0</v>
      </c>
      <c r="F553" s="119" t="n">
        <f aca="false">'🤖 Reka Flash'!G58</f>
        <v>0</v>
      </c>
      <c r="G553" s="119" t="n">
        <f aca="false">'🤖 Reka Flash'!H58</f>
        <v>0</v>
      </c>
      <c r="H553" s="119" t="n">
        <f aca="false">'🤖 Reka Flash'!I58</f>
        <v>0</v>
      </c>
      <c r="I553" s="119" t="n">
        <f aca="false">'🤖 Reka Flash'!J58</f>
        <v>0</v>
      </c>
    </row>
    <row r="554" customFormat="false" ht="15.75" hidden="false" customHeight="false" outlineLevel="0" collapsed="false">
      <c r="A554" s="118" t="n">
        <f aca="false">'🤖 Reka Flash'!$A$57</f>
        <v>0</v>
      </c>
      <c r="B554" s="4" t="s">
        <v>23</v>
      </c>
      <c r="C554" s="119" t="str">
        <f aca="false">'🤖 Reka Flash'!C59</f>
        <v>5W1H</v>
      </c>
      <c r="D554" s="160" t="n">
        <f aca="false">'🤖 Reka Flash'!E59</f>
        <v>0.004761904762</v>
      </c>
      <c r="E554" s="119" t="n">
        <f aca="false">'🤖 Reka Flash'!F59</f>
        <v>0</v>
      </c>
      <c r="F554" s="119" t="n">
        <f aca="false">'🤖 Reka Flash'!G59</f>
        <v>0</v>
      </c>
      <c r="G554" s="119" t="n">
        <f aca="false">'🤖 Reka Flash'!H59</f>
        <v>0</v>
      </c>
      <c r="H554" s="119" t="n">
        <f aca="false">'🤖 Reka Flash'!I59</f>
        <v>0</v>
      </c>
      <c r="I554" s="119" t="n">
        <f aca="false">'🤖 Reka Flash'!J59</f>
        <v>0</v>
      </c>
    </row>
    <row r="555" customFormat="false" ht="15.75" hidden="false" customHeight="false" outlineLevel="0" collapsed="false">
      <c r="A555" s="118" t="n">
        <f aca="false">'🤖 Reka Flash'!$A$57</f>
        <v>0</v>
      </c>
      <c r="B555" s="4" t="s">
        <v>23</v>
      </c>
      <c r="C555" s="119" t="str">
        <f aca="false">'🤖 Reka Flash'!C60</f>
        <v>tldr</v>
      </c>
      <c r="D555" s="160" t="n">
        <f aca="false">'🤖 Reka Flash'!E60</f>
        <v>0.004761904762</v>
      </c>
      <c r="E555" s="119" t="n">
        <f aca="false">'🤖 Reka Flash'!F60</f>
        <v>0</v>
      </c>
      <c r="F555" s="119" t="n">
        <f aca="false">'🤖 Reka Flash'!G60</f>
        <v>0</v>
      </c>
      <c r="G555" s="119" t="n">
        <f aca="false">'🤖 Reka Flash'!H60</f>
        <v>0</v>
      </c>
      <c r="H555" s="119" t="n">
        <f aca="false">'🤖 Reka Flash'!I60</f>
        <v>0</v>
      </c>
      <c r="I555" s="119" t="n">
        <f aca="false">'🤖 Reka Flash'!J60</f>
        <v>0</v>
      </c>
    </row>
    <row r="556" customFormat="false" ht="15.75" hidden="false" customHeight="false" outlineLevel="0" collapsed="false">
      <c r="A556" s="118"/>
      <c r="B556" s="4"/>
      <c r="C556" s="6"/>
      <c r="D556" s="160"/>
      <c r="E556" s="6"/>
      <c r="F556" s="6"/>
      <c r="G556" s="6"/>
      <c r="H556" s="6"/>
      <c r="I556" s="6"/>
    </row>
    <row r="557" customFormat="false" ht="15.75" hidden="false" customHeight="false" outlineLevel="0" collapsed="false">
      <c r="A557" s="118" t="n">
        <f aca="false">'🤖 Reka Flash'!$A$62</f>
        <v>0</v>
      </c>
      <c r="B557" s="4" t="s">
        <v>23</v>
      </c>
      <c r="C557" s="119" t="str">
        <f aca="false">'🤖 Reka Flash'!C62</f>
        <v>Base</v>
      </c>
      <c r="D557" s="160" t="n">
        <f aca="false">'🤖 Reka Flash'!E62</f>
        <v>0.004761904762</v>
      </c>
      <c r="E557" s="119" t="n">
        <f aca="false">'🤖 Reka Flash'!F62</f>
        <v>0</v>
      </c>
      <c r="F557" s="119" t="n">
        <f aca="false">'🤖 Reka Flash'!G62</f>
        <v>0</v>
      </c>
      <c r="G557" s="119" t="n">
        <f aca="false">'🤖 Reka Flash'!H62</f>
        <v>0</v>
      </c>
      <c r="H557" s="119" t="n">
        <f aca="false">'🤖 Reka Flash'!I62</f>
        <v>0</v>
      </c>
      <c r="I557" s="119" t="n">
        <f aca="false">'🤖 Reka Flash'!J62</f>
        <v>0</v>
      </c>
    </row>
    <row r="558" customFormat="false" ht="15.75" hidden="false" customHeight="false" outlineLevel="0" collapsed="false">
      <c r="A558" s="118" t="n">
        <f aca="false">'🤖 Reka Flash'!$A$62</f>
        <v>0</v>
      </c>
      <c r="B558" s="4" t="s">
        <v>23</v>
      </c>
      <c r="C558" s="119" t="str">
        <f aca="false">'🤖 Reka Flash'!C63</f>
        <v>CoT</v>
      </c>
      <c r="D558" s="160" t="n">
        <f aca="false">'🤖 Reka Flash'!E63</f>
        <v>0.004761904762</v>
      </c>
      <c r="E558" s="119" t="n">
        <f aca="false">'🤖 Reka Flash'!F63</f>
        <v>0</v>
      </c>
      <c r="F558" s="119" t="n">
        <f aca="false">'🤖 Reka Flash'!G63</f>
        <v>0</v>
      </c>
      <c r="G558" s="119" t="n">
        <f aca="false">'🤖 Reka Flash'!H63</f>
        <v>0</v>
      </c>
      <c r="H558" s="119" t="n">
        <f aca="false">'🤖 Reka Flash'!I63</f>
        <v>0</v>
      </c>
      <c r="I558" s="119" t="n">
        <f aca="false">'🤖 Reka Flash'!J63</f>
        <v>0</v>
      </c>
    </row>
    <row r="559" customFormat="false" ht="15.75" hidden="false" customHeight="false" outlineLevel="0" collapsed="false">
      <c r="A559" s="118" t="n">
        <f aca="false">'🤖 Reka Flash'!$A$62</f>
        <v>0</v>
      </c>
      <c r="B559" s="4" t="s">
        <v>23</v>
      </c>
      <c r="C559" s="119" t="str">
        <f aca="false">'🤖 Reka Flash'!C64</f>
        <v>5W1H</v>
      </c>
      <c r="D559" s="160" t="n">
        <f aca="false">'🤖 Reka Flash'!E64</f>
        <v>0.004761904762</v>
      </c>
      <c r="E559" s="119" t="n">
        <f aca="false">'🤖 Reka Flash'!F64</f>
        <v>0</v>
      </c>
      <c r="F559" s="119" t="n">
        <f aca="false">'🤖 Reka Flash'!G64</f>
        <v>0</v>
      </c>
      <c r="G559" s="119" t="n">
        <f aca="false">'🤖 Reka Flash'!H64</f>
        <v>0</v>
      </c>
      <c r="H559" s="119" t="n">
        <f aca="false">'🤖 Reka Flash'!I64</f>
        <v>0</v>
      </c>
      <c r="I559" s="119" t="n">
        <f aca="false">'🤖 Reka Flash'!J64</f>
        <v>0</v>
      </c>
    </row>
    <row r="560" customFormat="false" ht="15.75" hidden="false" customHeight="false" outlineLevel="0" collapsed="false">
      <c r="A560" s="118" t="n">
        <f aca="false">'🤖 Reka Flash'!$A$62</f>
        <v>0</v>
      </c>
      <c r="B560" s="4" t="s">
        <v>23</v>
      </c>
      <c r="C560" s="119" t="str">
        <f aca="false">'🤖 Reka Flash'!C65</f>
        <v>tldr</v>
      </c>
      <c r="D560" s="160" t="n">
        <f aca="false">'🤖 Reka Flash'!E65</f>
        <v>0.004761904762</v>
      </c>
      <c r="E560" s="119" t="n">
        <f aca="false">'🤖 Reka Flash'!F65</f>
        <v>0</v>
      </c>
      <c r="F560" s="119" t="n">
        <f aca="false">'🤖 Reka Flash'!G65</f>
        <v>0</v>
      </c>
      <c r="G560" s="119" t="n">
        <f aca="false">'🤖 Reka Flash'!H65</f>
        <v>0</v>
      </c>
      <c r="H560" s="119" t="n">
        <f aca="false">'🤖 Reka Flash'!I65</f>
        <v>0</v>
      </c>
      <c r="I560" s="119" t="n">
        <f aca="false">'🤖 Reka Flash'!J65</f>
        <v>0</v>
      </c>
    </row>
    <row r="561" customFormat="false" ht="15.75" hidden="false" customHeight="false" outlineLevel="0" collapsed="false">
      <c r="A561" s="118"/>
      <c r="B561" s="4"/>
      <c r="C561" s="6"/>
      <c r="D561" s="160"/>
      <c r="E561" s="6"/>
      <c r="F561" s="6"/>
      <c r="G561" s="6"/>
      <c r="H561" s="6"/>
      <c r="I561" s="6"/>
    </row>
    <row r="562" customFormat="false" ht="15.75" hidden="false" customHeight="false" outlineLevel="0" collapsed="false">
      <c r="A562" s="118" t="n">
        <f aca="false">'🤖 Reka Flash'!$A$67</f>
        <v>0</v>
      </c>
      <c r="B562" s="4" t="s">
        <v>23</v>
      </c>
      <c r="C562" s="119" t="str">
        <f aca="false">'🤖 Reka Flash'!C67</f>
        <v>Base</v>
      </c>
      <c r="D562" s="160" t="n">
        <f aca="false">'🤖 Reka Flash'!E67</f>
        <v>0.004761904762</v>
      </c>
      <c r="E562" s="119" t="n">
        <f aca="false">'🤖 Reka Flash'!F67</f>
        <v>0</v>
      </c>
      <c r="F562" s="119" t="n">
        <f aca="false">'🤖 Reka Flash'!G67</f>
        <v>0</v>
      </c>
      <c r="G562" s="119" t="n">
        <f aca="false">'🤖 Reka Flash'!H67</f>
        <v>0</v>
      </c>
      <c r="H562" s="119" t="n">
        <f aca="false">'🤖 Reka Flash'!I67</f>
        <v>0</v>
      </c>
      <c r="I562" s="119" t="n">
        <f aca="false">'🤖 Reka Flash'!J67</f>
        <v>0</v>
      </c>
    </row>
    <row r="563" customFormat="false" ht="15.75" hidden="false" customHeight="false" outlineLevel="0" collapsed="false">
      <c r="A563" s="118" t="n">
        <f aca="false">'🤖 Reka Flash'!$A$67</f>
        <v>0</v>
      </c>
      <c r="B563" s="4" t="s">
        <v>23</v>
      </c>
      <c r="C563" s="119" t="str">
        <f aca="false">'🤖 Reka Flash'!C68</f>
        <v>CoT</v>
      </c>
      <c r="D563" s="160" t="n">
        <f aca="false">'🤖 Reka Flash'!E68</f>
        <v>0.004761904762</v>
      </c>
      <c r="E563" s="119" t="n">
        <f aca="false">'🤖 Reka Flash'!F68</f>
        <v>0</v>
      </c>
      <c r="F563" s="119" t="n">
        <f aca="false">'🤖 Reka Flash'!G68</f>
        <v>0</v>
      </c>
      <c r="G563" s="119" t="n">
        <f aca="false">'🤖 Reka Flash'!H68</f>
        <v>0</v>
      </c>
      <c r="H563" s="119" t="n">
        <f aca="false">'🤖 Reka Flash'!I68</f>
        <v>0</v>
      </c>
      <c r="I563" s="119" t="n">
        <f aca="false">'🤖 Reka Flash'!J68</f>
        <v>0</v>
      </c>
    </row>
    <row r="564" customFormat="false" ht="15.75" hidden="false" customHeight="false" outlineLevel="0" collapsed="false">
      <c r="A564" s="118" t="n">
        <f aca="false">'🤖 Reka Flash'!$A$67</f>
        <v>0</v>
      </c>
      <c r="B564" s="4" t="s">
        <v>23</v>
      </c>
      <c r="C564" s="119" t="str">
        <f aca="false">'🤖 Reka Flash'!C69</f>
        <v>5W1H</v>
      </c>
      <c r="D564" s="160" t="n">
        <f aca="false">'🤖 Reka Flash'!E69</f>
        <v>0.004761904762</v>
      </c>
      <c r="E564" s="119" t="n">
        <f aca="false">'🤖 Reka Flash'!F69</f>
        <v>0</v>
      </c>
      <c r="F564" s="119" t="n">
        <f aca="false">'🤖 Reka Flash'!G69</f>
        <v>0</v>
      </c>
      <c r="G564" s="119" t="n">
        <f aca="false">'🤖 Reka Flash'!H69</f>
        <v>0</v>
      </c>
      <c r="H564" s="119" t="n">
        <f aca="false">'🤖 Reka Flash'!I69</f>
        <v>0</v>
      </c>
      <c r="I564" s="119" t="n">
        <f aca="false">'🤖 Reka Flash'!J69</f>
        <v>0</v>
      </c>
    </row>
    <row r="565" customFormat="false" ht="15.75" hidden="false" customHeight="false" outlineLevel="0" collapsed="false">
      <c r="A565" s="118" t="n">
        <f aca="false">'🤖 Reka Flash'!$A$67</f>
        <v>0</v>
      </c>
      <c r="B565" s="4" t="s">
        <v>23</v>
      </c>
      <c r="C565" s="119" t="str">
        <f aca="false">'🤖 Reka Flash'!C70</f>
        <v>tldr</v>
      </c>
      <c r="D565" s="160" t="n">
        <f aca="false">'🤖 Reka Flash'!E70</f>
        <v>0.004761904762</v>
      </c>
      <c r="E565" s="119" t="n">
        <f aca="false">'🤖 Reka Flash'!F70</f>
        <v>0</v>
      </c>
      <c r="F565" s="119" t="n">
        <f aca="false">'🤖 Reka Flash'!G70</f>
        <v>0</v>
      </c>
      <c r="G565" s="119" t="n">
        <f aca="false">'🤖 Reka Flash'!H70</f>
        <v>0</v>
      </c>
      <c r="H565" s="119" t="n">
        <f aca="false">'🤖 Reka Flash'!I70</f>
        <v>0</v>
      </c>
      <c r="I565" s="119" t="n">
        <f aca="false">'🤖 Reka Flash'!J70</f>
        <v>0</v>
      </c>
    </row>
    <row r="566" customFormat="false" ht="15.75" hidden="false" customHeight="false" outlineLevel="0" collapsed="false">
      <c r="A566" s="118"/>
      <c r="B566" s="4"/>
      <c r="C566" s="6"/>
      <c r="D566" s="160"/>
      <c r="E566" s="6"/>
      <c r="F566" s="6"/>
      <c r="G566" s="6"/>
      <c r="H566" s="6"/>
      <c r="I566" s="6"/>
    </row>
    <row r="567" customFormat="false" ht="15.75" hidden="false" customHeight="false" outlineLevel="0" collapsed="false">
      <c r="A567" s="118" t="n">
        <f aca="false">'🤖 Reka Flash'!$A$72</f>
        <v>0</v>
      </c>
      <c r="B567" s="4" t="s">
        <v>23</v>
      </c>
      <c r="C567" s="119" t="str">
        <f aca="false">'🤖 Reka Flash'!C72</f>
        <v>Base</v>
      </c>
      <c r="D567" s="160" t="n">
        <f aca="false">'🤖 Reka Flash'!E72</f>
        <v>0.004761904762</v>
      </c>
      <c r="E567" s="119" t="n">
        <f aca="false">'🤖 Reka Flash'!F72</f>
        <v>0</v>
      </c>
      <c r="F567" s="119" t="n">
        <f aca="false">'🤖 Reka Flash'!G72</f>
        <v>0</v>
      </c>
      <c r="G567" s="119" t="n">
        <f aca="false">'🤖 Reka Flash'!H72</f>
        <v>0</v>
      </c>
      <c r="H567" s="119" t="n">
        <f aca="false">'🤖 Reka Flash'!I72</f>
        <v>0</v>
      </c>
      <c r="I567" s="119" t="n">
        <f aca="false">'🤖 Reka Flash'!J72</f>
        <v>0</v>
      </c>
    </row>
    <row r="568" customFormat="false" ht="15.75" hidden="false" customHeight="false" outlineLevel="0" collapsed="false">
      <c r="A568" s="118" t="n">
        <f aca="false">'🤖 Reka Flash'!$A$72</f>
        <v>0</v>
      </c>
      <c r="B568" s="4" t="s">
        <v>23</v>
      </c>
      <c r="C568" s="119" t="str">
        <f aca="false">'🤖 Reka Flash'!C73</f>
        <v>CoT</v>
      </c>
      <c r="D568" s="160" t="n">
        <f aca="false">'🤖 Reka Flash'!E73</f>
        <v>0.004761904762</v>
      </c>
      <c r="E568" s="119" t="n">
        <f aca="false">'🤖 Reka Flash'!F73</f>
        <v>0</v>
      </c>
      <c r="F568" s="119" t="n">
        <f aca="false">'🤖 Reka Flash'!G73</f>
        <v>0</v>
      </c>
      <c r="G568" s="119" t="n">
        <f aca="false">'🤖 Reka Flash'!H73</f>
        <v>0</v>
      </c>
      <c r="H568" s="119" t="n">
        <f aca="false">'🤖 Reka Flash'!I73</f>
        <v>0</v>
      </c>
      <c r="I568" s="119" t="n">
        <f aca="false">'🤖 Reka Flash'!J73</f>
        <v>0</v>
      </c>
    </row>
    <row r="569" customFormat="false" ht="15.75" hidden="false" customHeight="false" outlineLevel="0" collapsed="false">
      <c r="A569" s="118" t="n">
        <f aca="false">'🤖 Reka Flash'!$A$72</f>
        <v>0</v>
      </c>
      <c r="B569" s="4" t="s">
        <v>23</v>
      </c>
      <c r="C569" s="119" t="str">
        <f aca="false">'🤖 Reka Flash'!C74</f>
        <v>5W1H</v>
      </c>
      <c r="D569" s="160" t="n">
        <f aca="false">'🤖 Reka Flash'!E74</f>
        <v>0.004761904762</v>
      </c>
      <c r="E569" s="119" t="n">
        <f aca="false">'🤖 Reka Flash'!F74</f>
        <v>0</v>
      </c>
      <c r="F569" s="119" t="n">
        <f aca="false">'🤖 Reka Flash'!G74</f>
        <v>0</v>
      </c>
      <c r="G569" s="119" t="n">
        <f aca="false">'🤖 Reka Flash'!H74</f>
        <v>0</v>
      </c>
      <c r="H569" s="119" t="n">
        <f aca="false">'🤖 Reka Flash'!I74</f>
        <v>0</v>
      </c>
      <c r="I569" s="119" t="n">
        <f aca="false">'🤖 Reka Flash'!J74</f>
        <v>0</v>
      </c>
    </row>
    <row r="570" customFormat="false" ht="15.75" hidden="false" customHeight="false" outlineLevel="0" collapsed="false">
      <c r="A570" s="118" t="n">
        <f aca="false">'🤖 Reka Flash'!$A$72</f>
        <v>0</v>
      </c>
      <c r="B570" s="4" t="s">
        <v>23</v>
      </c>
      <c r="C570" s="119" t="str">
        <f aca="false">'🤖 Reka Flash'!C75</f>
        <v>tldr</v>
      </c>
      <c r="D570" s="160" t="n">
        <f aca="false">'🤖 Reka Flash'!E75</f>
        <v>0.004761904762</v>
      </c>
      <c r="E570" s="119" t="n">
        <f aca="false">'🤖 Reka Flash'!F75</f>
        <v>0</v>
      </c>
      <c r="F570" s="119" t="n">
        <f aca="false">'🤖 Reka Flash'!G75</f>
        <v>0</v>
      </c>
      <c r="G570" s="119" t="n">
        <f aca="false">'🤖 Reka Flash'!H75</f>
        <v>0</v>
      </c>
      <c r="H570" s="119" t="n">
        <f aca="false">'🤖 Reka Flash'!I75</f>
        <v>0</v>
      </c>
      <c r="I570" s="119" t="n">
        <f aca="false">'🤖 Reka Flash'!J75</f>
        <v>0</v>
      </c>
    </row>
    <row r="571" customFormat="false" ht="15.75" hidden="false" customHeight="false" outlineLevel="0" collapsed="false">
      <c r="A571" s="118"/>
      <c r="B571" s="4"/>
      <c r="C571" s="6"/>
      <c r="D571" s="160"/>
      <c r="E571" s="6"/>
      <c r="F571" s="6"/>
      <c r="G571" s="6"/>
      <c r="H571" s="6"/>
      <c r="I571" s="6"/>
    </row>
    <row r="572" customFormat="false" ht="15.75" hidden="false" customHeight="false" outlineLevel="0" collapsed="false">
      <c r="A572" s="118" t="n">
        <f aca="false">'🤖 Reka Flash'!$A$77</f>
        <v>0</v>
      </c>
      <c r="B572" s="4" t="s">
        <v>23</v>
      </c>
      <c r="C572" s="119" t="str">
        <f aca="false">'🤖 Reka Flash'!C77</f>
        <v>Base</v>
      </c>
      <c r="D572" s="160" t="n">
        <f aca="false">'🤖 Reka Flash'!E77</f>
        <v>0.004761904762</v>
      </c>
      <c r="E572" s="119" t="n">
        <f aca="false">'🤖 Reka Flash'!F77</f>
        <v>0</v>
      </c>
      <c r="F572" s="119" t="n">
        <f aca="false">'🤖 Reka Flash'!G77</f>
        <v>0</v>
      </c>
      <c r="G572" s="119" t="n">
        <f aca="false">'🤖 Reka Flash'!H77</f>
        <v>0</v>
      </c>
      <c r="H572" s="119" t="n">
        <f aca="false">'🤖 Reka Flash'!I77</f>
        <v>0</v>
      </c>
      <c r="I572" s="119" t="n">
        <f aca="false">'🤖 Reka Flash'!J77</f>
        <v>0</v>
      </c>
    </row>
    <row r="573" customFormat="false" ht="15.75" hidden="false" customHeight="false" outlineLevel="0" collapsed="false">
      <c r="A573" s="118" t="n">
        <f aca="false">'🤖 Reka Flash'!$A$77</f>
        <v>0</v>
      </c>
      <c r="B573" s="4" t="s">
        <v>23</v>
      </c>
      <c r="C573" s="119" t="str">
        <f aca="false">'🤖 Reka Flash'!C78</f>
        <v>CoT</v>
      </c>
      <c r="D573" s="160" t="n">
        <f aca="false">'🤖 Reka Flash'!E78</f>
        <v>0.004761904762</v>
      </c>
      <c r="E573" s="119" t="n">
        <f aca="false">'🤖 Reka Flash'!F78</f>
        <v>0</v>
      </c>
      <c r="F573" s="119" t="n">
        <f aca="false">'🤖 Reka Flash'!G78</f>
        <v>0</v>
      </c>
      <c r="G573" s="119" t="n">
        <f aca="false">'🤖 Reka Flash'!H78</f>
        <v>0</v>
      </c>
      <c r="H573" s="119" t="n">
        <f aca="false">'🤖 Reka Flash'!I78</f>
        <v>0</v>
      </c>
      <c r="I573" s="119" t="n">
        <f aca="false">'🤖 Reka Flash'!J78</f>
        <v>0</v>
      </c>
    </row>
    <row r="574" customFormat="false" ht="15.75" hidden="false" customHeight="false" outlineLevel="0" collapsed="false">
      <c r="A574" s="118" t="n">
        <f aca="false">'🤖 Reka Flash'!$A$77</f>
        <v>0</v>
      </c>
      <c r="B574" s="4" t="s">
        <v>23</v>
      </c>
      <c r="C574" s="119" t="str">
        <f aca="false">'🤖 Reka Flash'!C79</f>
        <v>5W1H</v>
      </c>
      <c r="D574" s="160" t="n">
        <f aca="false">'🤖 Reka Flash'!E79</f>
        <v>0.004761904762</v>
      </c>
      <c r="E574" s="119" t="n">
        <f aca="false">'🤖 Reka Flash'!F79</f>
        <v>0</v>
      </c>
      <c r="F574" s="119" t="n">
        <f aca="false">'🤖 Reka Flash'!G79</f>
        <v>0</v>
      </c>
      <c r="G574" s="119" t="n">
        <f aca="false">'🤖 Reka Flash'!H79</f>
        <v>0</v>
      </c>
      <c r="H574" s="119" t="n">
        <f aca="false">'🤖 Reka Flash'!I79</f>
        <v>0</v>
      </c>
      <c r="I574" s="119" t="n">
        <f aca="false">'🤖 Reka Flash'!J79</f>
        <v>0</v>
      </c>
    </row>
    <row r="575" customFormat="false" ht="15.75" hidden="false" customHeight="false" outlineLevel="0" collapsed="false">
      <c r="A575" s="118" t="n">
        <f aca="false">'🤖 Reka Flash'!$A$77</f>
        <v>0</v>
      </c>
      <c r="B575" s="4" t="s">
        <v>23</v>
      </c>
      <c r="C575" s="119" t="str">
        <f aca="false">'🤖 Reka Flash'!C80</f>
        <v>tldr</v>
      </c>
      <c r="D575" s="160" t="n">
        <f aca="false">'🤖 Reka Flash'!E80</f>
        <v>0.004761904762</v>
      </c>
      <c r="E575" s="119" t="n">
        <f aca="false">'🤖 Reka Flash'!F80</f>
        <v>0</v>
      </c>
      <c r="F575" s="119" t="n">
        <f aca="false">'🤖 Reka Flash'!G80</f>
        <v>0</v>
      </c>
      <c r="G575" s="119" t="n">
        <f aca="false">'🤖 Reka Flash'!H80</f>
        <v>0</v>
      </c>
      <c r="H575" s="119" t="n">
        <f aca="false">'🤖 Reka Flash'!I80</f>
        <v>0</v>
      </c>
      <c r="I575" s="119" t="n">
        <f aca="false">'🤖 Reka Flash'!J80</f>
        <v>0</v>
      </c>
    </row>
    <row r="576" customFormat="false" ht="15.75" hidden="false" customHeight="false" outlineLevel="0" collapsed="false">
      <c r="A576" s="118"/>
      <c r="B576" s="4"/>
      <c r="C576" s="6"/>
      <c r="D576" s="160"/>
      <c r="E576" s="6"/>
      <c r="F576" s="6"/>
      <c r="G576" s="6"/>
      <c r="H576" s="6"/>
      <c r="I576" s="6"/>
    </row>
    <row r="577" customFormat="false" ht="15.75" hidden="false" customHeight="false" outlineLevel="0" collapsed="false">
      <c r="A577" s="118" t="n">
        <f aca="false">'🤖 Reka Flash'!$A$82</f>
        <v>0</v>
      </c>
      <c r="B577" s="4" t="s">
        <v>23</v>
      </c>
      <c r="C577" s="119" t="str">
        <f aca="false">'🤖 Reka Flash'!C82</f>
        <v>Base</v>
      </c>
      <c r="D577" s="160" t="n">
        <f aca="false">'🤖 Reka Flash'!E82</f>
        <v>0.004761904762</v>
      </c>
      <c r="E577" s="119" t="n">
        <f aca="false">'🤖 Reka Flash'!F82</f>
        <v>0</v>
      </c>
      <c r="F577" s="119" t="n">
        <f aca="false">'🤖 Reka Flash'!G82</f>
        <v>0</v>
      </c>
      <c r="G577" s="119" t="n">
        <f aca="false">'🤖 Reka Flash'!H82</f>
        <v>0</v>
      </c>
      <c r="H577" s="119" t="n">
        <f aca="false">'🤖 Reka Flash'!I82</f>
        <v>0</v>
      </c>
      <c r="I577" s="119" t="n">
        <f aca="false">'🤖 Reka Flash'!J82</f>
        <v>0</v>
      </c>
    </row>
    <row r="578" customFormat="false" ht="15.75" hidden="false" customHeight="false" outlineLevel="0" collapsed="false">
      <c r="A578" s="118" t="n">
        <f aca="false">'🤖 Reka Flash'!$A$82</f>
        <v>0</v>
      </c>
      <c r="B578" s="4" t="s">
        <v>23</v>
      </c>
      <c r="C578" s="119" t="str">
        <f aca="false">'🤖 Reka Flash'!C83</f>
        <v>CoT</v>
      </c>
      <c r="D578" s="160" t="n">
        <f aca="false">'🤖 Reka Flash'!E83</f>
        <v>0.004761904762</v>
      </c>
      <c r="E578" s="119" t="n">
        <f aca="false">'🤖 Reka Flash'!F83</f>
        <v>0</v>
      </c>
      <c r="F578" s="119" t="n">
        <f aca="false">'🤖 Reka Flash'!G83</f>
        <v>0</v>
      </c>
      <c r="G578" s="119" t="n">
        <f aca="false">'🤖 Reka Flash'!H83</f>
        <v>0</v>
      </c>
      <c r="H578" s="119" t="n">
        <f aca="false">'🤖 Reka Flash'!I83</f>
        <v>0</v>
      </c>
      <c r="I578" s="119" t="n">
        <f aca="false">'🤖 Reka Flash'!J83</f>
        <v>0</v>
      </c>
    </row>
    <row r="579" customFormat="false" ht="15.75" hidden="false" customHeight="false" outlineLevel="0" collapsed="false">
      <c r="A579" s="118" t="n">
        <f aca="false">'🤖 Reka Flash'!$A$82</f>
        <v>0</v>
      </c>
      <c r="B579" s="4" t="s">
        <v>23</v>
      </c>
      <c r="C579" s="119" t="str">
        <f aca="false">'🤖 Reka Flash'!C84</f>
        <v>5W1H</v>
      </c>
      <c r="D579" s="160" t="n">
        <f aca="false">'🤖 Reka Flash'!E84</f>
        <v>0.004761904762</v>
      </c>
      <c r="E579" s="119" t="n">
        <f aca="false">'🤖 Reka Flash'!F84</f>
        <v>0</v>
      </c>
      <c r="F579" s="119" t="n">
        <f aca="false">'🤖 Reka Flash'!G84</f>
        <v>0</v>
      </c>
      <c r="G579" s="119" t="n">
        <f aca="false">'🤖 Reka Flash'!H84</f>
        <v>0</v>
      </c>
      <c r="H579" s="119" t="n">
        <f aca="false">'🤖 Reka Flash'!I84</f>
        <v>0</v>
      </c>
      <c r="I579" s="119" t="n">
        <f aca="false">'🤖 Reka Flash'!J84</f>
        <v>0</v>
      </c>
    </row>
    <row r="580" customFormat="false" ht="15.75" hidden="false" customHeight="false" outlineLevel="0" collapsed="false">
      <c r="A580" s="118" t="n">
        <f aca="false">'🤖 Reka Flash'!$A$82</f>
        <v>0</v>
      </c>
      <c r="B580" s="4" t="s">
        <v>23</v>
      </c>
      <c r="C580" s="119" t="str">
        <f aca="false">'🤖 Reka Flash'!C85</f>
        <v>tldr</v>
      </c>
      <c r="D580" s="160" t="n">
        <f aca="false">'🤖 Reka Flash'!E85</f>
        <v>0.004761904762</v>
      </c>
      <c r="E580" s="119" t="n">
        <f aca="false">'🤖 Reka Flash'!F85</f>
        <v>0</v>
      </c>
      <c r="F580" s="119" t="n">
        <f aca="false">'🤖 Reka Flash'!G85</f>
        <v>0</v>
      </c>
      <c r="G580" s="119" t="n">
        <f aca="false">'🤖 Reka Flash'!H85</f>
        <v>0</v>
      </c>
      <c r="H580" s="119" t="n">
        <f aca="false">'🤖 Reka Flash'!I85</f>
        <v>0</v>
      </c>
      <c r="I580" s="119" t="n">
        <f aca="false">'🤖 Reka Flash'!J85</f>
        <v>0</v>
      </c>
    </row>
    <row r="581" customFormat="false" ht="15.75" hidden="false" customHeight="false" outlineLevel="0" collapsed="false">
      <c r="A581" s="118"/>
      <c r="B581" s="4"/>
      <c r="C581" s="6"/>
      <c r="D581" s="160"/>
      <c r="E581" s="6"/>
      <c r="F581" s="6"/>
      <c r="G581" s="6"/>
      <c r="H581" s="6"/>
      <c r="I581" s="6"/>
    </row>
    <row r="582" customFormat="false" ht="15.75" hidden="false" customHeight="false" outlineLevel="0" collapsed="false">
      <c r="A582" s="118" t="n">
        <f aca="false">'🤖 Reka Flash'!$A$87</f>
        <v>0</v>
      </c>
      <c r="B582" s="4" t="s">
        <v>23</v>
      </c>
      <c r="C582" s="119" t="str">
        <f aca="false">'🤖 Reka Flash'!C87</f>
        <v>Base</v>
      </c>
      <c r="D582" s="160" t="n">
        <f aca="false">'🤖 Reka Flash'!E87</f>
        <v>0.004761904762</v>
      </c>
      <c r="E582" s="119" t="n">
        <f aca="false">'🤖 Reka Flash'!F87</f>
        <v>0</v>
      </c>
      <c r="F582" s="119" t="n">
        <f aca="false">'🤖 Reka Flash'!G87</f>
        <v>0</v>
      </c>
      <c r="G582" s="119" t="n">
        <f aca="false">'🤖 Reka Flash'!H87</f>
        <v>0</v>
      </c>
      <c r="H582" s="119" t="n">
        <f aca="false">'🤖 Reka Flash'!I87</f>
        <v>0</v>
      </c>
      <c r="I582" s="119" t="n">
        <f aca="false">'🤖 Reka Flash'!J87</f>
        <v>0</v>
      </c>
    </row>
    <row r="583" customFormat="false" ht="15.75" hidden="false" customHeight="false" outlineLevel="0" collapsed="false">
      <c r="A583" s="118" t="n">
        <f aca="false">'🤖 Reka Flash'!$A$87</f>
        <v>0</v>
      </c>
      <c r="B583" s="4" t="s">
        <v>23</v>
      </c>
      <c r="C583" s="119" t="str">
        <f aca="false">'🤖 Reka Flash'!C88</f>
        <v>CoT</v>
      </c>
      <c r="D583" s="160" t="n">
        <f aca="false">'🤖 Reka Flash'!E88</f>
        <v>0.004761904762</v>
      </c>
      <c r="E583" s="119" t="n">
        <f aca="false">'🤖 Reka Flash'!F88</f>
        <v>0</v>
      </c>
      <c r="F583" s="119" t="n">
        <f aca="false">'🤖 Reka Flash'!G88</f>
        <v>0</v>
      </c>
      <c r="G583" s="119" t="n">
        <f aca="false">'🤖 Reka Flash'!H88</f>
        <v>0</v>
      </c>
      <c r="H583" s="119" t="n">
        <f aca="false">'🤖 Reka Flash'!I88</f>
        <v>0</v>
      </c>
      <c r="I583" s="119" t="n">
        <f aca="false">'🤖 Reka Flash'!J88</f>
        <v>0</v>
      </c>
    </row>
    <row r="584" customFormat="false" ht="15.75" hidden="false" customHeight="false" outlineLevel="0" collapsed="false">
      <c r="A584" s="118" t="n">
        <f aca="false">'🤖 Reka Flash'!$A$87</f>
        <v>0</v>
      </c>
      <c r="B584" s="4" t="s">
        <v>23</v>
      </c>
      <c r="C584" s="119" t="str">
        <f aca="false">'🤖 Reka Flash'!C89</f>
        <v>5W1H</v>
      </c>
      <c r="D584" s="160" t="n">
        <f aca="false">'🤖 Reka Flash'!E89</f>
        <v>0.004761904762</v>
      </c>
      <c r="E584" s="119" t="n">
        <f aca="false">'🤖 Reka Flash'!F89</f>
        <v>0</v>
      </c>
      <c r="F584" s="119" t="n">
        <f aca="false">'🤖 Reka Flash'!G89</f>
        <v>0</v>
      </c>
      <c r="G584" s="119" t="n">
        <f aca="false">'🤖 Reka Flash'!H89</f>
        <v>0</v>
      </c>
      <c r="H584" s="119" t="n">
        <f aca="false">'🤖 Reka Flash'!I89</f>
        <v>0</v>
      </c>
      <c r="I584" s="119" t="n">
        <f aca="false">'🤖 Reka Flash'!J89</f>
        <v>0</v>
      </c>
    </row>
    <row r="585" customFormat="false" ht="15.75" hidden="false" customHeight="false" outlineLevel="0" collapsed="false">
      <c r="A585" s="118" t="n">
        <f aca="false">'🤖 Reka Flash'!$A$87</f>
        <v>0</v>
      </c>
      <c r="B585" s="4" t="s">
        <v>23</v>
      </c>
      <c r="C585" s="119" t="str">
        <f aca="false">'🤖 Reka Flash'!C90</f>
        <v>tldr</v>
      </c>
      <c r="D585" s="160" t="n">
        <f aca="false">'🤖 Reka Flash'!E90</f>
        <v>0.004761904762</v>
      </c>
      <c r="E585" s="119" t="n">
        <f aca="false">'🤖 Reka Flash'!F90</f>
        <v>0</v>
      </c>
      <c r="F585" s="119" t="n">
        <f aca="false">'🤖 Reka Flash'!G90</f>
        <v>0</v>
      </c>
      <c r="G585" s="119" t="n">
        <f aca="false">'🤖 Reka Flash'!H90</f>
        <v>0</v>
      </c>
      <c r="H585" s="119" t="n">
        <f aca="false">'🤖 Reka Flash'!I90</f>
        <v>0</v>
      </c>
      <c r="I585" s="119" t="n">
        <f aca="false">'🤖 Reka Flash'!J90</f>
        <v>0</v>
      </c>
    </row>
    <row r="586" customFormat="false" ht="15.75" hidden="false" customHeight="false" outlineLevel="0" collapsed="false">
      <c r="A586" s="118"/>
      <c r="B586" s="4"/>
      <c r="C586" s="6"/>
      <c r="D586" s="160"/>
      <c r="E586" s="6"/>
      <c r="F586" s="6"/>
      <c r="G586" s="6"/>
      <c r="H586" s="6"/>
      <c r="I586" s="6"/>
    </row>
    <row r="587" customFormat="false" ht="15.75" hidden="false" customHeight="false" outlineLevel="0" collapsed="false">
      <c r="A587" s="118" t="n">
        <f aca="false">'🤖 Reka Flash'!$A$92</f>
        <v>0</v>
      </c>
      <c r="B587" s="4" t="s">
        <v>23</v>
      </c>
      <c r="C587" s="119" t="str">
        <f aca="false">'🤖 Reka Flash'!C92</f>
        <v>Base</v>
      </c>
      <c r="D587" s="160" t="n">
        <f aca="false">'🤖 Reka Flash'!E92</f>
        <v>0.004761904762</v>
      </c>
      <c r="E587" s="119" t="n">
        <f aca="false">'🤖 Reka Flash'!F92</f>
        <v>0</v>
      </c>
      <c r="F587" s="119" t="n">
        <f aca="false">'🤖 Reka Flash'!G92</f>
        <v>0</v>
      </c>
      <c r="G587" s="119" t="n">
        <f aca="false">'🤖 Reka Flash'!H92</f>
        <v>0</v>
      </c>
      <c r="H587" s="119" t="n">
        <f aca="false">'🤖 Reka Flash'!I92</f>
        <v>0</v>
      </c>
      <c r="I587" s="119" t="n">
        <f aca="false">'🤖 Reka Flash'!J92</f>
        <v>0</v>
      </c>
    </row>
    <row r="588" customFormat="false" ht="15.75" hidden="false" customHeight="false" outlineLevel="0" collapsed="false">
      <c r="A588" s="118" t="n">
        <f aca="false">'🤖 Reka Flash'!$A$92</f>
        <v>0</v>
      </c>
      <c r="B588" s="4" t="s">
        <v>23</v>
      </c>
      <c r="C588" s="119" t="str">
        <f aca="false">'🤖 Reka Flash'!C93</f>
        <v>CoT</v>
      </c>
      <c r="D588" s="160" t="n">
        <f aca="false">'🤖 Reka Flash'!E93</f>
        <v>0.004761904762</v>
      </c>
      <c r="E588" s="119" t="n">
        <f aca="false">'🤖 Reka Flash'!F93</f>
        <v>0</v>
      </c>
      <c r="F588" s="119" t="n">
        <f aca="false">'🤖 Reka Flash'!G93</f>
        <v>0</v>
      </c>
      <c r="G588" s="119" t="n">
        <f aca="false">'🤖 Reka Flash'!H93</f>
        <v>0</v>
      </c>
      <c r="H588" s="119" t="n">
        <f aca="false">'🤖 Reka Flash'!I93</f>
        <v>0</v>
      </c>
      <c r="I588" s="119" t="n">
        <f aca="false">'🤖 Reka Flash'!J93</f>
        <v>0</v>
      </c>
    </row>
    <row r="589" customFormat="false" ht="15.75" hidden="false" customHeight="false" outlineLevel="0" collapsed="false">
      <c r="A589" s="118" t="n">
        <f aca="false">'🤖 Reka Flash'!$A$92</f>
        <v>0</v>
      </c>
      <c r="B589" s="4" t="s">
        <v>23</v>
      </c>
      <c r="C589" s="119" t="str">
        <f aca="false">'🤖 Reka Flash'!C94</f>
        <v>5W1H</v>
      </c>
      <c r="D589" s="160" t="n">
        <f aca="false">'🤖 Reka Flash'!E94</f>
        <v>0.004761904762</v>
      </c>
      <c r="E589" s="119" t="n">
        <f aca="false">'🤖 Reka Flash'!F94</f>
        <v>0</v>
      </c>
      <c r="F589" s="119" t="n">
        <f aca="false">'🤖 Reka Flash'!G94</f>
        <v>0</v>
      </c>
      <c r="G589" s="119" t="n">
        <f aca="false">'🤖 Reka Flash'!H94</f>
        <v>0</v>
      </c>
      <c r="H589" s="119" t="n">
        <f aca="false">'🤖 Reka Flash'!I94</f>
        <v>0</v>
      </c>
      <c r="I589" s="119" t="n">
        <f aca="false">'🤖 Reka Flash'!J94</f>
        <v>0</v>
      </c>
    </row>
    <row r="590" customFormat="false" ht="15.75" hidden="false" customHeight="false" outlineLevel="0" collapsed="false">
      <c r="A590" s="118" t="n">
        <f aca="false">'🤖 Reka Flash'!$A$92</f>
        <v>0</v>
      </c>
      <c r="B590" s="4" t="s">
        <v>23</v>
      </c>
      <c r="C590" s="119" t="str">
        <f aca="false">'🤖 Reka Flash'!C95</f>
        <v>tldr</v>
      </c>
      <c r="D590" s="160" t="n">
        <f aca="false">'🤖 Reka Flash'!E95</f>
        <v>0.004761904762</v>
      </c>
      <c r="E590" s="119" t="n">
        <f aca="false">'🤖 Reka Flash'!F95</f>
        <v>0</v>
      </c>
      <c r="F590" s="119" t="n">
        <f aca="false">'🤖 Reka Flash'!G95</f>
        <v>0</v>
      </c>
      <c r="G590" s="119" t="n">
        <f aca="false">'🤖 Reka Flash'!H95</f>
        <v>0</v>
      </c>
      <c r="H590" s="119" t="n">
        <f aca="false">'🤖 Reka Flash'!I95</f>
        <v>0</v>
      </c>
      <c r="I590" s="119" t="n">
        <f aca="false">'🤖 Reka Flash'!J95</f>
        <v>0</v>
      </c>
    </row>
    <row r="591" customFormat="false" ht="15.75" hidden="false" customHeight="false" outlineLevel="0" collapsed="false">
      <c r="A591" s="118"/>
      <c r="B591" s="4"/>
      <c r="C591" s="6"/>
      <c r="D591" s="160"/>
      <c r="E591" s="6"/>
      <c r="F591" s="6"/>
      <c r="G591" s="6"/>
      <c r="H591" s="6"/>
      <c r="I591" s="6"/>
    </row>
    <row r="592" customFormat="false" ht="15.75" hidden="false" customHeight="false" outlineLevel="0" collapsed="false">
      <c r="A592" s="118" t="n">
        <f aca="false">'🤖 Reka Flash'!$A$97</f>
        <v>0</v>
      </c>
      <c r="B592" s="4" t="s">
        <v>23</v>
      </c>
      <c r="C592" s="119" t="str">
        <f aca="false">'🤖 Reka Flash'!C97</f>
        <v>Base</v>
      </c>
      <c r="D592" s="160" t="n">
        <f aca="false">'🤖 Reka Flash'!E97</f>
        <v>0.004761904762</v>
      </c>
      <c r="E592" s="119" t="n">
        <f aca="false">'🤖 Reka Flash'!F97</f>
        <v>0</v>
      </c>
      <c r="F592" s="119" t="n">
        <f aca="false">'🤖 Reka Flash'!G97</f>
        <v>0</v>
      </c>
      <c r="G592" s="119" t="n">
        <f aca="false">'🤖 Reka Flash'!H97</f>
        <v>0</v>
      </c>
      <c r="H592" s="119" t="n">
        <f aca="false">'🤖 Reka Flash'!I97</f>
        <v>0</v>
      </c>
      <c r="I592" s="119" t="n">
        <f aca="false">'🤖 Reka Flash'!J97</f>
        <v>0</v>
      </c>
    </row>
    <row r="593" customFormat="false" ht="15.75" hidden="false" customHeight="false" outlineLevel="0" collapsed="false">
      <c r="A593" s="118" t="n">
        <f aca="false">'🤖 Reka Flash'!$A$97</f>
        <v>0</v>
      </c>
      <c r="B593" s="4" t="s">
        <v>23</v>
      </c>
      <c r="C593" s="119" t="str">
        <f aca="false">'🤖 Reka Flash'!C98</f>
        <v>CoT</v>
      </c>
      <c r="D593" s="160" t="n">
        <f aca="false">'🤖 Reka Flash'!E98</f>
        <v>0.004761904762</v>
      </c>
      <c r="E593" s="119" t="n">
        <f aca="false">'🤖 Reka Flash'!F98</f>
        <v>0</v>
      </c>
      <c r="F593" s="119" t="n">
        <f aca="false">'🤖 Reka Flash'!G98</f>
        <v>0</v>
      </c>
      <c r="G593" s="119" t="n">
        <f aca="false">'🤖 Reka Flash'!H98</f>
        <v>0</v>
      </c>
      <c r="H593" s="119" t="n">
        <f aca="false">'🤖 Reka Flash'!I98</f>
        <v>0</v>
      </c>
      <c r="I593" s="119" t="n">
        <f aca="false">'🤖 Reka Flash'!J98</f>
        <v>0</v>
      </c>
    </row>
    <row r="594" customFormat="false" ht="15.75" hidden="false" customHeight="false" outlineLevel="0" collapsed="false">
      <c r="A594" s="118" t="n">
        <f aca="false">'🤖 Reka Flash'!$A$97</f>
        <v>0</v>
      </c>
      <c r="B594" s="4" t="s">
        <v>23</v>
      </c>
      <c r="C594" s="119" t="str">
        <f aca="false">'🤖 Reka Flash'!C99</f>
        <v>5W1H</v>
      </c>
      <c r="D594" s="160" t="n">
        <f aca="false">'🤖 Reka Flash'!E99</f>
        <v>0.004761904762</v>
      </c>
      <c r="E594" s="119" t="n">
        <f aca="false">'🤖 Reka Flash'!F99</f>
        <v>0</v>
      </c>
      <c r="F594" s="119" t="n">
        <f aca="false">'🤖 Reka Flash'!G99</f>
        <v>0</v>
      </c>
      <c r="G594" s="119" t="n">
        <f aca="false">'🤖 Reka Flash'!H99</f>
        <v>0</v>
      </c>
      <c r="H594" s="119" t="n">
        <f aca="false">'🤖 Reka Flash'!I99</f>
        <v>0</v>
      </c>
      <c r="I594" s="119" t="n">
        <f aca="false">'🤖 Reka Flash'!J99</f>
        <v>0</v>
      </c>
    </row>
    <row r="595" customFormat="false" ht="15.75" hidden="false" customHeight="false" outlineLevel="0" collapsed="false">
      <c r="A595" s="118" t="n">
        <f aca="false">'🤖 Reka Flash'!$A$97</f>
        <v>0</v>
      </c>
      <c r="B595" s="4" t="s">
        <v>23</v>
      </c>
      <c r="C595" s="119" t="str">
        <f aca="false">'🤖 Reka Flash'!C100</f>
        <v>tldr</v>
      </c>
      <c r="D595" s="160" t="n">
        <f aca="false">'🤖 Reka Flash'!E100</f>
        <v>0.004761904762</v>
      </c>
      <c r="E595" s="119" t="n">
        <f aca="false">'🤖 Reka Flash'!F100</f>
        <v>0</v>
      </c>
      <c r="F595" s="119" t="n">
        <f aca="false">'🤖 Reka Flash'!G100</f>
        <v>0</v>
      </c>
      <c r="G595" s="119" t="n">
        <f aca="false">'🤖 Reka Flash'!H100</f>
        <v>0</v>
      </c>
      <c r="H595" s="119" t="n">
        <f aca="false">'🤖 Reka Flash'!I100</f>
        <v>0</v>
      </c>
      <c r="I595" s="119" t="n">
        <f aca="false">'🤖 Reka Flash'!J100</f>
        <v>0</v>
      </c>
    </row>
    <row r="596" customFormat="false" ht="15.75" hidden="false" customHeight="false" outlineLevel="0" collapsed="false">
      <c r="A596" s="118"/>
      <c r="B596" s="4"/>
      <c r="C596" s="6"/>
      <c r="D596" s="160"/>
      <c r="E596" s="6"/>
      <c r="F596" s="6"/>
      <c r="G596" s="6"/>
      <c r="H596" s="6"/>
      <c r="I596" s="6"/>
    </row>
    <row r="597" customFormat="false" ht="15.75" hidden="false" customHeight="false" outlineLevel="0" collapsed="false">
      <c r="A597" s="118" t="n">
        <f aca="false">'🤖 Reka Flash'!$A$102</f>
        <v>0</v>
      </c>
      <c r="B597" s="4" t="s">
        <v>23</v>
      </c>
      <c r="C597" s="119" t="str">
        <f aca="false">'🤖 Reka Flash'!C102</f>
        <v>Base</v>
      </c>
      <c r="D597" s="160" t="n">
        <f aca="false">'🤖 Reka Flash'!E102</f>
        <v>0.004761904762</v>
      </c>
      <c r="E597" s="119" t="n">
        <f aca="false">'🤖 Reka Flash'!F102</f>
        <v>0</v>
      </c>
      <c r="F597" s="119" t="n">
        <f aca="false">'🤖 Reka Flash'!G102</f>
        <v>0</v>
      </c>
      <c r="G597" s="119" t="n">
        <f aca="false">'🤖 Reka Flash'!H102</f>
        <v>0</v>
      </c>
      <c r="H597" s="119" t="n">
        <f aca="false">'🤖 Reka Flash'!I102</f>
        <v>0</v>
      </c>
      <c r="I597" s="119" t="n">
        <f aca="false">'🤖 Reka Flash'!J102</f>
        <v>0</v>
      </c>
    </row>
    <row r="598" customFormat="false" ht="15.75" hidden="false" customHeight="false" outlineLevel="0" collapsed="false">
      <c r="A598" s="118" t="n">
        <f aca="false">'🤖 Reka Flash'!$A$102</f>
        <v>0</v>
      </c>
      <c r="B598" s="4" t="s">
        <v>23</v>
      </c>
      <c r="C598" s="119" t="str">
        <f aca="false">'🤖 Reka Flash'!C103</f>
        <v>CoT</v>
      </c>
      <c r="D598" s="160" t="n">
        <f aca="false">'🤖 Reka Flash'!E103</f>
        <v>0.004761904762</v>
      </c>
      <c r="E598" s="119" t="n">
        <f aca="false">'🤖 Reka Flash'!F103</f>
        <v>0</v>
      </c>
      <c r="F598" s="119" t="n">
        <f aca="false">'🤖 Reka Flash'!G103</f>
        <v>0</v>
      </c>
      <c r="G598" s="119" t="n">
        <f aca="false">'🤖 Reka Flash'!H103</f>
        <v>0</v>
      </c>
      <c r="H598" s="119" t="n">
        <f aca="false">'🤖 Reka Flash'!I103</f>
        <v>0</v>
      </c>
      <c r="I598" s="119" t="n">
        <f aca="false">'🤖 Reka Flash'!J103</f>
        <v>0</v>
      </c>
    </row>
    <row r="599" customFormat="false" ht="15.75" hidden="false" customHeight="false" outlineLevel="0" collapsed="false">
      <c r="A599" s="118" t="n">
        <f aca="false">'🤖 Reka Flash'!$A$102</f>
        <v>0</v>
      </c>
      <c r="B599" s="4" t="s">
        <v>23</v>
      </c>
      <c r="C599" s="119" t="str">
        <f aca="false">'🤖 Reka Flash'!C104</f>
        <v>5W1H</v>
      </c>
      <c r="D599" s="160" t="n">
        <f aca="false">'🤖 Reka Flash'!E104</f>
        <v>0.004761904762</v>
      </c>
      <c r="E599" s="119" t="n">
        <f aca="false">'🤖 Reka Flash'!F104</f>
        <v>0</v>
      </c>
      <c r="F599" s="119" t="n">
        <f aca="false">'🤖 Reka Flash'!G104</f>
        <v>0</v>
      </c>
      <c r="G599" s="119" t="n">
        <f aca="false">'🤖 Reka Flash'!H104</f>
        <v>0</v>
      </c>
      <c r="H599" s="119" t="n">
        <f aca="false">'🤖 Reka Flash'!I104</f>
        <v>0</v>
      </c>
      <c r="I599" s="119" t="n">
        <f aca="false">'🤖 Reka Flash'!J104</f>
        <v>0</v>
      </c>
    </row>
    <row r="600" customFormat="false" ht="15.75" hidden="false" customHeight="false" outlineLevel="0" collapsed="false">
      <c r="A600" s="118" t="n">
        <f aca="false">'🤖 Reka Flash'!$A$102</f>
        <v>0</v>
      </c>
      <c r="B600" s="4" t="s">
        <v>23</v>
      </c>
      <c r="C600" s="119" t="str">
        <f aca="false">'🤖 Reka Flash'!C105</f>
        <v>tldr</v>
      </c>
      <c r="D600" s="160" t="n">
        <f aca="false">'🤖 Reka Flash'!E105</f>
        <v>0.004761904762</v>
      </c>
      <c r="E600" s="119" t="n">
        <f aca="false">'🤖 Reka Flash'!F105</f>
        <v>0</v>
      </c>
      <c r="F600" s="119" t="n">
        <f aca="false">'🤖 Reka Flash'!G105</f>
        <v>0</v>
      </c>
      <c r="G600" s="119" t="n">
        <f aca="false">'🤖 Reka Flash'!H105</f>
        <v>0</v>
      </c>
      <c r="H600" s="119" t="n">
        <f aca="false">'🤖 Reka Flash'!I105</f>
        <v>0</v>
      </c>
      <c r="I600" s="119" t="n">
        <f aca="false">'🤖 Reka Flash'!J105</f>
        <v>0</v>
      </c>
    </row>
    <row r="601" customFormat="false" ht="15.75" hidden="false" customHeight="false" outlineLevel="0" collapsed="false">
      <c r="A601" s="118"/>
      <c r="B601" s="4"/>
      <c r="C601" s="6"/>
      <c r="D601" s="160"/>
      <c r="E601" s="6"/>
      <c r="F601" s="6"/>
      <c r="G601" s="6"/>
      <c r="H601" s="6"/>
      <c r="I601" s="6"/>
    </row>
    <row r="602" customFormat="false" ht="15.75" hidden="false" customHeight="false" outlineLevel="0" collapsed="false">
      <c r="A602" s="118" t="n">
        <f aca="false">'🤖 Reka Flash'!$A$107</f>
        <v>0</v>
      </c>
      <c r="B602" s="4" t="s">
        <v>23</v>
      </c>
      <c r="C602" s="119" t="str">
        <f aca="false">'🤖 Reka Flash'!C107</f>
        <v>Base</v>
      </c>
      <c r="D602" s="160" t="n">
        <f aca="false">'🤖 Reka Flash'!E107</f>
        <v>0.004761904762</v>
      </c>
      <c r="E602" s="119" t="n">
        <f aca="false">'🤖 Reka Flash'!F107</f>
        <v>0</v>
      </c>
      <c r="F602" s="119" t="n">
        <f aca="false">'🤖 Reka Flash'!G107</f>
        <v>0</v>
      </c>
      <c r="G602" s="119" t="n">
        <f aca="false">'🤖 Reka Flash'!H107</f>
        <v>0</v>
      </c>
      <c r="H602" s="119" t="n">
        <f aca="false">'🤖 Reka Flash'!I107</f>
        <v>0</v>
      </c>
      <c r="I602" s="119" t="n">
        <f aca="false">'🤖 Reka Flash'!J107</f>
        <v>0</v>
      </c>
    </row>
    <row r="603" customFormat="false" ht="15.75" hidden="false" customHeight="false" outlineLevel="0" collapsed="false">
      <c r="A603" s="118" t="n">
        <f aca="false">'🤖 Reka Flash'!$A$107</f>
        <v>0</v>
      </c>
      <c r="B603" s="4" t="s">
        <v>23</v>
      </c>
      <c r="C603" s="119" t="str">
        <f aca="false">'🤖 Reka Flash'!C108</f>
        <v>CoT</v>
      </c>
      <c r="D603" s="160" t="n">
        <f aca="false">'🤖 Reka Flash'!E108</f>
        <v>0.004761904762</v>
      </c>
      <c r="E603" s="119" t="n">
        <f aca="false">'🤖 Reka Flash'!F108</f>
        <v>0</v>
      </c>
      <c r="F603" s="119" t="n">
        <f aca="false">'🤖 Reka Flash'!G108</f>
        <v>0</v>
      </c>
      <c r="G603" s="119" t="n">
        <f aca="false">'🤖 Reka Flash'!H108</f>
        <v>0</v>
      </c>
      <c r="H603" s="119" t="n">
        <f aca="false">'🤖 Reka Flash'!I108</f>
        <v>0</v>
      </c>
      <c r="I603" s="119" t="n">
        <f aca="false">'🤖 Reka Flash'!J108</f>
        <v>0</v>
      </c>
    </row>
    <row r="604" customFormat="false" ht="15.75" hidden="false" customHeight="false" outlineLevel="0" collapsed="false">
      <c r="A604" s="118" t="n">
        <f aca="false">'🤖 Reka Flash'!$A$107</f>
        <v>0</v>
      </c>
      <c r="B604" s="4" t="s">
        <v>23</v>
      </c>
      <c r="C604" s="119" t="str">
        <f aca="false">'🤖 Reka Flash'!C109</f>
        <v>5W1H</v>
      </c>
      <c r="D604" s="160" t="n">
        <f aca="false">'🤖 Reka Flash'!E109</f>
        <v>0.004761904762</v>
      </c>
      <c r="E604" s="119" t="n">
        <f aca="false">'🤖 Reka Flash'!F109</f>
        <v>0</v>
      </c>
      <c r="F604" s="119" t="n">
        <f aca="false">'🤖 Reka Flash'!G109</f>
        <v>0</v>
      </c>
      <c r="G604" s="119" t="n">
        <f aca="false">'🤖 Reka Flash'!H109</f>
        <v>0</v>
      </c>
      <c r="H604" s="119" t="n">
        <f aca="false">'🤖 Reka Flash'!I109</f>
        <v>0</v>
      </c>
      <c r="I604" s="119" t="n">
        <f aca="false">'🤖 Reka Flash'!J109</f>
        <v>0</v>
      </c>
    </row>
    <row r="605" customFormat="false" ht="15.75" hidden="false" customHeight="false" outlineLevel="0" collapsed="false">
      <c r="A605" s="118" t="n">
        <f aca="false">'🤖 Reka Flash'!$A$107</f>
        <v>0</v>
      </c>
      <c r="B605" s="4" t="s">
        <v>23</v>
      </c>
      <c r="C605" s="119" t="str">
        <f aca="false">'🤖 Reka Flash'!C110</f>
        <v>tldr</v>
      </c>
      <c r="D605" s="160" t="n">
        <f aca="false">'🤖 Reka Flash'!E110</f>
        <v>0.004761904762</v>
      </c>
      <c r="E605" s="119" t="n">
        <f aca="false">'🤖 Reka Flash'!F110</f>
        <v>0</v>
      </c>
      <c r="F605" s="119" t="n">
        <f aca="false">'🤖 Reka Flash'!G110</f>
        <v>0</v>
      </c>
      <c r="G605" s="119" t="n">
        <f aca="false">'🤖 Reka Flash'!H110</f>
        <v>0</v>
      </c>
      <c r="H605" s="119" t="n">
        <f aca="false">'🤖 Reka Flash'!I110</f>
        <v>0</v>
      </c>
      <c r="I605" s="119" t="n">
        <f aca="false">'🤖 Reka Flash'!J110</f>
        <v>0</v>
      </c>
    </row>
    <row r="606" customFormat="false" ht="15.75" hidden="false" customHeight="false" outlineLevel="0" collapsed="false">
      <c r="A606" s="118"/>
      <c r="B606" s="4"/>
      <c r="C606" s="6"/>
      <c r="D606" s="160"/>
      <c r="E606" s="6"/>
      <c r="F606" s="6"/>
      <c r="G606" s="6"/>
      <c r="H606" s="6"/>
      <c r="I606" s="6"/>
    </row>
    <row r="607" customFormat="false" ht="15.75" hidden="false" customHeight="false" outlineLevel="0" collapsed="false">
      <c r="A607" s="118" t="n">
        <f aca="false">'🤖 Reka Flash'!$A$112</f>
        <v>0</v>
      </c>
      <c r="B607" s="4" t="s">
        <v>23</v>
      </c>
      <c r="C607" s="119" t="str">
        <f aca="false">'🤖 Reka Flash'!C112</f>
        <v>Base</v>
      </c>
      <c r="D607" s="160" t="n">
        <f aca="false">'🤖 Reka Flash'!E112</f>
        <v>0.004761904762</v>
      </c>
      <c r="E607" s="119" t="n">
        <f aca="false">'🤖 Reka Flash'!F112</f>
        <v>0</v>
      </c>
      <c r="F607" s="119" t="n">
        <f aca="false">'🤖 Reka Flash'!G112</f>
        <v>0</v>
      </c>
      <c r="G607" s="119" t="n">
        <f aca="false">'🤖 Reka Flash'!H112</f>
        <v>0</v>
      </c>
      <c r="H607" s="119" t="n">
        <f aca="false">'🤖 Reka Flash'!I112</f>
        <v>0</v>
      </c>
      <c r="I607" s="119" t="n">
        <f aca="false">'🤖 Reka Flash'!J112</f>
        <v>0</v>
      </c>
    </row>
    <row r="608" customFormat="false" ht="15.75" hidden="false" customHeight="false" outlineLevel="0" collapsed="false">
      <c r="A608" s="118" t="n">
        <f aca="false">'🤖 Reka Flash'!$A$112</f>
        <v>0</v>
      </c>
      <c r="B608" s="4" t="s">
        <v>23</v>
      </c>
      <c r="C608" s="119" t="str">
        <f aca="false">'🤖 Reka Flash'!C113</f>
        <v>CoT</v>
      </c>
      <c r="D608" s="160" t="n">
        <f aca="false">'🤖 Reka Flash'!E113</f>
        <v>0.004761904762</v>
      </c>
      <c r="E608" s="119" t="n">
        <f aca="false">'🤖 Reka Flash'!F113</f>
        <v>0</v>
      </c>
      <c r="F608" s="119" t="n">
        <f aca="false">'🤖 Reka Flash'!G113</f>
        <v>0</v>
      </c>
      <c r="G608" s="119" t="n">
        <f aca="false">'🤖 Reka Flash'!H113</f>
        <v>0</v>
      </c>
      <c r="H608" s="119" t="n">
        <f aca="false">'🤖 Reka Flash'!I113</f>
        <v>0</v>
      </c>
      <c r="I608" s="119" t="n">
        <f aca="false">'🤖 Reka Flash'!J113</f>
        <v>0</v>
      </c>
    </row>
    <row r="609" customFormat="false" ht="15.75" hidden="false" customHeight="false" outlineLevel="0" collapsed="false">
      <c r="A609" s="118" t="n">
        <f aca="false">'🤖 Reka Flash'!$A$112</f>
        <v>0</v>
      </c>
      <c r="B609" s="4" t="s">
        <v>23</v>
      </c>
      <c r="C609" s="119" t="str">
        <f aca="false">'🤖 Reka Flash'!C114</f>
        <v>5W1H</v>
      </c>
      <c r="D609" s="160" t="n">
        <f aca="false">'🤖 Reka Flash'!E114</f>
        <v>0.004761904762</v>
      </c>
      <c r="E609" s="119" t="n">
        <f aca="false">'🤖 Reka Flash'!F114</f>
        <v>0</v>
      </c>
      <c r="F609" s="119" t="n">
        <f aca="false">'🤖 Reka Flash'!G114</f>
        <v>0</v>
      </c>
      <c r="G609" s="119" t="n">
        <f aca="false">'🤖 Reka Flash'!H114</f>
        <v>0</v>
      </c>
      <c r="H609" s="119" t="n">
        <f aca="false">'🤖 Reka Flash'!I114</f>
        <v>0</v>
      </c>
      <c r="I609" s="119" t="n">
        <f aca="false">'🤖 Reka Flash'!J114</f>
        <v>0</v>
      </c>
    </row>
    <row r="610" customFormat="false" ht="15.75" hidden="false" customHeight="false" outlineLevel="0" collapsed="false">
      <c r="A610" s="118" t="n">
        <f aca="false">'🤖 Reka Flash'!$A$112</f>
        <v>0</v>
      </c>
      <c r="B610" s="4" t="s">
        <v>23</v>
      </c>
      <c r="C610" s="119" t="str">
        <f aca="false">'🤖 Reka Flash'!C115</f>
        <v>tldr</v>
      </c>
      <c r="D610" s="160" t="n">
        <f aca="false">'🤖 Reka Flash'!E115</f>
        <v>0.004761904762</v>
      </c>
      <c r="E610" s="119" t="n">
        <f aca="false">'🤖 Reka Flash'!F115</f>
        <v>0</v>
      </c>
      <c r="F610" s="119" t="n">
        <f aca="false">'🤖 Reka Flash'!G115</f>
        <v>0</v>
      </c>
      <c r="G610" s="119" t="n">
        <f aca="false">'🤖 Reka Flash'!H115</f>
        <v>0</v>
      </c>
      <c r="H610" s="119" t="n">
        <f aca="false">'🤖 Reka Flash'!I115</f>
        <v>0</v>
      </c>
      <c r="I610" s="119" t="n">
        <f aca="false">'🤖 Reka Flash'!J115</f>
        <v>0</v>
      </c>
    </row>
    <row r="611" customFormat="false" ht="15.75" hidden="false" customHeight="false" outlineLevel="0" collapsed="false">
      <c r="A611" s="118"/>
      <c r="B611" s="4"/>
      <c r="C611" s="6"/>
      <c r="D611" s="160"/>
      <c r="E611" s="6"/>
      <c r="F611" s="6"/>
      <c r="G611" s="6"/>
      <c r="H611" s="6"/>
      <c r="I611" s="6"/>
    </row>
    <row r="612" customFormat="false" ht="15.75" hidden="false" customHeight="false" outlineLevel="0" collapsed="false">
      <c r="A612" s="118" t="n">
        <f aca="false">'🤖 Reka Flash'!$A$117</f>
        <v>0</v>
      </c>
      <c r="B612" s="4" t="s">
        <v>23</v>
      </c>
      <c r="C612" s="119" t="str">
        <f aca="false">'🤖 Reka Flash'!C117</f>
        <v>Base</v>
      </c>
      <c r="D612" s="160" t="n">
        <f aca="false">'🤖 Reka Flash'!E117</f>
        <v>0.004761904762</v>
      </c>
      <c r="E612" s="119" t="n">
        <f aca="false">'🤖 Reka Flash'!F117</f>
        <v>0</v>
      </c>
      <c r="F612" s="119" t="n">
        <f aca="false">'🤖 Reka Flash'!G117</f>
        <v>0</v>
      </c>
      <c r="G612" s="119" t="n">
        <f aca="false">'🤖 Reka Flash'!H117</f>
        <v>0</v>
      </c>
      <c r="H612" s="119" t="n">
        <f aca="false">'🤖 Reka Flash'!I117</f>
        <v>0</v>
      </c>
      <c r="I612" s="119" t="n">
        <f aca="false">'🤖 Reka Flash'!J117</f>
        <v>0</v>
      </c>
    </row>
    <row r="613" customFormat="false" ht="15.75" hidden="false" customHeight="false" outlineLevel="0" collapsed="false">
      <c r="A613" s="118" t="n">
        <f aca="false">'🤖 Reka Flash'!$A$117</f>
        <v>0</v>
      </c>
      <c r="B613" s="4" t="s">
        <v>23</v>
      </c>
      <c r="C613" s="119" t="str">
        <f aca="false">'🤖 Reka Flash'!C118</f>
        <v>CoT</v>
      </c>
      <c r="D613" s="160" t="n">
        <f aca="false">'🤖 Reka Flash'!E118</f>
        <v>0.004761904762</v>
      </c>
      <c r="E613" s="119" t="n">
        <f aca="false">'🤖 Reka Flash'!F118</f>
        <v>0</v>
      </c>
      <c r="F613" s="119" t="n">
        <f aca="false">'🤖 Reka Flash'!G118</f>
        <v>0</v>
      </c>
      <c r="G613" s="119" t="n">
        <f aca="false">'🤖 Reka Flash'!H118</f>
        <v>0</v>
      </c>
      <c r="H613" s="119" t="n">
        <f aca="false">'🤖 Reka Flash'!I118</f>
        <v>0</v>
      </c>
      <c r="I613" s="119" t="n">
        <f aca="false">'🤖 Reka Flash'!J118</f>
        <v>0</v>
      </c>
    </row>
    <row r="614" customFormat="false" ht="15.75" hidden="false" customHeight="false" outlineLevel="0" collapsed="false">
      <c r="A614" s="118" t="n">
        <f aca="false">'🤖 Reka Flash'!$A$117</f>
        <v>0</v>
      </c>
      <c r="B614" s="4" t="s">
        <v>23</v>
      </c>
      <c r="C614" s="119" t="str">
        <f aca="false">'🤖 Reka Flash'!C119</f>
        <v>5W1H</v>
      </c>
      <c r="D614" s="160" t="n">
        <f aca="false">'🤖 Reka Flash'!E119</f>
        <v>0.004761904762</v>
      </c>
      <c r="E614" s="119" t="n">
        <f aca="false">'🤖 Reka Flash'!F119</f>
        <v>0</v>
      </c>
      <c r="F614" s="119" t="n">
        <f aca="false">'🤖 Reka Flash'!G119</f>
        <v>0</v>
      </c>
      <c r="G614" s="119" t="n">
        <f aca="false">'🤖 Reka Flash'!H119</f>
        <v>0</v>
      </c>
      <c r="H614" s="119" t="n">
        <f aca="false">'🤖 Reka Flash'!I119</f>
        <v>0</v>
      </c>
      <c r="I614" s="119" t="n">
        <f aca="false">'🤖 Reka Flash'!J119</f>
        <v>0</v>
      </c>
    </row>
    <row r="615" customFormat="false" ht="15.75" hidden="false" customHeight="false" outlineLevel="0" collapsed="false">
      <c r="A615" s="118" t="n">
        <f aca="false">'🤖 Reka Flash'!$A$117</f>
        <v>0</v>
      </c>
      <c r="B615" s="4" t="s">
        <v>23</v>
      </c>
      <c r="C615" s="119" t="str">
        <f aca="false">'🤖 Reka Flash'!C120</f>
        <v>tldr</v>
      </c>
      <c r="D615" s="160" t="n">
        <f aca="false">'🤖 Reka Flash'!E120</f>
        <v>0.004761904762</v>
      </c>
      <c r="E615" s="119" t="n">
        <f aca="false">'🤖 Reka Flash'!F120</f>
        <v>0</v>
      </c>
      <c r="F615" s="119" t="n">
        <f aca="false">'🤖 Reka Flash'!G120</f>
        <v>0</v>
      </c>
      <c r="G615" s="119" t="n">
        <f aca="false">'🤖 Reka Flash'!H120</f>
        <v>0</v>
      </c>
      <c r="H615" s="119" t="n">
        <f aca="false">'🤖 Reka Flash'!I120</f>
        <v>0</v>
      </c>
      <c r="I615" s="119" t="n">
        <f aca="false">'🤖 Reka Flash'!J120</f>
        <v>0</v>
      </c>
    </row>
    <row r="616" customFormat="false" ht="15.75" hidden="false" customHeight="false" outlineLevel="0" collapsed="false">
      <c r="A616" s="118"/>
      <c r="B616" s="4"/>
      <c r="C616" s="6"/>
      <c r="D616" s="160"/>
      <c r="E616" s="6"/>
      <c r="F616" s="6"/>
      <c r="G616" s="6"/>
      <c r="H616" s="6"/>
      <c r="I616" s="6"/>
    </row>
    <row r="617" customFormat="false" ht="15.75" hidden="false" customHeight="false" outlineLevel="0" collapsed="false">
      <c r="A617" s="118" t="n">
        <f aca="false">'🤖 Reka Flash'!$A$122</f>
        <v>0</v>
      </c>
      <c r="B617" s="4" t="s">
        <v>23</v>
      </c>
      <c r="C617" s="119" t="str">
        <f aca="false">'🤖 Reka Flash'!C122</f>
        <v>Base</v>
      </c>
      <c r="D617" s="160" t="n">
        <f aca="false">'🤖 Reka Flash'!E122</f>
        <v>0.004761904762</v>
      </c>
      <c r="E617" s="119" t="n">
        <f aca="false">'🤖 Reka Flash'!F122</f>
        <v>0</v>
      </c>
      <c r="F617" s="119" t="n">
        <f aca="false">'🤖 Reka Flash'!G122</f>
        <v>0</v>
      </c>
      <c r="G617" s="119" t="n">
        <f aca="false">'🤖 Reka Flash'!H122</f>
        <v>0</v>
      </c>
      <c r="H617" s="119" t="n">
        <f aca="false">'🤖 Reka Flash'!I122</f>
        <v>0</v>
      </c>
      <c r="I617" s="119" t="n">
        <f aca="false">'🤖 Reka Flash'!J122</f>
        <v>0</v>
      </c>
    </row>
    <row r="618" customFormat="false" ht="15.75" hidden="false" customHeight="false" outlineLevel="0" collapsed="false">
      <c r="A618" s="118" t="n">
        <f aca="false">'🤖 Reka Flash'!$A$122</f>
        <v>0</v>
      </c>
      <c r="B618" s="4" t="s">
        <v>23</v>
      </c>
      <c r="C618" s="119" t="str">
        <f aca="false">'🤖 Reka Flash'!C123</f>
        <v>CoT</v>
      </c>
      <c r="D618" s="160" t="n">
        <f aca="false">'🤖 Reka Flash'!E123</f>
        <v>0.004761904762</v>
      </c>
      <c r="E618" s="119" t="n">
        <f aca="false">'🤖 Reka Flash'!F123</f>
        <v>0</v>
      </c>
      <c r="F618" s="119" t="n">
        <f aca="false">'🤖 Reka Flash'!G123</f>
        <v>0</v>
      </c>
      <c r="G618" s="119" t="n">
        <f aca="false">'🤖 Reka Flash'!H123</f>
        <v>0</v>
      </c>
      <c r="H618" s="119" t="n">
        <f aca="false">'🤖 Reka Flash'!I123</f>
        <v>0</v>
      </c>
      <c r="I618" s="119" t="n">
        <f aca="false">'🤖 Reka Flash'!J123</f>
        <v>0</v>
      </c>
    </row>
    <row r="619" customFormat="false" ht="15.75" hidden="false" customHeight="false" outlineLevel="0" collapsed="false">
      <c r="A619" s="118" t="n">
        <f aca="false">'🤖 Reka Flash'!$A$122</f>
        <v>0</v>
      </c>
      <c r="B619" s="4" t="s">
        <v>23</v>
      </c>
      <c r="C619" s="119" t="str">
        <f aca="false">'🤖 Reka Flash'!C124</f>
        <v>5W1H</v>
      </c>
      <c r="D619" s="160" t="n">
        <f aca="false">'🤖 Reka Flash'!E124</f>
        <v>0.004761904762</v>
      </c>
      <c r="E619" s="119" t="n">
        <f aca="false">'🤖 Reka Flash'!F124</f>
        <v>0</v>
      </c>
      <c r="F619" s="119" t="n">
        <f aca="false">'🤖 Reka Flash'!G124</f>
        <v>0</v>
      </c>
      <c r="G619" s="119" t="n">
        <f aca="false">'🤖 Reka Flash'!H124</f>
        <v>0</v>
      </c>
      <c r="H619" s="119" t="n">
        <f aca="false">'🤖 Reka Flash'!I124</f>
        <v>0</v>
      </c>
      <c r="I619" s="119" t="n">
        <f aca="false">'🤖 Reka Flash'!J124</f>
        <v>0</v>
      </c>
    </row>
    <row r="620" customFormat="false" ht="15.75" hidden="false" customHeight="false" outlineLevel="0" collapsed="false">
      <c r="A620" s="118" t="n">
        <f aca="false">'🤖 Reka Flash'!$A$122</f>
        <v>0</v>
      </c>
      <c r="B620" s="4" t="s">
        <v>23</v>
      </c>
      <c r="C620" s="119" t="str">
        <f aca="false">'🤖 Reka Flash'!C125</f>
        <v>tldr</v>
      </c>
      <c r="D620" s="160" t="n">
        <f aca="false">'🤖 Reka Flash'!E125</f>
        <v>0.004761904762</v>
      </c>
      <c r="E620" s="119" t="n">
        <f aca="false">'🤖 Reka Flash'!F125</f>
        <v>0</v>
      </c>
      <c r="F620" s="119" t="n">
        <f aca="false">'🤖 Reka Flash'!G125</f>
        <v>0</v>
      </c>
      <c r="G620" s="119" t="n">
        <f aca="false">'🤖 Reka Flash'!H125</f>
        <v>0</v>
      </c>
      <c r="H620" s="119" t="n">
        <f aca="false">'🤖 Reka Flash'!I125</f>
        <v>0</v>
      </c>
      <c r="I620" s="119" t="n">
        <f aca="false">'🤖 Reka Flash'!J125</f>
        <v>0</v>
      </c>
    </row>
    <row r="621" customFormat="false" ht="15.75" hidden="false" customHeight="false" outlineLevel="0" collapsed="false">
      <c r="A621" s="118"/>
      <c r="B621" s="4"/>
      <c r="C621" s="6"/>
      <c r="D621" s="160"/>
      <c r="E621" s="6"/>
      <c r="F621" s="6"/>
      <c r="G621" s="6"/>
      <c r="H621" s="6"/>
      <c r="I621" s="6"/>
    </row>
    <row r="622" customFormat="false" ht="15.75" hidden="false" customHeight="false" outlineLevel="0" collapsed="false">
      <c r="A622" s="118" t="n">
        <f aca="false">'🤖 Reka Flash'!$A$127</f>
        <v>0</v>
      </c>
      <c r="B622" s="4" t="s">
        <v>23</v>
      </c>
      <c r="C622" s="119" t="str">
        <f aca="false">'🤖 Reka Flash'!C127</f>
        <v>Base</v>
      </c>
      <c r="D622" s="160" t="n">
        <f aca="false">'🤖 Reka Flash'!E127</f>
        <v>0.004761904762</v>
      </c>
      <c r="E622" s="119" t="n">
        <f aca="false">'🤖 Reka Flash'!F127</f>
        <v>0</v>
      </c>
      <c r="F622" s="119" t="n">
        <f aca="false">'🤖 Reka Flash'!G127</f>
        <v>0</v>
      </c>
      <c r="G622" s="119" t="n">
        <f aca="false">'🤖 Reka Flash'!H127</f>
        <v>0</v>
      </c>
      <c r="H622" s="119" t="n">
        <f aca="false">'🤖 Reka Flash'!I127</f>
        <v>0</v>
      </c>
      <c r="I622" s="119" t="n">
        <f aca="false">'🤖 Reka Flash'!J127</f>
        <v>0</v>
      </c>
    </row>
    <row r="623" customFormat="false" ht="15.75" hidden="false" customHeight="false" outlineLevel="0" collapsed="false">
      <c r="A623" s="118" t="n">
        <f aca="false">'🤖 Reka Flash'!$A$127</f>
        <v>0</v>
      </c>
      <c r="B623" s="4" t="s">
        <v>23</v>
      </c>
      <c r="C623" s="119" t="str">
        <f aca="false">'🤖 Reka Flash'!C128</f>
        <v>CoT</v>
      </c>
      <c r="D623" s="160" t="n">
        <f aca="false">'🤖 Reka Flash'!E128</f>
        <v>0.004761904762</v>
      </c>
      <c r="E623" s="119" t="n">
        <f aca="false">'🤖 Reka Flash'!F128</f>
        <v>0</v>
      </c>
      <c r="F623" s="119" t="n">
        <f aca="false">'🤖 Reka Flash'!G128</f>
        <v>0</v>
      </c>
      <c r="G623" s="119" t="n">
        <f aca="false">'🤖 Reka Flash'!H128</f>
        <v>0</v>
      </c>
      <c r="H623" s="119" t="n">
        <f aca="false">'🤖 Reka Flash'!I128</f>
        <v>0</v>
      </c>
      <c r="I623" s="119" t="n">
        <f aca="false">'🤖 Reka Flash'!J128</f>
        <v>0</v>
      </c>
    </row>
    <row r="624" customFormat="false" ht="15.75" hidden="false" customHeight="false" outlineLevel="0" collapsed="false">
      <c r="A624" s="118" t="n">
        <f aca="false">'🤖 Reka Flash'!$A$127</f>
        <v>0</v>
      </c>
      <c r="B624" s="4" t="s">
        <v>23</v>
      </c>
      <c r="C624" s="119" t="str">
        <f aca="false">'🤖 Reka Flash'!C129</f>
        <v>5W1H</v>
      </c>
      <c r="D624" s="160" t="n">
        <f aca="false">'🤖 Reka Flash'!E129</f>
        <v>0.004761904762</v>
      </c>
      <c r="E624" s="119" t="n">
        <f aca="false">'🤖 Reka Flash'!F129</f>
        <v>0</v>
      </c>
      <c r="F624" s="119" t="n">
        <f aca="false">'🤖 Reka Flash'!G129</f>
        <v>0</v>
      </c>
      <c r="G624" s="119" t="n">
        <f aca="false">'🤖 Reka Flash'!H129</f>
        <v>0</v>
      </c>
      <c r="H624" s="119" t="n">
        <f aca="false">'🤖 Reka Flash'!I129</f>
        <v>0</v>
      </c>
      <c r="I624" s="119" t="n">
        <f aca="false">'🤖 Reka Flash'!J129</f>
        <v>0</v>
      </c>
    </row>
    <row r="625" customFormat="false" ht="15.75" hidden="false" customHeight="false" outlineLevel="0" collapsed="false">
      <c r="A625" s="118" t="n">
        <f aca="false">'🤖 Reka Flash'!$A$127</f>
        <v>0</v>
      </c>
      <c r="B625" s="4" t="s">
        <v>23</v>
      </c>
      <c r="C625" s="119" t="str">
        <f aca="false">'🤖 Reka Flash'!C130</f>
        <v>tldr</v>
      </c>
      <c r="D625" s="160" t="n">
        <f aca="false">'🤖 Reka Flash'!E130</f>
        <v>0.004761904762</v>
      </c>
      <c r="E625" s="119" t="n">
        <f aca="false">'🤖 Reka Flash'!F130</f>
        <v>0</v>
      </c>
      <c r="F625" s="119" t="n">
        <f aca="false">'🤖 Reka Flash'!G130</f>
        <v>0</v>
      </c>
      <c r="G625" s="119" t="n">
        <f aca="false">'🤖 Reka Flash'!H130</f>
        <v>0</v>
      </c>
      <c r="H625" s="119" t="n">
        <f aca="false">'🤖 Reka Flash'!I130</f>
        <v>0</v>
      </c>
      <c r="I625" s="119" t="n">
        <f aca="false">'🤖 Reka Flash'!J130</f>
        <v>0</v>
      </c>
    </row>
    <row r="626" customFormat="false" ht="15.75" hidden="false" customHeight="false" outlineLevel="0" collapsed="false">
      <c r="A626" s="118"/>
      <c r="B626" s="4"/>
      <c r="C626" s="6"/>
      <c r="D626" s="160"/>
      <c r="E626" s="6"/>
      <c r="F626" s="6"/>
      <c r="G626" s="6"/>
      <c r="H626" s="6"/>
      <c r="I626" s="6"/>
    </row>
    <row r="627" customFormat="false" ht="15.75" hidden="false" customHeight="false" outlineLevel="0" collapsed="false">
      <c r="A627" s="118" t="n">
        <f aca="false">'🤖 Reka Flash'!$A$132</f>
        <v>0</v>
      </c>
      <c r="B627" s="4" t="s">
        <v>23</v>
      </c>
      <c r="C627" s="119" t="str">
        <f aca="false">'🤖 Reka Flash'!C132</f>
        <v>Base</v>
      </c>
      <c r="D627" s="160" t="n">
        <f aca="false">'🤖 Reka Flash'!E132</f>
        <v>0.004761904762</v>
      </c>
      <c r="E627" s="119" t="n">
        <f aca="false">'🤖 Reka Flash'!F132</f>
        <v>0</v>
      </c>
      <c r="F627" s="119" t="n">
        <f aca="false">'🤖 Reka Flash'!G132</f>
        <v>0</v>
      </c>
      <c r="G627" s="119" t="n">
        <f aca="false">'🤖 Reka Flash'!H132</f>
        <v>0</v>
      </c>
      <c r="H627" s="119" t="n">
        <f aca="false">'🤖 Reka Flash'!I132</f>
        <v>0</v>
      </c>
      <c r="I627" s="119" t="n">
        <f aca="false">'🤖 Reka Flash'!J132</f>
        <v>0</v>
      </c>
    </row>
    <row r="628" customFormat="false" ht="15.75" hidden="false" customHeight="false" outlineLevel="0" collapsed="false">
      <c r="A628" s="118" t="n">
        <f aca="false">'🤖 Reka Flash'!$A$132</f>
        <v>0</v>
      </c>
      <c r="B628" s="4" t="s">
        <v>23</v>
      </c>
      <c r="C628" s="119" t="str">
        <f aca="false">'🤖 Reka Flash'!C133</f>
        <v>CoT</v>
      </c>
      <c r="D628" s="160" t="n">
        <f aca="false">'🤖 Reka Flash'!E133</f>
        <v>0.004761904762</v>
      </c>
      <c r="E628" s="119" t="n">
        <f aca="false">'🤖 Reka Flash'!F133</f>
        <v>0</v>
      </c>
      <c r="F628" s="119" t="n">
        <f aca="false">'🤖 Reka Flash'!G133</f>
        <v>0</v>
      </c>
      <c r="G628" s="119" t="n">
        <f aca="false">'🤖 Reka Flash'!H133</f>
        <v>0</v>
      </c>
      <c r="H628" s="119" t="n">
        <f aca="false">'🤖 Reka Flash'!I133</f>
        <v>0</v>
      </c>
      <c r="I628" s="119" t="n">
        <f aca="false">'🤖 Reka Flash'!J133</f>
        <v>0</v>
      </c>
    </row>
    <row r="629" customFormat="false" ht="15.75" hidden="false" customHeight="false" outlineLevel="0" collapsed="false">
      <c r="A629" s="118" t="n">
        <f aca="false">'🤖 Reka Flash'!$A$132</f>
        <v>0</v>
      </c>
      <c r="B629" s="4" t="s">
        <v>23</v>
      </c>
      <c r="C629" s="119" t="str">
        <f aca="false">'🤖 Reka Flash'!C134</f>
        <v>5W1H</v>
      </c>
      <c r="D629" s="160" t="n">
        <f aca="false">'🤖 Reka Flash'!E134</f>
        <v>0.004761904762</v>
      </c>
      <c r="E629" s="119" t="n">
        <f aca="false">'🤖 Reka Flash'!F134</f>
        <v>0</v>
      </c>
      <c r="F629" s="119" t="n">
        <f aca="false">'🤖 Reka Flash'!G134</f>
        <v>0</v>
      </c>
      <c r="G629" s="119" t="n">
        <f aca="false">'🤖 Reka Flash'!H134</f>
        <v>0</v>
      </c>
      <c r="H629" s="119" t="n">
        <f aca="false">'🤖 Reka Flash'!I134</f>
        <v>0</v>
      </c>
      <c r="I629" s="119" t="n">
        <f aca="false">'🤖 Reka Flash'!J134</f>
        <v>0</v>
      </c>
    </row>
    <row r="630" customFormat="false" ht="15.75" hidden="false" customHeight="false" outlineLevel="0" collapsed="false">
      <c r="A630" s="118" t="n">
        <f aca="false">'🤖 Reka Flash'!$A$132</f>
        <v>0</v>
      </c>
      <c r="B630" s="4" t="s">
        <v>23</v>
      </c>
      <c r="C630" s="119" t="str">
        <f aca="false">'🤖 Reka Flash'!C135</f>
        <v>tldr</v>
      </c>
      <c r="D630" s="160" t="n">
        <f aca="false">'🤖 Reka Flash'!E135</f>
        <v>0.004761904762</v>
      </c>
      <c r="E630" s="119" t="n">
        <f aca="false">'🤖 Reka Flash'!F135</f>
        <v>0</v>
      </c>
      <c r="F630" s="119" t="n">
        <f aca="false">'🤖 Reka Flash'!G135</f>
        <v>0</v>
      </c>
      <c r="G630" s="119" t="n">
        <f aca="false">'🤖 Reka Flash'!H135</f>
        <v>0</v>
      </c>
      <c r="H630" s="119" t="n">
        <f aca="false">'🤖 Reka Flash'!I135</f>
        <v>0</v>
      </c>
      <c r="I630" s="119" t="n">
        <f aca="false">'🤖 Reka Flash'!J135</f>
        <v>0</v>
      </c>
    </row>
    <row r="631" customFormat="false" ht="15.75" hidden="false" customHeight="false" outlineLevel="0" collapsed="false">
      <c r="A631" s="118"/>
      <c r="B631" s="4"/>
      <c r="C631" s="6"/>
      <c r="D631" s="160"/>
      <c r="E631" s="6"/>
      <c r="F631" s="6"/>
      <c r="G631" s="6"/>
      <c r="H631" s="6"/>
      <c r="I631" s="6"/>
    </row>
    <row r="632" customFormat="false" ht="15.75" hidden="false" customHeight="false" outlineLevel="0" collapsed="false">
      <c r="A632" s="118" t="n">
        <f aca="false">'🤖 Reka Flash'!$A$137</f>
        <v>0</v>
      </c>
      <c r="B632" s="4" t="s">
        <v>23</v>
      </c>
      <c r="C632" s="119" t="str">
        <f aca="false">'🤖 Reka Flash'!C137</f>
        <v>Base</v>
      </c>
      <c r="D632" s="160" t="n">
        <f aca="false">'🤖 Reka Flash'!E137</f>
        <v>0.004761904762</v>
      </c>
      <c r="E632" s="119" t="n">
        <f aca="false">'🤖 Reka Flash'!F137</f>
        <v>0</v>
      </c>
      <c r="F632" s="119" t="n">
        <f aca="false">'🤖 Reka Flash'!G137</f>
        <v>0</v>
      </c>
      <c r="G632" s="119" t="n">
        <f aca="false">'🤖 Reka Flash'!H137</f>
        <v>0</v>
      </c>
      <c r="H632" s="119" t="n">
        <f aca="false">'🤖 Reka Flash'!I137</f>
        <v>0</v>
      </c>
      <c r="I632" s="119" t="n">
        <f aca="false">'🤖 Reka Flash'!J137</f>
        <v>0</v>
      </c>
    </row>
    <row r="633" customFormat="false" ht="15.75" hidden="false" customHeight="false" outlineLevel="0" collapsed="false">
      <c r="A633" s="118" t="n">
        <f aca="false">'🤖 Reka Flash'!$A$137</f>
        <v>0</v>
      </c>
      <c r="B633" s="4" t="s">
        <v>23</v>
      </c>
      <c r="C633" s="119" t="str">
        <f aca="false">'🤖 Reka Flash'!C138</f>
        <v>CoT</v>
      </c>
      <c r="D633" s="160" t="n">
        <f aca="false">'🤖 Reka Flash'!E138</f>
        <v>0.004761904762</v>
      </c>
      <c r="E633" s="119" t="n">
        <f aca="false">'🤖 Reka Flash'!F138</f>
        <v>0</v>
      </c>
      <c r="F633" s="119" t="n">
        <f aca="false">'🤖 Reka Flash'!G138</f>
        <v>0</v>
      </c>
      <c r="G633" s="119" t="n">
        <f aca="false">'🤖 Reka Flash'!H138</f>
        <v>0</v>
      </c>
      <c r="H633" s="119" t="n">
        <f aca="false">'🤖 Reka Flash'!I138</f>
        <v>0</v>
      </c>
      <c r="I633" s="119" t="n">
        <f aca="false">'🤖 Reka Flash'!J138</f>
        <v>0</v>
      </c>
    </row>
    <row r="634" customFormat="false" ht="15.75" hidden="false" customHeight="false" outlineLevel="0" collapsed="false">
      <c r="A634" s="118" t="n">
        <f aca="false">'🤖 Reka Flash'!$A$137</f>
        <v>0</v>
      </c>
      <c r="B634" s="4" t="s">
        <v>23</v>
      </c>
      <c r="C634" s="119" t="str">
        <f aca="false">'🤖 Reka Flash'!C139</f>
        <v>5W1H</v>
      </c>
      <c r="D634" s="160" t="n">
        <f aca="false">'🤖 Reka Flash'!E139</f>
        <v>0.004761904762</v>
      </c>
      <c r="E634" s="119" t="n">
        <f aca="false">'🤖 Reka Flash'!F139</f>
        <v>0</v>
      </c>
      <c r="F634" s="119" t="n">
        <f aca="false">'🤖 Reka Flash'!G139</f>
        <v>0</v>
      </c>
      <c r="G634" s="119" t="n">
        <f aca="false">'🤖 Reka Flash'!H139</f>
        <v>0</v>
      </c>
      <c r="H634" s="119" t="n">
        <f aca="false">'🤖 Reka Flash'!I139</f>
        <v>0</v>
      </c>
      <c r="I634" s="119" t="n">
        <f aca="false">'🤖 Reka Flash'!J139</f>
        <v>0</v>
      </c>
    </row>
    <row r="635" customFormat="false" ht="15.75" hidden="false" customHeight="false" outlineLevel="0" collapsed="false">
      <c r="A635" s="118" t="n">
        <f aca="false">'🤖 Reka Flash'!$A$137</f>
        <v>0</v>
      </c>
      <c r="B635" s="4" t="s">
        <v>23</v>
      </c>
      <c r="C635" s="119" t="str">
        <f aca="false">'🤖 Reka Flash'!C140</f>
        <v>tldr</v>
      </c>
      <c r="D635" s="160" t="n">
        <f aca="false">'🤖 Reka Flash'!E140</f>
        <v>0.004761904762</v>
      </c>
      <c r="E635" s="119" t="n">
        <f aca="false">'🤖 Reka Flash'!F140</f>
        <v>0</v>
      </c>
      <c r="F635" s="119" t="n">
        <f aca="false">'🤖 Reka Flash'!G140</f>
        <v>0</v>
      </c>
      <c r="G635" s="119" t="n">
        <f aca="false">'🤖 Reka Flash'!H140</f>
        <v>0</v>
      </c>
      <c r="H635" s="119" t="n">
        <f aca="false">'🤖 Reka Flash'!I140</f>
        <v>0</v>
      </c>
      <c r="I635" s="119" t="n">
        <f aca="false">'🤖 Reka Flash'!J140</f>
        <v>0</v>
      </c>
    </row>
    <row r="636" customFormat="false" ht="15.75" hidden="false" customHeight="false" outlineLevel="0" collapsed="false">
      <c r="A636" s="118"/>
      <c r="B636" s="4"/>
      <c r="C636" s="6"/>
      <c r="D636" s="160"/>
      <c r="E636" s="6"/>
      <c r="F636" s="6"/>
      <c r="G636" s="6"/>
      <c r="H636" s="6"/>
      <c r="I636" s="6"/>
    </row>
    <row r="637" customFormat="false" ht="15.75" hidden="false" customHeight="false" outlineLevel="0" collapsed="false">
      <c r="A637" s="118" t="n">
        <f aca="false">'🤖 Reka Flash'!$A$142</f>
        <v>0</v>
      </c>
      <c r="B637" s="4" t="s">
        <v>23</v>
      </c>
      <c r="C637" s="119" t="str">
        <f aca="false">'🤖 Reka Flash'!C142</f>
        <v>Base</v>
      </c>
      <c r="D637" s="160" t="n">
        <f aca="false">'🤖 Reka Flash'!E142</f>
        <v>0.004761904762</v>
      </c>
      <c r="E637" s="119" t="n">
        <f aca="false">'🤖 Reka Flash'!F142</f>
        <v>0</v>
      </c>
      <c r="F637" s="119" t="n">
        <f aca="false">'🤖 Reka Flash'!G142</f>
        <v>0</v>
      </c>
      <c r="G637" s="119" t="n">
        <f aca="false">'🤖 Reka Flash'!H142</f>
        <v>0</v>
      </c>
      <c r="H637" s="119" t="n">
        <f aca="false">'🤖 Reka Flash'!I142</f>
        <v>0</v>
      </c>
      <c r="I637" s="119" t="n">
        <f aca="false">'🤖 Reka Flash'!J142</f>
        <v>0</v>
      </c>
    </row>
    <row r="638" customFormat="false" ht="15.75" hidden="false" customHeight="false" outlineLevel="0" collapsed="false">
      <c r="A638" s="118" t="n">
        <f aca="false">'🤖 Reka Flash'!$A$142</f>
        <v>0</v>
      </c>
      <c r="B638" s="4" t="s">
        <v>23</v>
      </c>
      <c r="C638" s="119" t="str">
        <f aca="false">'🤖 Reka Flash'!C143</f>
        <v>CoT</v>
      </c>
      <c r="D638" s="160" t="n">
        <f aca="false">'🤖 Reka Flash'!E143</f>
        <v>0.004761904762</v>
      </c>
      <c r="E638" s="119" t="n">
        <f aca="false">'🤖 Reka Flash'!F143</f>
        <v>0</v>
      </c>
      <c r="F638" s="119" t="n">
        <f aca="false">'🤖 Reka Flash'!G143</f>
        <v>0</v>
      </c>
      <c r="G638" s="119" t="n">
        <f aca="false">'🤖 Reka Flash'!H143</f>
        <v>0</v>
      </c>
      <c r="H638" s="119" t="n">
        <f aca="false">'🤖 Reka Flash'!I143</f>
        <v>0</v>
      </c>
      <c r="I638" s="119" t="n">
        <f aca="false">'🤖 Reka Flash'!J143</f>
        <v>0</v>
      </c>
    </row>
    <row r="639" customFormat="false" ht="15.75" hidden="false" customHeight="false" outlineLevel="0" collapsed="false">
      <c r="A639" s="118" t="n">
        <f aca="false">'🤖 Reka Flash'!$A$142</f>
        <v>0</v>
      </c>
      <c r="B639" s="4" t="s">
        <v>23</v>
      </c>
      <c r="C639" s="119" t="str">
        <f aca="false">'🤖 Reka Flash'!C144</f>
        <v>5W1H</v>
      </c>
      <c r="D639" s="160" t="n">
        <f aca="false">'🤖 Reka Flash'!E144</f>
        <v>0.004761904762</v>
      </c>
      <c r="E639" s="119" t="n">
        <f aca="false">'🤖 Reka Flash'!F144</f>
        <v>0</v>
      </c>
      <c r="F639" s="119" t="n">
        <f aca="false">'🤖 Reka Flash'!G144</f>
        <v>0</v>
      </c>
      <c r="G639" s="119" t="n">
        <f aca="false">'🤖 Reka Flash'!H144</f>
        <v>0</v>
      </c>
      <c r="H639" s="119" t="n">
        <f aca="false">'🤖 Reka Flash'!I144</f>
        <v>0</v>
      </c>
      <c r="I639" s="119" t="n">
        <f aca="false">'🤖 Reka Flash'!J144</f>
        <v>0</v>
      </c>
    </row>
    <row r="640" customFormat="false" ht="15.75" hidden="false" customHeight="false" outlineLevel="0" collapsed="false">
      <c r="A640" s="118" t="n">
        <f aca="false">'🤖 Reka Flash'!$A$142</f>
        <v>0</v>
      </c>
      <c r="B640" s="4" t="s">
        <v>23</v>
      </c>
      <c r="C640" s="119" t="str">
        <f aca="false">'🤖 Reka Flash'!C145</f>
        <v>tldr</v>
      </c>
      <c r="D640" s="160" t="n">
        <f aca="false">'🤖 Reka Flash'!E145</f>
        <v>0.004761904762</v>
      </c>
      <c r="E640" s="119" t="n">
        <f aca="false">'🤖 Reka Flash'!F145</f>
        <v>0</v>
      </c>
      <c r="F640" s="119" t="n">
        <f aca="false">'🤖 Reka Flash'!G145</f>
        <v>0</v>
      </c>
      <c r="G640" s="119" t="n">
        <f aca="false">'🤖 Reka Flash'!H145</f>
        <v>0</v>
      </c>
      <c r="H640" s="119" t="n">
        <f aca="false">'🤖 Reka Flash'!I145</f>
        <v>0</v>
      </c>
      <c r="I640" s="119" t="n">
        <f aca="false">'🤖 Reka Flash'!J145</f>
        <v>0</v>
      </c>
    </row>
    <row r="641" customFormat="false" ht="15.75" hidden="false" customHeight="false" outlineLevel="0" collapsed="false">
      <c r="A641" s="118"/>
      <c r="B641" s="4"/>
      <c r="C641" s="6"/>
      <c r="D641" s="160"/>
      <c r="E641" s="6"/>
      <c r="F641" s="6"/>
      <c r="G641" s="6"/>
      <c r="H641" s="6"/>
      <c r="I641" s="6"/>
    </row>
    <row r="642" customFormat="false" ht="15.75" hidden="false" customHeight="false" outlineLevel="0" collapsed="false">
      <c r="A642" s="118" t="n">
        <f aca="false">'🤖 Reka Flash'!$A$147</f>
        <v>0</v>
      </c>
      <c r="B642" s="4" t="s">
        <v>23</v>
      </c>
      <c r="C642" s="119" t="str">
        <f aca="false">'🤖 Reka Flash'!C147</f>
        <v>Base</v>
      </c>
      <c r="D642" s="160" t="n">
        <f aca="false">'🤖 Reka Flash'!E147</f>
        <v>0.004761904762</v>
      </c>
      <c r="E642" s="119" t="n">
        <f aca="false">'🤖 Reka Flash'!F147</f>
        <v>0</v>
      </c>
      <c r="F642" s="119" t="n">
        <f aca="false">'🤖 Reka Flash'!G147</f>
        <v>0</v>
      </c>
      <c r="G642" s="119" t="n">
        <f aca="false">'🤖 Reka Flash'!H147</f>
        <v>0</v>
      </c>
      <c r="H642" s="119" t="n">
        <f aca="false">'🤖 Reka Flash'!I147</f>
        <v>0</v>
      </c>
      <c r="I642" s="119" t="n">
        <f aca="false">'🤖 Reka Flash'!J147</f>
        <v>0</v>
      </c>
    </row>
    <row r="643" customFormat="false" ht="15.75" hidden="false" customHeight="false" outlineLevel="0" collapsed="false">
      <c r="A643" s="118" t="n">
        <f aca="false">'🤖 Reka Flash'!$A$147</f>
        <v>0</v>
      </c>
      <c r="B643" s="4" t="s">
        <v>23</v>
      </c>
      <c r="C643" s="119" t="str">
        <f aca="false">'🤖 Reka Flash'!C148</f>
        <v>CoT</v>
      </c>
      <c r="D643" s="160" t="n">
        <f aca="false">'🤖 Reka Flash'!E148</f>
        <v>0.004761904762</v>
      </c>
      <c r="E643" s="119" t="n">
        <f aca="false">'🤖 Reka Flash'!F148</f>
        <v>0</v>
      </c>
      <c r="F643" s="119" t="n">
        <f aca="false">'🤖 Reka Flash'!G148</f>
        <v>0</v>
      </c>
      <c r="G643" s="119" t="n">
        <f aca="false">'🤖 Reka Flash'!H148</f>
        <v>0</v>
      </c>
      <c r="H643" s="119" t="n">
        <f aca="false">'🤖 Reka Flash'!I148</f>
        <v>0</v>
      </c>
      <c r="I643" s="119" t="n">
        <f aca="false">'🤖 Reka Flash'!J148</f>
        <v>0</v>
      </c>
    </row>
    <row r="644" customFormat="false" ht="15.75" hidden="false" customHeight="false" outlineLevel="0" collapsed="false">
      <c r="A644" s="118" t="n">
        <f aca="false">'🤖 Reka Flash'!$A$147</f>
        <v>0</v>
      </c>
      <c r="B644" s="4" t="s">
        <v>23</v>
      </c>
      <c r="C644" s="119" t="str">
        <f aca="false">'🤖 Reka Flash'!C149</f>
        <v>5W1H</v>
      </c>
      <c r="D644" s="160" t="n">
        <f aca="false">'🤖 Reka Flash'!E149</f>
        <v>0.004761904762</v>
      </c>
      <c r="E644" s="119" t="n">
        <f aca="false">'🤖 Reka Flash'!F149</f>
        <v>0</v>
      </c>
      <c r="F644" s="119" t="n">
        <f aca="false">'🤖 Reka Flash'!G149</f>
        <v>0</v>
      </c>
      <c r="G644" s="119" t="n">
        <f aca="false">'🤖 Reka Flash'!H149</f>
        <v>0</v>
      </c>
      <c r="H644" s="119" t="n">
        <f aca="false">'🤖 Reka Flash'!I149</f>
        <v>0</v>
      </c>
      <c r="I644" s="119" t="n">
        <f aca="false">'🤖 Reka Flash'!J149</f>
        <v>0</v>
      </c>
    </row>
    <row r="645" customFormat="false" ht="15.75" hidden="false" customHeight="false" outlineLevel="0" collapsed="false">
      <c r="A645" s="118" t="n">
        <f aca="false">'🤖 Reka Flash'!$A$147</f>
        <v>0</v>
      </c>
      <c r="B645" s="4" t="s">
        <v>23</v>
      </c>
      <c r="C645" s="119" t="str">
        <f aca="false">'🤖 Reka Flash'!C150</f>
        <v>tldr</v>
      </c>
      <c r="D645" s="160" t="n">
        <f aca="false">'🤖 Reka Flash'!E150</f>
        <v>0.004761904762</v>
      </c>
      <c r="E645" s="119" t="n">
        <f aca="false">'🤖 Reka Flash'!F150</f>
        <v>0</v>
      </c>
      <c r="F645" s="119" t="n">
        <f aca="false">'🤖 Reka Flash'!G150</f>
        <v>0</v>
      </c>
      <c r="G645" s="119" t="n">
        <f aca="false">'🤖 Reka Flash'!H150</f>
        <v>0</v>
      </c>
      <c r="H645" s="119" t="n">
        <f aca="false">'🤖 Reka Flash'!I150</f>
        <v>0</v>
      </c>
      <c r="I645" s="119" t="n">
        <f aca="false">'🤖 Reka Flash'!J150</f>
        <v>0</v>
      </c>
    </row>
    <row r="646" customFormat="false" ht="15.75" hidden="false" customHeight="false" outlineLevel="0" collapsed="false">
      <c r="A646" s="118"/>
      <c r="B646" s="4"/>
      <c r="C646" s="6"/>
      <c r="D646" s="160"/>
      <c r="E646" s="6"/>
      <c r="F646" s="6"/>
      <c r="G646" s="6"/>
      <c r="H646" s="6"/>
      <c r="I646" s="6"/>
    </row>
    <row r="647" customFormat="false" ht="15.75" hidden="false" customHeight="false" outlineLevel="0" collapsed="false">
      <c r="A647" s="118" t="n">
        <f aca="false">'🤖 Reka Flash'!$A$152</f>
        <v>0</v>
      </c>
      <c r="B647" s="4" t="s">
        <v>23</v>
      </c>
      <c r="C647" s="119" t="str">
        <f aca="false">'🤖 Reka Flash'!C152</f>
        <v>Base</v>
      </c>
      <c r="D647" s="160" t="n">
        <f aca="false">'🤖 Reka Flash'!E152</f>
        <v>0.004761904762</v>
      </c>
      <c r="E647" s="119" t="n">
        <f aca="false">'🤖 Reka Flash'!F152</f>
        <v>0</v>
      </c>
      <c r="F647" s="119" t="n">
        <f aca="false">'🤖 Reka Flash'!G152</f>
        <v>0</v>
      </c>
      <c r="G647" s="119" t="n">
        <f aca="false">'🤖 Reka Flash'!H152</f>
        <v>0</v>
      </c>
      <c r="H647" s="119" t="n">
        <f aca="false">'🤖 Reka Flash'!I152</f>
        <v>0</v>
      </c>
      <c r="I647" s="119" t="n">
        <f aca="false">'🤖 Reka Flash'!J152</f>
        <v>0</v>
      </c>
    </row>
    <row r="648" customFormat="false" ht="15.75" hidden="false" customHeight="false" outlineLevel="0" collapsed="false">
      <c r="A648" s="118" t="n">
        <f aca="false">'🤖 Reka Flash'!$A$152</f>
        <v>0</v>
      </c>
      <c r="B648" s="4" t="s">
        <v>23</v>
      </c>
      <c r="C648" s="119" t="str">
        <f aca="false">'🤖 Reka Flash'!C153</f>
        <v>CoT</v>
      </c>
      <c r="D648" s="160" t="n">
        <f aca="false">'🤖 Reka Flash'!E153</f>
        <v>0.004761904762</v>
      </c>
      <c r="E648" s="119" t="n">
        <f aca="false">'🤖 Reka Flash'!F153</f>
        <v>0</v>
      </c>
      <c r="F648" s="119" t="n">
        <f aca="false">'🤖 Reka Flash'!G153</f>
        <v>0</v>
      </c>
      <c r="G648" s="119" t="n">
        <f aca="false">'🤖 Reka Flash'!H153</f>
        <v>0</v>
      </c>
      <c r="H648" s="119" t="n">
        <f aca="false">'🤖 Reka Flash'!I153</f>
        <v>0</v>
      </c>
      <c r="I648" s="119" t="n">
        <f aca="false">'🤖 Reka Flash'!J153</f>
        <v>0</v>
      </c>
    </row>
    <row r="649" customFormat="false" ht="15.75" hidden="false" customHeight="false" outlineLevel="0" collapsed="false">
      <c r="A649" s="118" t="n">
        <f aca="false">'🤖 Reka Flash'!$A$152</f>
        <v>0</v>
      </c>
      <c r="B649" s="4" t="s">
        <v>23</v>
      </c>
      <c r="C649" s="119" t="str">
        <f aca="false">'🤖 Reka Flash'!C154</f>
        <v>5W1H</v>
      </c>
      <c r="D649" s="160" t="n">
        <f aca="false">'🤖 Reka Flash'!E154</f>
        <v>0.004761904762</v>
      </c>
      <c r="E649" s="119" t="n">
        <f aca="false">'🤖 Reka Flash'!F154</f>
        <v>0</v>
      </c>
      <c r="F649" s="119" t="n">
        <f aca="false">'🤖 Reka Flash'!G154</f>
        <v>0</v>
      </c>
      <c r="G649" s="119" t="n">
        <f aca="false">'🤖 Reka Flash'!H154</f>
        <v>0</v>
      </c>
      <c r="H649" s="119" t="n">
        <f aca="false">'🤖 Reka Flash'!I154</f>
        <v>0</v>
      </c>
      <c r="I649" s="119" t="n">
        <f aca="false">'🤖 Reka Flash'!J154</f>
        <v>0</v>
      </c>
    </row>
    <row r="650" customFormat="false" ht="15.75" hidden="false" customHeight="false" outlineLevel="0" collapsed="false">
      <c r="A650" s="118" t="n">
        <f aca="false">'🤖 Reka Flash'!$A$152</f>
        <v>0</v>
      </c>
      <c r="B650" s="4" t="s">
        <v>23</v>
      </c>
      <c r="C650" s="119" t="str">
        <f aca="false">'🤖 Reka Flash'!C155</f>
        <v>tldr</v>
      </c>
      <c r="D650" s="160" t="n">
        <f aca="false">'🤖 Reka Flash'!E155</f>
        <v>0.004761904762</v>
      </c>
      <c r="E650" s="119" t="n">
        <f aca="false">'🤖 Reka Flash'!F155</f>
        <v>0</v>
      </c>
      <c r="F650" s="119" t="n">
        <f aca="false">'🤖 Reka Flash'!G155</f>
        <v>0</v>
      </c>
      <c r="G650" s="119" t="n">
        <f aca="false">'🤖 Reka Flash'!H155</f>
        <v>0</v>
      </c>
      <c r="H650" s="119" t="n">
        <f aca="false">'🤖 Reka Flash'!I155</f>
        <v>0</v>
      </c>
      <c r="I650" s="119" t="n">
        <f aca="false">'🤖 Reka Flash'!J155</f>
        <v>0</v>
      </c>
    </row>
    <row r="651" customFormat="false" ht="15.75" hidden="false" customHeight="false" outlineLevel="0" collapsed="false">
      <c r="A651" s="118"/>
      <c r="B651" s="4"/>
      <c r="C651" s="6"/>
      <c r="D651" s="160"/>
      <c r="E651" s="6"/>
      <c r="F651" s="6"/>
      <c r="G651" s="6"/>
      <c r="H651" s="6"/>
      <c r="I651" s="6"/>
    </row>
    <row r="652" customFormat="false" ht="15.75" hidden="false" customHeight="false" outlineLevel="0" collapsed="false">
      <c r="A652" s="118" t="n">
        <f aca="false">'🤖 Reka Flash'!$A$157</f>
        <v>0</v>
      </c>
      <c r="B652" s="4" t="s">
        <v>23</v>
      </c>
      <c r="C652" s="119" t="str">
        <f aca="false">'🤖 Reka Flash'!C157</f>
        <v>Base</v>
      </c>
      <c r="D652" s="160" t="n">
        <f aca="false">'🤖 Reka Flash'!E157</f>
        <v>0.004761904762</v>
      </c>
      <c r="E652" s="119" t="n">
        <f aca="false">'🤖 Reka Flash'!F157</f>
        <v>0</v>
      </c>
      <c r="F652" s="119" t="n">
        <f aca="false">'🤖 Reka Flash'!G157</f>
        <v>0</v>
      </c>
      <c r="G652" s="119" t="n">
        <f aca="false">'🤖 Reka Flash'!H157</f>
        <v>0</v>
      </c>
      <c r="H652" s="119" t="n">
        <f aca="false">'🤖 Reka Flash'!I157</f>
        <v>0</v>
      </c>
      <c r="I652" s="119" t="n">
        <f aca="false">'🤖 Reka Flash'!J157</f>
        <v>0</v>
      </c>
    </row>
    <row r="653" customFormat="false" ht="15.75" hidden="false" customHeight="false" outlineLevel="0" collapsed="false">
      <c r="A653" s="118" t="n">
        <f aca="false">'🤖 Reka Flash'!$A$157</f>
        <v>0</v>
      </c>
      <c r="B653" s="4" t="s">
        <v>23</v>
      </c>
      <c r="C653" s="119" t="str">
        <f aca="false">'🤖 Reka Flash'!C158</f>
        <v>CoT</v>
      </c>
      <c r="D653" s="160" t="n">
        <f aca="false">'🤖 Reka Flash'!E158</f>
        <v>0.004761904762</v>
      </c>
      <c r="E653" s="119" t="n">
        <f aca="false">'🤖 Reka Flash'!F158</f>
        <v>0</v>
      </c>
      <c r="F653" s="119" t="n">
        <f aca="false">'🤖 Reka Flash'!G158</f>
        <v>0</v>
      </c>
      <c r="G653" s="119" t="n">
        <f aca="false">'🤖 Reka Flash'!H158</f>
        <v>0</v>
      </c>
      <c r="H653" s="119" t="n">
        <f aca="false">'🤖 Reka Flash'!I158</f>
        <v>0</v>
      </c>
      <c r="I653" s="119" t="n">
        <f aca="false">'🤖 Reka Flash'!J158</f>
        <v>0</v>
      </c>
    </row>
    <row r="654" customFormat="false" ht="15.75" hidden="false" customHeight="false" outlineLevel="0" collapsed="false">
      <c r="A654" s="118" t="n">
        <f aca="false">'🤖 Reka Flash'!$A$157</f>
        <v>0</v>
      </c>
      <c r="B654" s="4" t="s">
        <v>23</v>
      </c>
      <c r="C654" s="119" t="str">
        <f aca="false">'🤖 Reka Flash'!C159</f>
        <v>5W1H</v>
      </c>
      <c r="D654" s="160" t="n">
        <f aca="false">'🤖 Reka Flash'!E159</f>
        <v>0.004761904762</v>
      </c>
      <c r="E654" s="119" t="n">
        <f aca="false">'🤖 Reka Flash'!F159</f>
        <v>0</v>
      </c>
      <c r="F654" s="119" t="n">
        <f aca="false">'🤖 Reka Flash'!G159</f>
        <v>0</v>
      </c>
      <c r="G654" s="119" t="n">
        <f aca="false">'🤖 Reka Flash'!H159</f>
        <v>0</v>
      </c>
      <c r="H654" s="119" t="n">
        <f aca="false">'🤖 Reka Flash'!I159</f>
        <v>0</v>
      </c>
      <c r="I654" s="119" t="n">
        <f aca="false">'🤖 Reka Flash'!J159</f>
        <v>0</v>
      </c>
    </row>
    <row r="655" customFormat="false" ht="15.75" hidden="false" customHeight="false" outlineLevel="0" collapsed="false">
      <c r="A655" s="118" t="n">
        <f aca="false">'🤖 Reka Flash'!$A$157</f>
        <v>0</v>
      </c>
      <c r="B655" s="4" t="s">
        <v>23</v>
      </c>
      <c r="C655" s="119" t="str">
        <f aca="false">'🤖 Reka Flash'!C160</f>
        <v>tldr</v>
      </c>
      <c r="D655" s="160" t="n">
        <f aca="false">'🤖 Reka Flash'!E160</f>
        <v>0.004761904762</v>
      </c>
      <c r="E655" s="119" t="n">
        <f aca="false">'🤖 Reka Flash'!F160</f>
        <v>0</v>
      </c>
      <c r="F655" s="119" t="n">
        <f aca="false">'🤖 Reka Flash'!G160</f>
        <v>0</v>
      </c>
      <c r="G655" s="119" t="n">
        <f aca="false">'🤖 Reka Flash'!H160</f>
        <v>0</v>
      </c>
      <c r="H655" s="119" t="n">
        <f aca="false">'🤖 Reka Flash'!I160</f>
        <v>0</v>
      </c>
      <c r="I655" s="119" t="n">
        <f aca="false">'🤖 Reka Flash'!J160</f>
        <v>0</v>
      </c>
    </row>
    <row r="656" customFormat="false" ht="15.75" hidden="false" customHeight="false" outlineLevel="0" collapsed="false">
      <c r="A656" s="118"/>
      <c r="B656" s="4"/>
      <c r="C656" s="6"/>
      <c r="D656" s="160"/>
      <c r="E656" s="6"/>
      <c r="F656" s="6"/>
      <c r="G656" s="6"/>
      <c r="H656" s="6"/>
      <c r="I656" s="6"/>
    </row>
    <row r="657" customFormat="false" ht="15.75" hidden="false" customHeight="false" outlineLevel="0" collapsed="false">
      <c r="A657" s="118" t="n">
        <f aca="false">'🤖 Reka Flash'!$A$162</f>
        <v>0</v>
      </c>
      <c r="B657" s="4" t="s">
        <v>23</v>
      </c>
      <c r="C657" s="119" t="str">
        <f aca="false">'🤖 Reka Flash'!C162</f>
        <v>Base</v>
      </c>
      <c r="D657" s="160" t="n">
        <f aca="false">'🤖 Reka Flash'!E162</f>
        <v>0.004761904762</v>
      </c>
      <c r="E657" s="119" t="n">
        <f aca="false">'🤖 Reka Flash'!F162</f>
        <v>0</v>
      </c>
      <c r="F657" s="119" t="n">
        <f aca="false">'🤖 Reka Flash'!G162</f>
        <v>0</v>
      </c>
      <c r="G657" s="119" t="n">
        <f aca="false">'🤖 Reka Flash'!H162</f>
        <v>0</v>
      </c>
      <c r="H657" s="119" t="n">
        <f aca="false">'🤖 Reka Flash'!I162</f>
        <v>0</v>
      </c>
      <c r="I657" s="119" t="n">
        <f aca="false">'🤖 Reka Flash'!J162</f>
        <v>0</v>
      </c>
    </row>
    <row r="658" customFormat="false" ht="15.75" hidden="false" customHeight="false" outlineLevel="0" collapsed="false">
      <c r="A658" s="118" t="n">
        <f aca="false">'🤖 Reka Flash'!$A$162</f>
        <v>0</v>
      </c>
      <c r="B658" s="4" t="s">
        <v>23</v>
      </c>
      <c r="C658" s="119" t="str">
        <f aca="false">'🤖 Reka Flash'!C163</f>
        <v>CoT</v>
      </c>
      <c r="D658" s="160" t="n">
        <f aca="false">'🤖 Reka Flash'!E163</f>
        <v>0.004761904762</v>
      </c>
      <c r="E658" s="119" t="n">
        <f aca="false">'🤖 Reka Flash'!F163</f>
        <v>0</v>
      </c>
      <c r="F658" s="119" t="n">
        <f aca="false">'🤖 Reka Flash'!G163</f>
        <v>0</v>
      </c>
      <c r="G658" s="119" t="n">
        <f aca="false">'🤖 Reka Flash'!H163</f>
        <v>0</v>
      </c>
      <c r="H658" s="119" t="n">
        <f aca="false">'🤖 Reka Flash'!I163</f>
        <v>0</v>
      </c>
      <c r="I658" s="119" t="n">
        <f aca="false">'🤖 Reka Flash'!J163</f>
        <v>0</v>
      </c>
    </row>
    <row r="659" customFormat="false" ht="15.75" hidden="false" customHeight="false" outlineLevel="0" collapsed="false">
      <c r="A659" s="118" t="n">
        <f aca="false">'🤖 Reka Flash'!$A$162</f>
        <v>0</v>
      </c>
      <c r="B659" s="4" t="s">
        <v>23</v>
      </c>
      <c r="C659" s="119" t="str">
        <f aca="false">'🤖 Reka Flash'!C164</f>
        <v>5W1H</v>
      </c>
      <c r="D659" s="160" t="n">
        <f aca="false">'🤖 Reka Flash'!E164</f>
        <v>0.004761904762</v>
      </c>
      <c r="E659" s="119" t="n">
        <f aca="false">'🤖 Reka Flash'!F164</f>
        <v>0</v>
      </c>
      <c r="F659" s="119" t="n">
        <f aca="false">'🤖 Reka Flash'!G164</f>
        <v>0</v>
      </c>
      <c r="G659" s="119" t="n">
        <f aca="false">'🤖 Reka Flash'!H164</f>
        <v>0</v>
      </c>
      <c r="H659" s="119" t="n">
        <f aca="false">'🤖 Reka Flash'!I164</f>
        <v>0</v>
      </c>
      <c r="I659" s="119" t="n">
        <f aca="false">'🤖 Reka Flash'!J164</f>
        <v>0</v>
      </c>
    </row>
    <row r="660" customFormat="false" ht="15.75" hidden="false" customHeight="false" outlineLevel="0" collapsed="false">
      <c r="A660" s="118" t="n">
        <f aca="false">'🤖 Reka Flash'!$A$162</f>
        <v>0</v>
      </c>
      <c r="B660" s="4" t="s">
        <v>23</v>
      </c>
      <c r="C660" s="119" t="str">
        <f aca="false">'🤖 Reka Flash'!C165</f>
        <v>tldr</v>
      </c>
      <c r="D660" s="160" t="n">
        <f aca="false">'🤖 Reka Flash'!E165</f>
        <v>0.004761904762</v>
      </c>
      <c r="E660" s="119" t="n">
        <f aca="false">'🤖 Reka Flash'!F165</f>
        <v>0</v>
      </c>
      <c r="F660" s="119" t="n">
        <f aca="false">'🤖 Reka Flash'!G165</f>
        <v>0</v>
      </c>
      <c r="G660" s="119" t="n">
        <f aca="false">'🤖 Reka Flash'!H165</f>
        <v>0</v>
      </c>
      <c r="H660" s="119" t="n">
        <f aca="false">'🤖 Reka Flash'!I165</f>
        <v>0</v>
      </c>
      <c r="I660" s="119" t="n">
        <f aca="false">'🤖 Reka Flash'!J165</f>
        <v>0</v>
      </c>
    </row>
    <row r="661" customFormat="false" ht="15.75" hidden="false" customHeight="false" outlineLevel="0" collapsed="false">
      <c r="A661" s="9"/>
      <c r="B661" s="9"/>
      <c r="C661" s="9"/>
      <c r="D661" s="9"/>
      <c r="E661" s="9"/>
      <c r="F661" s="9"/>
      <c r="G661" s="9"/>
      <c r="H661" s="9"/>
      <c r="I661" s="9"/>
    </row>
    <row r="662" customFormat="false" ht="15.75" hidden="false" customHeight="false" outlineLevel="0" collapsed="false">
      <c r="A662" s="118" t="str">
        <f aca="false">'🖐🏾 Human'!$A$2</f>
        <v>https://www.berria.eus/ekonomia/urte-eta-erdiko-kartzela-zigorra-eta-30000-euroko-kalte-ordainak-zorroza-gestion-enpresan-hil-zen-langileagatik_2124960_102.html</v>
      </c>
      <c r="B662" s="4" t="s">
        <v>15</v>
      </c>
      <c r="C662" s="119" t="str">
        <f aca="false">'🖐🏾 Human'!C2</f>
        <v>Heading</v>
      </c>
      <c r="D662" s="155" t="n">
        <f aca="false">'🖐🏾 Human'!E2</f>
        <v>0.1179487179</v>
      </c>
      <c r="E662" s="119" t="n">
        <f aca="false">'🖐🏾 Human'!F2</f>
        <v>4</v>
      </c>
      <c r="F662" s="119" t="n">
        <f aca="false">'🖐🏾 Human'!G2</f>
        <v>5</v>
      </c>
      <c r="G662" s="119" t="n">
        <f aca="false">'🖐🏾 Human'!H2</f>
        <v>4</v>
      </c>
      <c r="H662" s="119" t="n">
        <f aca="false">'🖐🏾 Human'!I2</f>
        <v>5</v>
      </c>
      <c r="I662" s="119" t="n">
        <f aca="false">'🖐🏾 Human'!J2</f>
        <v>3</v>
      </c>
    </row>
    <row r="663" customFormat="false" ht="15.75" hidden="false" customHeight="false" outlineLevel="0" collapsed="false">
      <c r="A663" s="118" t="str">
        <f aca="false">'🖐🏾 Human'!$A$2</f>
        <v>https://www.berria.eus/ekonomia/urte-eta-erdiko-kartzela-zigorra-eta-30000-euroko-kalte-ordainak-zorroza-gestion-enpresan-hil-zen-langileagatik_2124960_102.html</v>
      </c>
      <c r="B663" s="4" t="s">
        <v>15</v>
      </c>
      <c r="C663" s="119" t="str">
        <f aca="false">'🖐🏾 Human'!C3</f>
        <v>Naiara</v>
      </c>
      <c r="D663" s="155" t="n">
        <f aca="false">'🖐🏾 Human'!E3</f>
        <v>0.4</v>
      </c>
      <c r="E663" s="119" t="n">
        <f aca="false">'🖐🏾 Human'!F3</f>
        <v>0</v>
      </c>
      <c r="F663" s="119" t="n">
        <f aca="false">'🖐🏾 Human'!G3</f>
        <v>0</v>
      </c>
      <c r="G663" s="119" t="n">
        <f aca="false">'🖐🏾 Human'!H3</f>
        <v>0</v>
      </c>
      <c r="H663" s="119" t="n">
        <f aca="false">'🖐🏾 Human'!I3</f>
        <v>0</v>
      </c>
      <c r="I663" s="119" t="n">
        <f aca="false">'🖐🏾 Human'!J3</f>
        <v>0</v>
      </c>
    </row>
    <row r="664" customFormat="false" ht="15.75" hidden="false" customHeight="false" outlineLevel="0" collapsed="false">
      <c r="A664" s="118" t="str">
        <f aca="false">'🖐🏾 Human'!$A$2</f>
        <v>https://www.berria.eus/ekonomia/urte-eta-erdiko-kartzela-zigorra-eta-30000-euroko-kalte-ordainak-zorroza-gestion-enpresan-hil-zen-langileagatik_2124960_102.html</v>
      </c>
      <c r="B664" s="4" t="s">
        <v>15</v>
      </c>
      <c r="C664" s="119" t="n">
        <f aca="false">'🖐🏾 Human'!C4</f>
        <v>0</v>
      </c>
      <c r="D664" s="155" t="n">
        <f aca="false">'🖐🏾 Human'!E4</f>
        <v>0.005128205128</v>
      </c>
      <c r="E664" s="119" t="n">
        <f aca="false">'🖐🏾 Human'!F4</f>
        <v>0</v>
      </c>
      <c r="F664" s="119" t="n">
        <f aca="false">'🖐🏾 Human'!G4</f>
        <v>0</v>
      </c>
      <c r="G664" s="119" t="n">
        <f aca="false">'🖐🏾 Human'!H4</f>
        <v>0</v>
      </c>
      <c r="H664" s="119" t="n">
        <f aca="false">'🖐🏾 Human'!I4</f>
        <v>0</v>
      </c>
      <c r="I664" s="119" t="n">
        <f aca="false">'🖐🏾 Human'!J4</f>
        <v>0</v>
      </c>
    </row>
    <row r="665" customFormat="false" ht="15.75" hidden="false" customHeight="false" outlineLevel="0" collapsed="false">
      <c r="A665" s="118" t="str">
        <f aca="false">'🖐🏾 Human'!$A$2</f>
        <v>https://www.berria.eus/ekonomia/urte-eta-erdiko-kartzela-zigorra-eta-30000-euroko-kalte-ordainak-zorroza-gestion-enpresan-hil-zen-langileagatik_2124960_102.html</v>
      </c>
      <c r="B665" s="4" t="s">
        <v>15</v>
      </c>
      <c r="C665" s="119" t="n">
        <f aca="false">'🖐🏾 Human'!C5</f>
        <v>0</v>
      </c>
      <c r="D665" s="155" t="n">
        <f aca="false">'🖐🏾 Human'!E5</f>
        <v>0.005128205128</v>
      </c>
      <c r="E665" s="119" t="n">
        <f aca="false">'🖐🏾 Human'!F5</f>
        <v>0</v>
      </c>
      <c r="F665" s="119" t="n">
        <f aca="false">'🖐🏾 Human'!G5</f>
        <v>0</v>
      </c>
      <c r="G665" s="119" t="n">
        <f aca="false">'🖐🏾 Human'!H5</f>
        <v>0</v>
      </c>
      <c r="H665" s="119" t="n">
        <f aca="false">'🖐🏾 Human'!I5</f>
        <v>0</v>
      </c>
      <c r="I665" s="119" t="n">
        <f aca="false">'🖐🏾 Human'!J5</f>
        <v>0</v>
      </c>
    </row>
    <row r="666" customFormat="false" ht="15.75" hidden="false" customHeight="false" outlineLevel="0" collapsed="false">
      <c r="A666" s="9"/>
      <c r="B666" s="4"/>
      <c r="C666" s="6"/>
      <c r="D666" s="155"/>
      <c r="E666" s="6"/>
      <c r="F666" s="6"/>
      <c r="G666" s="6"/>
      <c r="H666" s="6"/>
      <c r="I666" s="6"/>
    </row>
    <row r="667" customFormat="false" ht="15.75" hidden="false" customHeight="false" outlineLevel="0" collapsed="false">
      <c r="A667" s="118" t="str">
        <f aca="false">'🖐🏾 Human'!$A$7</f>
        <v>https://www.berria.eus/kirola/hirutik-hiru-jaka-mariezkurrenarentzat_2117677_102.html</v>
      </c>
      <c r="B667" s="4" t="s">
        <v>15</v>
      </c>
      <c r="C667" s="119" t="str">
        <f aca="false">'🖐🏾 Human'!C7</f>
        <v>Heading</v>
      </c>
      <c r="D667" s="155" t="n">
        <f aca="false">'🖐🏾 Human'!E7</f>
        <v>0.08333333333</v>
      </c>
      <c r="E667" s="119" t="n">
        <f aca="false">'🖐🏾 Human'!F7</f>
        <v>3</v>
      </c>
      <c r="F667" s="119" t="n">
        <f aca="false">'🖐🏾 Human'!G7</f>
        <v>5</v>
      </c>
      <c r="G667" s="119" t="n">
        <f aca="false">'🖐🏾 Human'!H7</f>
        <v>5</v>
      </c>
      <c r="H667" s="119" t="n">
        <f aca="false">'🖐🏾 Human'!I7</f>
        <v>4</v>
      </c>
      <c r="I667" s="119" t="n">
        <f aca="false">'🖐🏾 Human'!J7</f>
        <v>2</v>
      </c>
    </row>
    <row r="668" customFormat="false" ht="15.75" hidden="false" customHeight="false" outlineLevel="0" collapsed="false">
      <c r="A668" s="118" t="str">
        <f aca="false">'🖐🏾 Human'!$A$7</f>
        <v>https://www.berria.eus/kirola/hirutik-hiru-jaka-mariezkurrenarentzat_2117677_102.html</v>
      </c>
      <c r="B668" s="4" t="s">
        <v>15</v>
      </c>
      <c r="C668" s="119" t="str">
        <f aca="false">'🖐🏾 Human'!C8</f>
        <v>Naiara</v>
      </c>
      <c r="D668" s="155" t="n">
        <f aca="false">'🖐🏾 Human'!E8</f>
        <v>0.2797619048</v>
      </c>
      <c r="E668" s="119" t="n">
        <f aca="false">'🖐🏾 Human'!F8</f>
        <v>0</v>
      </c>
      <c r="F668" s="119" t="n">
        <f aca="false">'🖐🏾 Human'!G8</f>
        <v>0</v>
      </c>
      <c r="G668" s="119" t="n">
        <f aca="false">'🖐🏾 Human'!H8</f>
        <v>0</v>
      </c>
      <c r="H668" s="119" t="n">
        <f aca="false">'🖐🏾 Human'!I8</f>
        <v>0</v>
      </c>
      <c r="I668" s="119" t="n">
        <f aca="false">'🖐🏾 Human'!J8</f>
        <v>0</v>
      </c>
    </row>
    <row r="669" customFormat="false" ht="15.75" hidden="false" customHeight="false" outlineLevel="0" collapsed="false">
      <c r="A669" s="118" t="str">
        <f aca="false">'🖐🏾 Human'!$A$7</f>
        <v>https://www.berria.eus/kirola/hirutik-hiru-jaka-mariezkurrenarentzat_2117677_102.html</v>
      </c>
      <c r="B669" s="4" t="s">
        <v>15</v>
      </c>
      <c r="C669" s="119" t="n">
        <f aca="false">'🖐🏾 Human'!C9</f>
        <v>0</v>
      </c>
      <c r="D669" s="155" t="n">
        <f aca="false">'🖐🏾 Human'!E9</f>
        <v>0.005952380952</v>
      </c>
      <c r="E669" s="119" t="n">
        <f aca="false">'🖐🏾 Human'!F9</f>
        <v>0</v>
      </c>
      <c r="F669" s="119" t="n">
        <f aca="false">'🖐🏾 Human'!G9</f>
        <v>0</v>
      </c>
      <c r="G669" s="119" t="n">
        <f aca="false">'🖐🏾 Human'!H9</f>
        <v>0</v>
      </c>
      <c r="H669" s="119" t="n">
        <f aca="false">'🖐🏾 Human'!I9</f>
        <v>0</v>
      </c>
      <c r="I669" s="119" t="n">
        <f aca="false">'🖐🏾 Human'!J9</f>
        <v>0</v>
      </c>
    </row>
    <row r="670" customFormat="false" ht="15.75" hidden="false" customHeight="false" outlineLevel="0" collapsed="false">
      <c r="A670" s="118" t="str">
        <f aca="false">'🖐🏾 Human'!$A$7</f>
        <v>https://www.berria.eus/kirola/hirutik-hiru-jaka-mariezkurrenarentzat_2117677_102.html</v>
      </c>
      <c r="B670" s="4" t="s">
        <v>15</v>
      </c>
      <c r="C670" s="119" t="n">
        <f aca="false">'🖐🏾 Human'!C10</f>
        <v>0</v>
      </c>
      <c r="D670" s="155" t="n">
        <f aca="false">'🖐🏾 Human'!E10</f>
        <v>0.005952380952</v>
      </c>
      <c r="E670" s="119" t="n">
        <f aca="false">'🖐🏾 Human'!F10</f>
        <v>0</v>
      </c>
      <c r="F670" s="119" t="n">
        <f aca="false">'🖐🏾 Human'!G10</f>
        <v>0</v>
      </c>
      <c r="G670" s="119" t="n">
        <f aca="false">'🖐🏾 Human'!H10</f>
        <v>0</v>
      </c>
      <c r="H670" s="119" t="n">
        <f aca="false">'🖐🏾 Human'!I10</f>
        <v>0</v>
      </c>
      <c r="I670" s="119" t="n">
        <f aca="false">'🖐🏾 Human'!J10</f>
        <v>0</v>
      </c>
    </row>
    <row r="671" customFormat="false" ht="15.75" hidden="false" customHeight="false" outlineLevel="0" collapsed="false">
      <c r="A671" s="9"/>
      <c r="B671" s="4"/>
      <c r="C671" s="6"/>
      <c r="D671" s="155"/>
      <c r="E671" s="6"/>
      <c r="F671" s="6"/>
      <c r="G671" s="6"/>
      <c r="H671" s="6"/>
      <c r="I671" s="6"/>
    </row>
    <row r="672" customFormat="false" ht="15.75" hidden="false" customHeight="false" outlineLevel="0" collapsed="false">
      <c r="A672" s="118" t="str">
        <f aca="false">'🖐🏾 Human'!$A$12</f>
        <v>https://www.berria.eus/bizigiro/larreen-eta-larrabereen-balioaz_2126273_102.html</v>
      </c>
      <c r="B672" s="4" t="s">
        <v>15</v>
      </c>
      <c r="C672" s="119" t="str">
        <f aca="false">'🖐🏾 Human'!C12</f>
        <v>Heading</v>
      </c>
      <c r="D672" s="155" t="n">
        <f aca="false">'🖐🏾 Human'!E12</f>
        <v>0.06178489703</v>
      </c>
      <c r="E672" s="119" t="n">
        <f aca="false">'🖐🏾 Human'!F12</f>
        <v>4</v>
      </c>
      <c r="F672" s="119" t="n">
        <f aca="false">'🖐🏾 Human'!G12</f>
        <v>5</v>
      </c>
      <c r="G672" s="119" t="n">
        <f aca="false">'🖐🏾 Human'!H12</f>
        <v>5</v>
      </c>
      <c r="H672" s="119" t="n">
        <f aca="false">'🖐🏾 Human'!I12</f>
        <v>5</v>
      </c>
      <c r="I672" s="119" t="n">
        <f aca="false">'🖐🏾 Human'!J12</f>
        <v>2</v>
      </c>
    </row>
    <row r="673" customFormat="false" ht="15.75" hidden="false" customHeight="false" outlineLevel="0" collapsed="false">
      <c r="A673" s="118" t="str">
        <f aca="false">'🖐🏾 Human'!$A$12</f>
        <v>https://www.berria.eus/bizigiro/larreen-eta-larrabereen-balioaz_2126273_102.html</v>
      </c>
      <c r="B673" s="4" t="s">
        <v>15</v>
      </c>
      <c r="C673" s="119" t="str">
        <f aca="false">'🖐🏾 Human'!C13</f>
        <v>Naiara</v>
      </c>
      <c r="D673" s="155" t="n">
        <f aca="false">'🖐🏾 Human'!E13</f>
        <v>0.2471395881</v>
      </c>
      <c r="E673" s="119" t="n">
        <f aca="false">'🖐🏾 Human'!F13</f>
        <v>0</v>
      </c>
      <c r="F673" s="119" t="n">
        <f aca="false">'🖐🏾 Human'!G13</f>
        <v>0</v>
      </c>
      <c r="G673" s="119" t="n">
        <f aca="false">'🖐🏾 Human'!H13</f>
        <v>0</v>
      </c>
      <c r="H673" s="119" t="n">
        <f aca="false">'🖐🏾 Human'!I13</f>
        <v>0</v>
      </c>
      <c r="I673" s="119" t="n">
        <f aca="false">'🖐🏾 Human'!J13</f>
        <v>0</v>
      </c>
    </row>
    <row r="674" customFormat="false" ht="15.75" hidden="false" customHeight="false" outlineLevel="0" collapsed="false">
      <c r="A674" s="118" t="str">
        <f aca="false">'🖐🏾 Human'!$A$12</f>
        <v>https://www.berria.eus/bizigiro/larreen-eta-larrabereen-balioaz_2126273_102.html</v>
      </c>
      <c r="B674" s="4" t="s">
        <v>15</v>
      </c>
      <c r="C674" s="119" t="n">
        <f aca="false">'🖐🏾 Human'!C14</f>
        <v>0</v>
      </c>
      <c r="D674" s="155" t="n">
        <f aca="false">'🖐🏾 Human'!E14</f>
        <v>0.002288329519</v>
      </c>
      <c r="E674" s="119" t="n">
        <f aca="false">'🖐🏾 Human'!F14</f>
        <v>0</v>
      </c>
      <c r="F674" s="119" t="n">
        <f aca="false">'🖐🏾 Human'!G14</f>
        <v>0</v>
      </c>
      <c r="G674" s="119" t="n">
        <f aca="false">'🖐🏾 Human'!H14</f>
        <v>0</v>
      </c>
      <c r="H674" s="119" t="n">
        <f aca="false">'🖐🏾 Human'!I14</f>
        <v>0</v>
      </c>
      <c r="I674" s="119" t="n">
        <f aca="false">'🖐🏾 Human'!J14</f>
        <v>0</v>
      </c>
    </row>
    <row r="675" customFormat="false" ht="15.75" hidden="false" customHeight="false" outlineLevel="0" collapsed="false">
      <c r="A675" s="118" t="str">
        <f aca="false">'🖐🏾 Human'!$A$12</f>
        <v>https://www.berria.eus/bizigiro/larreen-eta-larrabereen-balioaz_2126273_102.html</v>
      </c>
      <c r="B675" s="4" t="s">
        <v>15</v>
      </c>
      <c r="C675" s="119" t="n">
        <f aca="false">'🖐🏾 Human'!C15</f>
        <v>0</v>
      </c>
      <c r="D675" s="155" t="n">
        <f aca="false">'🖐🏾 Human'!E15</f>
        <v>0.002288329519</v>
      </c>
      <c r="E675" s="119" t="n">
        <f aca="false">'🖐🏾 Human'!F15</f>
        <v>0</v>
      </c>
      <c r="F675" s="119" t="n">
        <f aca="false">'🖐🏾 Human'!G15</f>
        <v>0</v>
      </c>
      <c r="G675" s="119" t="n">
        <f aca="false">'🖐🏾 Human'!H15</f>
        <v>0</v>
      </c>
      <c r="H675" s="119" t="n">
        <f aca="false">'🖐🏾 Human'!I15</f>
        <v>0</v>
      </c>
      <c r="I675" s="119" t="n">
        <f aca="false">'🖐🏾 Human'!J15</f>
        <v>0</v>
      </c>
    </row>
    <row r="676" customFormat="false" ht="15.75" hidden="false" customHeight="false" outlineLevel="0" collapsed="false">
      <c r="A676" s="9"/>
      <c r="B676" s="4"/>
      <c r="C676" s="6"/>
      <c r="D676" s="155"/>
      <c r="E676" s="6"/>
      <c r="F676" s="6"/>
      <c r="G676" s="6"/>
      <c r="H676" s="6"/>
      <c r="I676" s="6"/>
    </row>
    <row r="677" customFormat="false" ht="15.75" hidden="false" customHeight="false" outlineLevel="0" collapsed="false">
      <c r="A677" s="118" t="str">
        <f aca="false">'🖐🏾 Human'!$A$17</f>
        <v>https://www.berria.eus/kirola/olatua-hartuta-parisera_2121856_102.html</v>
      </c>
      <c r="B677" s="4" t="s">
        <v>15</v>
      </c>
      <c r="C677" s="119" t="str">
        <f aca="false">'🖐🏾 Human'!C17</f>
        <v>Heading</v>
      </c>
      <c r="D677" s="155" t="n">
        <f aca="false">'🖐🏾 Human'!E17</f>
        <v>0.08121827411</v>
      </c>
      <c r="E677" s="119" t="n">
        <f aca="false">'🖐🏾 Human'!F17</f>
        <v>4</v>
      </c>
      <c r="F677" s="119" t="n">
        <f aca="false">'🖐🏾 Human'!G17</f>
        <v>5</v>
      </c>
      <c r="G677" s="119" t="n">
        <f aca="false">'🖐🏾 Human'!H17</f>
        <v>5</v>
      </c>
      <c r="H677" s="119" t="n">
        <f aca="false">'🖐🏾 Human'!I17</f>
        <v>5</v>
      </c>
      <c r="I677" s="119" t="n">
        <f aca="false">'🖐🏾 Human'!J17</f>
        <v>3</v>
      </c>
    </row>
    <row r="678" customFormat="false" ht="15.75" hidden="false" customHeight="false" outlineLevel="0" collapsed="false">
      <c r="A678" s="118" t="str">
        <f aca="false">'🖐🏾 Human'!$A$17</f>
        <v>https://www.berria.eus/kirola/olatua-hartuta-parisera_2121856_102.html</v>
      </c>
      <c r="B678" s="4" t="s">
        <v>15</v>
      </c>
      <c r="C678" s="119" t="str">
        <f aca="false">'🖐🏾 Human'!C18</f>
        <v>Naiara</v>
      </c>
      <c r="D678" s="155" t="n">
        <f aca="false">'🖐🏾 Human'!E18</f>
        <v>0.3096446701</v>
      </c>
      <c r="E678" s="119" t="n">
        <f aca="false">'🖐🏾 Human'!F18</f>
        <v>0</v>
      </c>
      <c r="F678" s="119" t="n">
        <f aca="false">'🖐🏾 Human'!G18</f>
        <v>0</v>
      </c>
      <c r="G678" s="119" t="n">
        <f aca="false">'🖐🏾 Human'!H18</f>
        <v>0</v>
      </c>
      <c r="H678" s="119" t="n">
        <f aca="false">'🖐🏾 Human'!I18</f>
        <v>0</v>
      </c>
      <c r="I678" s="119" t="n">
        <f aca="false">'🖐🏾 Human'!J18</f>
        <v>0</v>
      </c>
    </row>
    <row r="679" customFormat="false" ht="15.75" hidden="false" customHeight="false" outlineLevel="0" collapsed="false">
      <c r="A679" s="118" t="str">
        <f aca="false">'🖐🏾 Human'!$A$17</f>
        <v>https://www.berria.eus/kirola/olatua-hartuta-parisera_2121856_102.html</v>
      </c>
      <c r="B679" s="4" t="s">
        <v>15</v>
      </c>
      <c r="C679" s="119" t="n">
        <f aca="false">'🖐🏾 Human'!C19</f>
        <v>0</v>
      </c>
      <c r="D679" s="155" t="n">
        <f aca="false">'🖐🏾 Human'!E19</f>
        <v>0.002538071066</v>
      </c>
      <c r="E679" s="119" t="n">
        <f aca="false">'🖐🏾 Human'!F19</f>
        <v>0</v>
      </c>
      <c r="F679" s="119" t="n">
        <f aca="false">'🖐🏾 Human'!G19</f>
        <v>0</v>
      </c>
      <c r="G679" s="119" t="n">
        <f aca="false">'🖐🏾 Human'!H19</f>
        <v>0</v>
      </c>
      <c r="H679" s="119" t="n">
        <f aca="false">'🖐🏾 Human'!I19</f>
        <v>0</v>
      </c>
      <c r="I679" s="119" t="n">
        <f aca="false">'🖐🏾 Human'!J19</f>
        <v>0</v>
      </c>
    </row>
    <row r="680" customFormat="false" ht="15.75" hidden="false" customHeight="false" outlineLevel="0" collapsed="false">
      <c r="A680" s="118" t="str">
        <f aca="false">'🖐🏾 Human'!$A$17</f>
        <v>https://www.berria.eus/kirola/olatua-hartuta-parisera_2121856_102.html</v>
      </c>
      <c r="B680" s="4" t="s">
        <v>15</v>
      </c>
      <c r="C680" s="119" t="n">
        <f aca="false">'🖐🏾 Human'!C20</f>
        <v>0</v>
      </c>
      <c r="D680" s="155" t="n">
        <f aca="false">'🖐🏾 Human'!E20</f>
        <v>0.002538071066</v>
      </c>
      <c r="E680" s="119" t="n">
        <f aca="false">'🖐🏾 Human'!F20</f>
        <v>0</v>
      </c>
      <c r="F680" s="119" t="n">
        <f aca="false">'🖐🏾 Human'!G20</f>
        <v>0</v>
      </c>
      <c r="G680" s="119" t="n">
        <f aca="false">'🖐🏾 Human'!H20</f>
        <v>0</v>
      </c>
      <c r="H680" s="119" t="n">
        <f aca="false">'🖐🏾 Human'!I20</f>
        <v>0</v>
      </c>
      <c r="I680" s="119" t="n">
        <f aca="false">'🖐🏾 Human'!J20</f>
        <v>0</v>
      </c>
    </row>
    <row r="681" customFormat="false" ht="15.75" hidden="false" customHeight="false" outlineLevel="0" collapsed="false">
      <c r="A681" s="9"/>
      <c r="B681" s="4"/>
      <c r="C681" s="6"/>
      <c r="D681" s="155"/>
      <c r="E681" s="6"/>
      <c r="F681" s="6"/>
      <c r="G681" s="6"/>
      <c r="H681" s="6"/>
      <c r="I681" s="6"/>
    </row>
    <row r="682" customFormat="false" ht="15.75" hidden="false" customHeight="false" outlineLevel="0" collapsed="false">
      <c r="A682" s="118" t="str">
        <f aca="false">'🖐🏾 Human'!$A$22</f>
        <v>https://www.berria.eus/bizigiro/badago-ezkutuan-dagoen-sektore-bat-sarietatik-kanpo-idazten-ari-dena_2119644_102.html</v>
      </c>
      <c r="B682" s="4" t="s">
        <v>15</v>
      </c>
      <c r="C682" s="119" t="str">
        <f aca="false">'🖐🏾 Human'!C22</f>
        <v>Heading</v>
      </c>
      <c r="D682" s="155" t="n">
        <f aca="false">'🖐🏾 Human'!E22</f>
        <v>0.07415730337</v>
      </c>
      <c r="E682" s="119" t="n">
        <f aca="false">'🖐🏾 Human'!F22</f>
        <v>3</v>
      </c>
      <c r="F682" s="119" t="n">
        <f aca="false">'🖐🏾 Human'!G22</f>
        <v>5</v>
      </c>
      <c r="G682" s="119" t="n">
        <f aca="false">'🖐🏾 Human'!H22</f>
        <v>5</v>
      </c>
      <c r="H682" s="119" t="n">
        <f aca="false">'🖐🏾 Human'!I22</f>
        <v>4</v>
      </c>
      <c r="I682" s="119" t="n">
        <f aca="false">'🖐🏾 Human'!J22</f>
        <v>1</v>
      </c>
    </row>
    <row r="683" customFormat="false" ht="15.75" hidden="false" customHeight="false" outlineLevel="0" collapsed="false">
      <c r="A683" s="118" t="str">
        <f aca="false">'🖐🏾 Human'!$A$22</f>
        <v>https://www.berria.eus/bizigiro/badago-ezkutuan-dagoen-sektore-bat-sarietatik-kanpo-idazten-ari-dena_2119644_102.html</v>
      </c>
      <c r="B683" s="4" t="s">
        <v>15</v>
      </c>
      <c r="C683" s="119" t="str">
        <f aca="false">'🖐🏾 Human'!C23</f>
        <v>Naiara</v>
      </c>
      <c r="D683" s="155" t="n">
        <f aca="false">'🖐🏾 Human'!E23</f>
        <v>0.2359550562</v>
      </c>
      <c r="E683" s="119" t="n">
        <f aca="false">'🖐🏾 Human'!F23</f>
        <v>0</v>
      </c>
      <c r="F683" s="119" t="n">
        <f aca="false">'🖐🏾 Human'!G23</f>
        <v>0</v>
      </c>
      <c r="G683" s="119" t="n">
        <f aca="false">'🖐🏾 Human'!H23</f>
        <v>0</v>
      </c>
      <c r="H683" s="119" t="n">
        <f aca="false">'🖐🏾 Human'!I23</f>
        <v>0</v>
      </c>
      <c r="I683" s="119" t="n">
        <f aca="false">'🖐🏾 Human'!J23</f>
        <v>0</v>
      </c>
    </row>
    <row r="684" customFormat="false" ht="15.75" hidden="false" customHeight="false" outlineLevel="0" collapsed="false">
      <c r="A684" s="118" t="str">
        <f aca="false">'🖐🏾 Human'!$A$22</f>
        <v>https://www.berria.eus/bizigiro/badago-ezkutuan-dagoen-sektore-bat-sarietatik-kanpo-idazten-ari-dena_2119644_102.html</v>
      </c>
      <c r="B684" s="4" t="s">
        <v>15</v>
      </c>
      <c r="C684" s="119" t="n">
        <f aca="false">'🖐🏾 Human'!C24</f>
        <v>0</v>
      </c>
      <c r="D684" s="155" t="n">
        <f aca="false">'🖐🏾 Human'!E24</f>
        <v>0.002247191011</v>
      </c>
      <c r="E684" s="119" t="n">
        <f aca="false">'🖐🏾 Human'!F24</f>
        <v>0</v>
      </c>
      <c r="F684" s="119" t="n">
        <f aca="false">'🖐🏾 Human'!G24</f>
        <v>0</v>
      </c>
      <c r="G684" s="119" t="n">
        <f aca="false">'🖐🏾 Human'!H24</f>
        <v>0</v>
      </c>
      <c r="H684" s="119" t="n">
        <f aca="false">'🖐🏾 Human'!I24</f>
        <v>0</v>
      </c>
      <c r="I684" s="119" t="n">
        <f aca="false">'🖐🏾 Human'!J24</f>
        <v>0</v>
      </c>
    </row>
    <row r="685" customFormat="false" ht="15.75" hidden="false" customHeight="false" outlineLevel="0" collapsed="false">
      <c r="A685" s="118" t="str">
        <f aca="false">'🖐🏾 Human'!$A$22</f>
        <v>https://www.berria.eus/bizigiro/badago-ezkutuan-dagoen-sektore-bat-sarietatik-kanpo-idazten-ari-dena_2119644_102.html</v>
      </c>
      <c r="B685" s="4" t="s">
        <v>15</v>
      </c>
      <c r="C685" s="119" t="n">
        <f aca="false">'🖐🏾 Human'!C25</f>
        <v>0</v>
      </c>
      <c r="D685" s="155" t="n">
        <f aca="false">'🖐🏾 Human'!E25</f>
        <v>0.002247191011</v>
      </c>
      <c r="E685" s="119" t="n">
        <f aca="false">'🖐🏾 Human'!F25</f>
        <v>0</v>
      </c>
      <c r="F685" s="119" t="n">
        <f aca="false">'🖐🏾 Human'!G25</f>
        <v>0</v>
      </c>
      <c r="G685" s="119" t="n">
        <f aca="false">'🖐🏾 Human'!H25</f>
        <v>0</v>
      </c>
      <c r="H685" s="119" t="n">
        <f aca="false">'🖐🏾 Human'!I25</f>
        <v>0</v>
      </c>
      <c r="I685" s="119" t="n">
        <f aca="false">'🖐🏾 Human'!J25</f>
        <v>0</v>
      </c>
    </row>
    <row r="686" customFormat="false" ht="15.75" hidden="false" customHeight="false" outlineLevel="0" collapsed="false">
      <c r="A686" s="9"/>
      <c r="B686" s="4"/>
      <c r="C686" s="6"/>
      <c r="D686" s="155"/>
      <c r="E686" s="6"/>
      <c r="F686" s="6"/>
      <c r="G686" s="6"/>
      <c r="H686" s="6"/>
      <c r="I686" s="6"/>
    </row>
    <row r="687" customFormat="false" ht="15.75" hidden="false" customHeight="false" outlineLevel="0" collapsed="false">
      <c r="A687" s="118" t="str">
        <f aca="false">'🖐🏾 Human'!$A$27</f>
        <v>https://www.berria.eus/bizigiro/istorioak-irudien-bidez-kontatzen-ditut-oso-hizkuntza-unibertsala-da_2121576_102.html</v>
      </c>
      <c r="B687" s="4" t="s">
        <v>15</v>
      </c>
      <c r="C687" s="119" t="str">
        <f aca="false">'🖐🏾 Human'!C27</f>
        <v>Heading</v>
      </c>
      <c r="D687" s="155" t="n">
        <f aca="false">'🖐🏾 Human'!E27</f>
        <v>0.06873614191</v>
      </c>
      <c r="E687" s="119" t="n">
        <f aca="false">'🖐🏾 Human'!F27</f>
        <v>2</v>
      </c>
      <c r="F687" s="119" t="n">
        <f aca="false">'🖐🏾 Human'!G27</f>
        <v>5</v>
      </c>
      <c r="G687" s="119" t="n">
        <f aca="false">'🖐🏾 Human'!H27</f>
        <v>5</v>
      </c>
      <c r="H687" s="119" t="n">
        <f aca="false">'🖐🏾 Human'!I27</f>
        <v>3</v>
      </c>
      <c r="I687" s="119" t="n">
        <f aca="false">'🖐🏾 Human'!J27</f>
        <v>2</v>
      </c>
    </row>
    <row r="688" customFormat="false" ht="15.75" hidden="false" customHeight="false" outlineLevel="0" collapsed="false">
      <c r="A688" s="118" t="str">
        <f aca="false">'🖐🏾 Human'!$A$27</f>
        <v>https://www.berria.eus/bizigiro/istorioak-irudien-bidez-kontatzen-ditut-oso-hizkuntza-unibertsala-da_2121576_102.html</v>
      </c>
      <c r="B688" s="4" t="s">
        <v>15</v>
      </c>
      <c r="C688" s="119" t="str">
        <f aca="false">'🖐🏾 Human'!C28</f>
        <v>Naiara</v>
      </c>
      <c r="D688" s="155" t="n">
        <f aca="false">'🖐🏾 Human'!E28</f>
        <v>0.1818181818</v>
      </c>
      <c r="E688" s="119" t="n">
        <f aca="false">'🖐🏾 Human'!F28</f>
        <v>0</v>
      </c>
      <c r="F688" s="119" t="n">
        <f aca="false">'🖐🏾 Human'!G28</f>
        <v>0</v>
      </c>
      <c r="G688" s="119" t="n">
        <f aca="false">'🖐🏾 Human'!H28</f>
        <v>0</v>
      </c>
      <c r="H688" s="119" t="n">
        <f aca="false">'🖐🏾 Human'!I28</f>
        <v>0</v>
      </c>
      <c r="I688" s="119" t="n">
        <f aca="false">'🖐🏾 Human'!J28</f>
        <v>0</v>
      </c>
    </row>
    <row r="689" customFormat="false" ht="15.75" hidden="false" customHeight="false" outlineLevel="0" collapsed="false">
      <c r="A689" s="118" t="str">
        <f aca="false">'🖐🏾 Human'!$A$27</f>
        <v>https://www.berria.eus/bizigiro/istorioak-irudien-bidez-kontatzen-ditut-oso-hizkuntza-unibertsala-da_2121576_102.html</v>
      </c>
      <c r="B689" s="4" t="s">
        <v>15</v>
      </c>
      <c r="C689" s="119" t="n">
        <f aca="false">'🖐🏾 Human'!C29</f>
        <v>0</v>
      </c>
      <c r="D689" s="155" t="n">
        <f aca="false">'🖐🏾 Human'!E29</f>
        <v>0.0022172949</v>
      </c>
      <c r="E689" s="119" t="n">
        <f aca="false">'🖐🏾 Human'!F29</f>
        <v>0</v>
      </c>
      <c r="F689" s="119" t="n">
        <f aca="false">'🖐🏾 Human'!G29</f>
        <v>0</v>
      </c>
      <c r="G689" s="119" t="n">
        <f aca="false">'🖐🏾 Human'!H29</f>
        <v>0</v>
      </c>
      <c r="H689" s="119" t="n">
        <f aca="false">'🖐🏾 Human'!I29</f>
        <v>0</v>
      </c>
      <c r="I689" s="119" t="n">
        <f aca="false">'🖐🏾 Human'!J29</f>
        <v>0</v>
      </c>
    </row>
    <row r="690" customFormat="false" ht="15.75" hidden="false" customHeight="false" outlineLevel="0" collapsed="false">
      <c r="A690" s="118" t="str">
        <f aca="false">'🖐🏾 Human'!$A$27</f>
        <v>https://www.berria.eus/bizigiro/istorioak-irudien-bidez-kontatzen-ditut-oso-hizkuntza-unibertsala-da_2121576_102.html</v>
      </c>
      <c r="B690" s="4" t="s">
        <v>15</v>
      </c>
      <c r="C690" s="119" t="n">
        <f aca="false">'🖐🏾 Human'!C30</f>
        <v>0</v>
      </c>
      <c r="D690" s="155" t="n">
        <f aca="false">'🖐🏾 Human'!E30</f>
        <v>0.0022172949</v>
      </c>
      <c r="E690" s="119" t="n">
        <f aca="false">'🖐🏾 Human'!F30</f>
        <v>0</v>
      </c>
      <c r="F690" s="119" t="n">
        <f aca="false">'🖐🏾 Human'!G30</f>
        <v>0</v>
      </c>
      <c r="G690" s="119" t="n">
        <f aca="false">'🖐🏾 Human'!H30</f>
        <v>0</v>
      </c>
      <c r="H690" s="119" t="n">
        <f aca="false">'🖐🏾 Human'!I30</f>
        <v>0</v>
      </c>
      <c r="I690" s="119" t="n">
        <f aca="false">'🖐🏾 Human'!J30</f>
        <v>0</v>
      </c>
    </row>
    <row r="691" customFormat="false" ht="15.75" hidden="false" customHeight="false" outlineLevel="0" collapsed="false">
      <c r="A691" s="9"/>
      <c r="B691" s="4"/>
      <c r="C691" s="6"/>
      <c r="D691" s="155"/>
      <c r="E691" s="6"/>
      <c r="F691" s="6"/>
      <c r="G691" s="6"/>
      <c r="H691" s="6"/>
      <c r="I691" s="6"/>
    </row>
    <row r="692" customFormat="false" ht="15.75" hidden="false" customHeight="false" outlineLevel="0" collapsed="false">
      <c r="A692" s="118" t="str">
        <f aca="false">'🖐🏾 Human'!$A$32</f>
        <v>https://www.berria.eus/euskal-herria/etxeko-atxiloaldia-ezarri-diote-labioko-hiltzaileari_2124515_102.html</v>
      </c>
      <c r="B692" s="4" t="s">
        <v>15</v>
      </c>
      <c r="C692" s="119" t="str">
        <f aca="false">'🖐🏾 Human'!C32</f>
        <v>Heading</v>
      </c>
      <c r="D692" s="155" t="n">
        <f aca="false">'🖐🏾 Human'!E32</f>
        <v>0.07777777778</v>
      </c>
      <c r="E692" s="119" t="n">
        <f aca="false">'🖐🏾 Human'!F32</f>
        <v>4</v>
      </c>
      <c r="F692" s="119" t="n">
        <f aca="false">'🖐🏾 Human'!G32</f>
        <v>5</v>
      </c>
      <c r="G692" s="119" t="n">
        <f aca="false">'🖐🏾 Human'!H32</f>
        <v>5</v>
      </c>
      <c r="H692" s="119" t="n">
        <f aca="false">'🖐🏾 Human'!I32</f>
        <v>5</v>
      </c>
      <c r="I692" s="119" t="n">
        <f aca="false">'🖐🏾 Human'!J32</f>
        <v>3</v>
      </c>
    </row>
    <row r="693" customFormat="false" ht="15.75" hidden="false" customHeight="false" outlineLevel="0" collapsed="false">
      <c r="A693" s="118" t="str">
        <f aca="false">'🖐🏾 Human'!$A$32</f>
        <v>https://www.berria.eus/euskal-herria/etxeko-atxiloaldia-ezarri-diote-labioko-hiltzaileari_2124515_102.html</v>
      </c>
      <c r="B693" s="4" t="s">
        <v>15</v>
      </c>
      <c r="C693" s="119" t="str">
        <f aca="false">'🖐🏾 Human'!C33</f>
        <v>Naiara</v>
      </c>
      <c r="D693" s="155" t="n">
        <f aca="false">'🖐🏾 Human'!E33</f>
        <v>0.3444444444</v>
      </c>
      <c r="E693" s="119" t="n">
        <f aca="false">'🖐🏾 Human'!F33</f>
        <v>0</v>
      </c>
      <c r="F693" s="119" t="n">
        <f aca="false">'🖐🏾 Human'!G33</f>
        <v>0</v>
      </c>
      <c r="G693" s="119" t="n">
        <f aca="false">'🖐🏾 Human'!H33</f>
        <v>0</v>
      </c>
      <c r="H693" s="119" t="n">
        <f aca="false">'🖐🏾 Human'!I33</f>
        <v>0</v>
      </c>
      <c r="I693" s="119" t="n">
        <f aca="false">'🖐🏾 Human'!J33</f>
        <v>0</v>
      </c>
    </row>
    <row r="694" customFormat="false" ht="15.75" hidden="false" customHeight="false" outlineLevel="0" collapsed="false">
      <c r="A694" s="118" t="str">
        <f aca="false">'🖐🏾 Human'!$A$32</f>
        <v>https://www.berria.eus/euskal-herria/etxeko-atxiloaldia-ezarri-diote-labioko-hiltzaileari_2124515_102.html</v>
      </c>
      <c r="B694" s="4" t="s">
        <v>15</v>
      </c>
      <c r="C694" s="119" t="n">
        <f aca="false">'🖐🏾 Human'!C34</f>
        <v>0</v>
      </c>
      <c r="D694" s="155" t="n">
        <f aca="false">'🖐🏾 Human'!E34</f>
        <v>0.003703703704</v>
      </c>
      <c r="E694" s="119" t="n">
        <f aca="false">'🖐🏾 Human'!F34</f>
        <v>0</v>
      </c>
      <c r="F694" s="119" t="n">
        <f aca="false">'🖐🏾 Human'!G34</f>
        <v>0</v>
      </c>
      <c r="G694" s="119" t="n">
        <f aca="false">'🖐🏾 Human'!H34</f>
        <v>0</v>
      </c>
      <c r="H694" s="119" t="n">
        <f aca="false">'🖐🏾 Human'!I34</f>
        <v>0</v>
      </c>
      <c r="I694" s="119" t="n">
        <f aca="false">'🖐🏾 Human'!J34</f>
        <v>0</v>
      </c>
    </row>
    <row r="695" customFormat="false" ht="15.75" hidden="false" customHeight="false" outlineLevel="0" collapsed="false">
      <c r="A695" s="118" t="str">
        <f aca="false">'🖐🏾 Human'!$A$32</f>
        <v>https://www.berria.eus/euskal-herria/etxeko-atxiloaldia-ezarri-diote-labioko-hiltzaileari_2124515_102.html</v>
      </c>
      <c r="B695" s="4" t="s">
        <v>15</v>
      </c>
      <c r="C695" s="119" t="n">
        <f aca="false">'🖐🏾 Human'!C35</f>
        <v>0</v>
      </c>
      <c r="D695" s="155" t="n">
        <f aca="false">'🖐🏾 Human'!E35</f>
        <v>0.003703703704</v>
      </c>
      <c r="E695" s="119" t="n">
        <f aca="false">'🖐🏾 Human'!F35</f>
        <v>0</v>
      </c>
      <c r="F695" s="119" t="n">
        <f aca="false">'🖐🏾 Human'!G35</f>
        <v>0</v>
      </c>
      <c r="G695" s="119" t="n">
        <f aca="false">'🖐🏾 Human'!H35</f>
        <v>0</v>
      </c>
      <c r="H695" s="119" t="n">
        <f aca="false">'🖐🏾 Human'!I35</f>
        <v>0</v>
      </c>
      <c r="I695" s="119" t="n">
        <f aca="false">'🖐🏾 Human'!J35</f>
        <v>0</v>
      </c>
    </row>
    <row r="696" customFormat="false" ht="15.75" hidden="false" customHeight="false" outlineLevel="0" collapsed="false">
      <c r="A696" s="9"/>
      <c r="B696" s="4"/>
      <c r="C696" s="6"/>
      <c r="D696" s="155"/>
      <c r="E696" s="6"/>
      <c r="F696" s="6"/>
      <c r="G696" s="6"/>
      <c r="H696" s="6"/>
      <c r="I696" s="6"/>
    </row>
    <row r="697" customFormat="false" ht="15.75" hidden="false" customHeight="false" outlineLevel="0" collapsed="false">
      <c r="A697" s="118" t="str">
        <f aca="false">'🖐🏾 Human'!$A$37</f>
        <v>https://www.berria.eus/ekonomia/sektore-eolikoa-eta-milaka-lanpostu-desagertzeko-arriskuaz-ohartarazi-du-elak_233844_102.html</v>
      </c>
      <c r="B697" s="4" t="s">
        <v>15</v>
      </c>
      <c r="C697" s="119" t="str">
        <f aca="false">'🖐🏾 Human'!C37</f>
        <v>Heading</v>
      </c>
      <c r="D697" s="155" t="n">
        <f aca="false">'🖐🏾 Human'!E37</f>
        <v>0.08254716981</v>
      </c>
      <c r="E697" s="119" t="n">
        <f aca="false">'🖐🏾 Human'!F37</f>
        <v>4</v>
      </c>
      <c r="F697" s="119" t="n">
        <f aca="false">'🖐🏾 Human'!G37</f>
        <v>4</v>
      </c>
      <c r="G697" s="119" t="n">
        <f aca="false">'🖐🏾 Human'!H37</f>
        <v>5</v>
      </c>
      <c r="H697" s="119" t="n">
        <f aca="false">'🖐🏾 Human'!I37</f>
        <v>5</v>
      </c>
      <c r="I697" s="119" t="n">
        <f aca="false">'🖐🏾 Human'!J37</f>
        <v>2</v>
      </c>
    </row>
    <row r="698" customFormat="false" ht="15.75" hidden="false" customHeight="false" outlineLevel="0" collapsed="false">
      <c r="A698" s="118" t="str">
        <f aca="false">'🖐🏾 Human'!$A$37</f>
        <v>https://www.berria.eus/ekonomia/sektore-eolikoa-eta-milaka-lanpostu-desagertzeko-arriskuaz-ohartarazi-du-elak_233844_102.html</v>
      </c>
      <c r="B698" s="4" t="s">
        <v>15</v>
      </c>
      <c r="C698" s="119" t="str">
        <f aca="false">'🖐🏾 Human'!C38</f>
        <v>Naiara</v>
      </c>
      <c r="D698" s="155" t="n">
        <f aca="false">'🖐🏾 Human'!E38</f>
        <v>0.2641509434</v>
      </c>
      <c r="E698" s="119" t="n">
        <f aca="false">'🖐🏾 Human'!F38</f>
        <v>0</v>
      </c>
      <c r="F698" s="119" t="n">
        <f aca="false">'🖐🏾 Human'!G38</f>
        <v>0</v>
      </c>
      <c r="G698" s="119" t="n">
        <f aca="false">'🖐🏾 Human'!H38</f>
        <v>0</v>
      </c>
      <c r="H698" s="119" t="n">
        <f aca="false">'🖐🏾 Human'!I38</f>
        <v>0</v>
      </c>
      <c r="I698" s="119" t="n">
        <f aca="false">'🖐🏾 Human'!J38</f>
        <v>0</v>
      </c>
    </row>
    <row r="699" customFormat="false" ht="15.75" hidden="false" customHeight="false" outlineLevel="0" collapsed="false">
      <c r="A699" s="118" t="str">
        <f aca="false">'🖐🏾 Human'!$A$37</f>
        <v>https://www.berria.eus/ekonomia/sektore-eolikoa-eta-milaka-lanpostu-desagertzeko-arriskuaz-ohartarazi-du-elak_233844_102.html</v>
      </c>
      <c r="B699" s="4" t="s">
        <v>15</v>
      </c>
      <c r="C699" s="119" t="n">
        <f aca="false">'🖐🏾 Human'!C39</f>
        <v>0</v>
      </c>
      <c r="D699" s="155" t="n">
        <f aca="false">'🖐🏾 Human'!E39</f>
        <v>0.002358490566</v>
      </c>
      <c r="E699" s="119" t="n">
        <f aca="false">'🖐🏾 Human'!F39</f>
        <v>0</v>
      </c>
      <c r="F699" s="119" t="n">
        <f aca="false">'🖐🏾 Human'!G39</f>
        <v>0</v>
      </c>
      <c r="G699" s="119" t="n">
        <f aca="false">'🖐🏾 Human'!H39</f>
        <v>0</v>
      </c>
      <c r="H699" s="119" t="n">
        <f aca="false">'🖐🏾 Human'!I39</f>
        <v>0</v>
      </c>
      <c r="I699" s="119" t="n">
        <f aca="false">'🖐🏾 Human'!J39</f>
        <v>0</v>
      </c>
    </row>
    <row r="700" customFormat="false" ht="15.75" hidden="false" customHeight="false" outlineLevel="0" collapsed="false">
      <c r="A700" s="118" t="str">
        <f aca="false">'🖐🏾 Human'!$A$37</f>
        <v>https://www.berria.eus/ekonomia/sektore-eolikoa-eta-milaka-lanpostu-desagertzeko-arriskuaz-ohartarazi-du-elak_233844_102.html</v>
      </c>
      <c r="B700" s="4" t="s">
        <v>15</v>
      </c>
      <c r="C700" s="119" t="n">
        <f aca="false">'🖐🏾 Human'!C40</f>
        <v>0</v>
      </c>
      <c r="D700" s="155" t="n">
        <f aca="false">'🖐🏾 Human'!E40</f>
        <v>0.002358490566</v>
      </c>
      <c r="E700" s="119" t="n">
        <f aca="false">'🖐🏾 Human'!F40</f>
        <v>0</v>
      </c>
      <c r="F700" s="119" t="n">
        <f aca="false">'🖐🏾 Human'!G40</f>
        <v>0</v>
      </c>
      <c r="G700" s="119" t="n">
        <f aca="false">'🖐🏾 Human'!H40</f>
        <v>0</v>
      </c>
      <c r="H700" s="119" t="n">
        <f aca="false">'🖐🏾 Human'!I40</f>
        <v>0</v>
      </c>
      <c r="I700" s="119" t="n">
        <f aca="false">'🖐🏾 Human'!J40</f>
        <v>0</v>
      </c>
    </row>
    <row r="701" customFormat="false" ht="15.75" hidden="false" customHeight="false" outlineLevel="0" collapsed="false">
      <c r="A701" s="9"/>
      <c r="B701" s="4"/>
      <c r="C701" s="6"/>
      <c r="D701" s="155"/>
      <c r="E701" s="6"/>
      <c r="F701" s="6"/>
      <c r="G701" s="6"/>
      <c r="H701" s="6"/>
      <c r="I701" s="6"/>
    </row>
    <row r="702" customFormat="false" ht="15.75" hidden="false" customHeight="false" outlineLevel="0" collapsed="false">
      <c r="A702" s="118" t="str">
        <f aca="false">'🖐🏾 Human'!$A$42</f>
        <v>https://www.berria.eus/kultura/mikroipuinak-txikiak-baina-ez-hutsalak_2121931_102.html</v>
      </c>
      <c r="B702" s="4" t="s">
        <v>15</v>
      </c>
      <c r="C702" s="119" t="str">
        <f aca="false">'🖐🏾 Human'!C42</f>
        <v>Heading</v>
      </c>
      <c r="D702" s="155" t="n">
        <f aca="false">'🖐🏾 Human'!E42</f>
        <v>0.04325259516</v>
      </c>
      <c r="E702" s="119" t="n">
        <f aca="false">'🖐🏾 Human'!F42</f>
        <v>4</v>
      </c>
      <c r="F702" s="119" t="n">
        <f aca="false">'🖐🏾 Human'!G42</f>
        <v>5</v>
      </c>
      <c r="G702" s="119" t="n">
        <f aca="false">'🖐🏾 Human'!H42</f>
        <v>5</v>
      </c>
      <c r="H702" s="119" t="n">
        <f aca="false">'🖐🏾 Human'!I42</f>
        <v>4</v>
      </c>
      <c r="I702" s="119" t="n">
        <f aca="false">'🖐🏾 Human'!J42</f>
        <v>2</v>
      </c>
    </row>
    <row r="703" customFormat="false" ht="15.75" hidden="false" customHeight="false" outlineLevel="0" collapsed="false">
      <c r="A703" s="118" t="str">
        <f aca="false">'🖐🏾 Human'!$A$42</f>
        <v>https://www.berria.eus/kultura/mikroipuinak-txikiak-baina-ez-hutsalak_2121931_102.html</v>
      </c>
      <c r="B703" s="4" t="s">
        <v>15</v>
      </c>
      <c r="C703" s="119" t="str">
        <f aca="false">'🖐🏾 Human'!C43</f>
        <v>Naiara</v>
      </c>
      <c r="D703" s="155" t="n">
        <f aca="false">'🖐🏾 Human'!E43</f>
        <v>0.1955017301</v>
      </c>
      <c r="E703" s="119" t="n">
        <f aca="false">'🖐🏾 Human'!F43</f>
        <v>0</v>
      </c>
      <c r="F703" s="119" t="n">
        <f aca="false">'🖐🏾 Human'!G43</f>
        <v>0</v>
      </c>
      <c r="G703" s="119" t="n">
        <f aca="false">'🖐🏾 Human'!H43</f>
        <v>0</v>
      </c>
      <c r="H703" s="119" t="n">
        <f aca="false">'🖐🏾 Human'!I43</f>
        <v>0</v>
      </c>
      <c r="I703" s="119" t="n">
        <f aca="false">'🖐🏾 Human'!J43</f>
        <v>0</v>
      </c>
    </row>
    <row r="704" customFormat="false" ht="15.75" hidden="false" customHeight="false" outlineLevel="0" collapsed="false">
      <c r="A704" s="118" t="str">
        <f aca="false">'🖐🏾 Human'!$A$42</f>
        <v>https://www.berria.eus/kultura/mikroipuinak-txikiak-baina-ez-hutsalak_2121931_102.html</v>
      </c>
      <c r="B704" s="4" t="s">
        <v>15</v>
      </c>
      <c r="C704" s="119" t="n">
        <f aca="false">'🖐🏾 Human'!C44</f>
        <v>0</v>
      </c>
      <c r="D704" s="155" t="n">
        <f aca="false">'🖐🏾 Human'!E44</f>
        <v>0.001730103806</v>
      </c>
      <c r="E704" s="119" t="n">
        <f aca="false">'🖐🏾 Human'!F44</f>
        <v>0</v>
      </c>
      <c r="F704" s="119" t="n">
        <f aca="false">'🖐🏾 Human'!G44</f>
        <v>0</v>
      </c>
      <c r="G704" s="119" t="n">
        <f aca="false">'🖐🏾 Human'!H44</f>
        <v>0</v>
      </c>
      <c r="H704" s="119" t="n">
        <f aca="false">'🖐🏾 Human'!I44</f>
        <v>0</v>
      </c>
      <c r="I704" s="119" t="n">
        <f aca="false">'🖐🏾 Human'!J44</f>
        <v>0</v>
      </c>
    </row>
    <row r="705" customFormat="false" ht="15.75" hidden="false" customHeight="false" outlineLevel="0" collapsed="false">
      <c r="A705" s="118" t="str">
        <f aca="false">'🖐🏾 Human'!$A$42</f>
        <v>https://www.berria.eus/kultura/mikroipuinak-txikiak-baina-ez-hutsalak_2121931_102.html</v>
      </c>
      <c r="B705" s="4" t="s">
        <v>15</v>
      </c>
      <c r="C705" s="119" t="n">
        <f aca="false">'🖐🏾 Human'!C45</f>
        <v>0</v>
      </c>
      <c r="D705" s="155" t="n">
        <f aca="false">'🖐🏾 Human'!E45</f>
        <v>0.001730103806</v>
      </c>
      <c r="E705" s="119" t="n">
        <f aca="false">'🖐🏾 Human'!F45</f>
        <v>0</v>
      </c>
      <c r="F705" s="119" t="n">
        <f aca="false">'🖐🏾 Human'!G45</f>
        <v>0</v>
      </c>
      <c r="G705" s="119" t="n">
        <f aca="false">'🖐🏾 Human'!H45</f>
        <v>0</v>
      </c>
      <c r="H705" s="119" t="n">
        <f aca="false">'🖐🏾 Human'!I45</f>
        <v>0</v>
      </c>
      <c r="I705" s="119" t="n">
        <f aca="false">'🖐🏾 Human'!J45</f>
        <v>0</v>
      </c>
    </row>
    <row r="706" customFormat="false" ht="15.75" hidden="false" customHeight="false" outlineLevel="0" collapsed="false">
      <c r="A706" s="9"/>
      <c r="B706" s="4"/>
      <c r="C706" s="6"/>
      <c r="D706" s="155"/>
      <c r="E706" s="6"/>
      <c r="F706" s="6"/>
      <c r="G706" s="6"/>
      <c r="H706" s="6"/>
      <c r="I706" s="6"/>
    </row>
    <row r="707" customFormat="false" ht="15.75" hidden="false" customHeight="false" outlineLevel="0" collapsed="false">
      <c r="A707" s="118" t="str">
        <f aca="false">'🖐🏾 Human'!$A$47</f>
        <v>https://www.berria.eus/euskal-herria/guardia-zibilak-dio-europako-speed-laborategi-handiena-aurkitu-duela-euskal-herrian_2125543_102.html</v>
      </c>
      <c r="B707" s="4" t="s">
        <v>15</v>
      </c>
      <c r="C707" s="119" t="str">
        <f aca="false">'🖐🏾 Human'!C47</f>
        <v>Heading</v>
      </c>
      <c r="D707" s="155" t="n">
        <f aca="false">'🖐🏾 Human'!E47</f>
        <v>0.1571428571</v>
      </c>
      <c r="E707" s="119" t="n">
        <f aca="false">'🖐🏾 Human'!F47</f>
        <v>4</v>
      </c>
      <c r="F707" s="119" t="n">
        <f aca="false">'🖐🏾 Human'!G47</f>
        <v>5</v>
      </c>
      <c r="G707" s="119" t="n">
        <f aca="false">'🖐🏾 Human'!H47</f>
        <v>5</v>
      </c>
      <c r="H707" s="119" t="n">
        <f aca="false">'🖐🏾 Human'!I47</f>
        <v>5</v>
      </c>
      <c r="I707" s="119" t="n">
        <f aca="false">'🖐🏾 Human'!J47</f>
        <v>3</v>
      </c>
    </row>
    <row r="708" customFormat="false" ht="15.75" hidden="false" customHeight="false" outlineLevel="0" collapsed="false">
      <c r="A708" s="118" t="str">
        <f aca="false">'🖐🏾 Human'!$A$47</f>
        <v>https://www.berria.eus/euskal-herria/guardia-zibilak-dio-europako-speed-laborategi-handiena-aurkitu-duela-euskal-herrian_2125543_102.html</v>
      </c>
      <c r="B708" s="4" t="s">
        <v>15</v>
      </c>
      <c r="C708" s="119" t="str">
        <f aca="false">'🖐🏾 Human'!C48</f>
        <v>Naiara</v>
      </c>
      <c r="D708" s="155" t="n">
        <f aca="false">'🖐🏾 Human'!E48</f>
        <v>0.3523809524</v>
      </c>
      <c r="E708" s="119" t="n">
        <f aca="false">'🖐🏾 Human'!F48</f>
        <v>0</v>
      </c>
      <c r="F708" s="119" t="n">
        <f aca="false">'🖐🏾 Human'!G48</f>
        <v>0</v>
      </c>
      <c r="G708" s="119" t="n">
        <f aca="false">'🖐🏾 Human'!H48</f>
        <v>0</v>
      </c>
      <c r="H708" s="119" t="n">
        <f aca="false">'🖐🏾 Human'!I48</f>
        <v>0</v>
      </c>
      <c r="I708" s="119" t="n">
        <f aca="false">'🖐🏾 Human'!J48</f>
        <v>0</v>
      </c>
    </row>
    <row r="709" customFormat="false" ht="15.75" hidden="false" customHeight="false" outlineLevel="0" collapsed="false">
      <c r="A709" s="118" t="str">
        <f aca="false">'🖐🏾 Human'!$A$47</f>
        <v>https://www.berria.eus/euskal-herria/guardia-zibilak-dio-europako-speed-laborategi-handiena-aurkitu-duela-euskal-herrian_2125543_102.html</v>
      </c>
      <c r="B709" s="4" t="s">
        <v>15</v>
      </c>
      <c r="C709" s="119" t="n">
        <f aca="false">'🖐🏾 Human'!C49</f>
        <v>0</v>
      </c>
      <c r="D709" s="155" t="n">
        <f aca="false">'🖐🏾 Human'!E49</f>
        <v>0.004761904762</v>
      </c>
      <c r="E709" s="119" t="n">
        <f aca="false">'🖐🏾 Human'!F49</f>
        <v>0</v>
      </c>
      <c r="F709" s="119" t="n">
        <f aca="false">'🖐🏾 Human'!G49</f>
        <v>0</v>
      </c>
      <c r="G709" s="119" t="n">
        <f aca="false">'🖐🏾 Human'!H49</f>
        <v>0</v>
      </c>
      <c r="H709" s="119" t="n">
        <f aca="false">'🖐🏾 Human'!I49</f>
        <v>0</v>
      </c>
      <c r="I709" s="119" t="n">
        <f aca="false">'🖐🏾 Human'!J49</f>
        <v>0</v>
      </c>
    </row>
    <row r="710" customFormat="false" ht="15.75" hidden="false" customHeight="false" outlineLevel="0" collapsed="false">
      <c r="A710" s="118" t="str">
        <f aca="false">'🖐🏾 Human'!$A$47</f>
        <v>https://www.berria.eus/euskal-herria/guardia-zibilak-dio-europako-speed-laborategi-handiena-aurkitu-duela-euskal-herrian_2125543_102.html</v>
      </c>
      <c r="B710" s="4" t="s">
        <v>15</v>
      </c>
      <c r="C710" s="119" t="n">
        <f aca="false">'🖐🏾 Human'!C50</f>
        <v>0</v>
      </c>
      <c r="D710" s="155" t="n">
        <f aca="false">'🖐🏾 Human'!E50</f>
        <v>0.004761904762</v>
      </c>
      <c r="E710" s="119" t="n">
        <f aca="false">'🖐🏾 Human'!F50</f>
        <v>0</v>
      </c>
      <c r="F710" s="119" t="n">
        <f aca="false">'🖐🏾 Human'!G50</f>
        <v>0</v>
      </c>
      <c r="G710" s="119" t="n">
        <f aca="false">'🖐🏾 Human'!H50</f>
        <v>0</v>
      </c>
      <c r="H710" s="119" t="n">
        <f aca="false">'🖐🏾 Human'!I50</f>
        <v>0</v>
      </c>
      <c r="I710" s="119" t="n">
        <f aca="false">'🖐🏾 Human'!J50</f>
        <v>0</v>
      </c>
    </row>
    <row r="711" customFormat="false" ht="15.75" hidden="false" customHeight="false" outlineLevel="0" collapsed="false">
      <c r="A711" s="118"/>
      <c r="B711" s="4"/>
      <c r="C711" s="6"/>
      <c r="D711" s="155"/>
      <c r="E711" s="6"/>
      <c r="F711" s="6"/>
      <c r="G711" s="6"/>
      <c r="H711" s="6"/>
      <c r="I711" s="6"/>
    </row>
    <row r="712" customFormat="false" ht="15.75" hidden="false" customHeight="false" outlineLevel="0" collapsed="false">
      <c r="A712" s="118" t="n">
        <f aca="false">'🖐🏾 Human'!$A$52</f>
        <v>0</v>
      </c>
      <c r="B712" s="4" t="s">
        <v>15</v>
      </c>
      <c r="C712" s="119" t="str">
        <f aca="false">'🖐🏾 Human'!C52</f>
        <v>Heading</v>
      </c>
      <c r="D712" s="155" t="n">
        <f aca="false">'🖐🏾 Human'!E52</f>
        <v>1</v>
      </c>
      <c r="E712" s="119" t="n">
        <f aca="false">'🖐🏾 Human'!F52</f>
        <v>0</v>
      </c>
      <c r="F712" s="119" t="n">
        <f aca="false">'🖐🏾 Human'!G52</f>
        <v>0</v>
      </c>
      <c r="G712" s="119" t="n">
        <f aca="false">'🖐🏾 Human'!H52</f>
        <v>0</v>
      </c>
      <c r="H712" s="119" t="n">
        <f aca="false">'🖐🏾 Human'!I52</f>
        <v>0</v>
      </c>
      <c r="I712" s="119" t="n">
        <f aca="false">'🖐🏾 Human'!J52</f>
        <v>0</v>
      </c>
    </row>
    <row r="713" customFormat="false" ht="15.75" hidden="false" customHeight="false" outlineLevel="0" collapsed="false">
      <c r="A713" s="118" t="n">
        <f aca="false">'🖐🏾 Human'!$A$52</f>
        <v>0</v>
      </c>
      <c r="B713" s="4" t="s">
        <v>15</v>
      </c>
      <c r="C713" s="119" t="n">
        <f aca="false">'🖐🏾 Human'!C53</f>
        <v>0</v>
      </c>
      <c r="D713" s="155" t="n">
        <f aca="false">'🖐🏾 Human'!E53</f>
        <v>1</v>
      </c>
      <c r="E713" s="119" t="n">
        <f aca="false">'🖐🏾 Human'!F53</f>
        <v>0</v>
      </c>
      <c r="F713" s="119" t="n">
        <f aca="false">'🖐🏾 Human'!G53</f>
        <v>0</v>
      </c>
      <c r="G713" s="119" t="n">
        <f aca="false">'🖐🏾 Human'!H53</f>
        <v>0</v>
      </c>
      <c r="H713" s="119" t="n">
        <f aca="false">'🖐🏾 Human'!I53</f>
        <v>0</v>
      </c>
      <c r="I713" s="119" t="n">
        <f aca="false">'🖐🏾 Human'!J53</f>
        <v>0</v>
      </c>
    </row>
    <row r="714" customFormat="false" ht="15.75" hidden="false" customHeight="false" outlineLevel="0" collapsed="false">
      <c r="A714" s="118" t="n">
        <f aca="false">'🖐🏾 Human'!$A$52</f>
        <v>0</v>
      </c>
      <c r="B714" s="4" t="s">
        <v>15</v>
      </c>
      <c r="C714" s="119" t="n">
        <f aca="false">'🖐🏾 Human'!C54</f>
        <v>0</v>
      </c>
      <c r="D714" s="155" t="n">
        <f aca="false">'🖐🏾 Human'!E54</f>
        <v>1</v>
      </c>
      <c r="E714" s="119" t="n">
        <f aca="false">'🖐🏾 Human'!F54</f>
        <v>0</v>
      </c>
      <c r="F714" s="119" t="n">
        <f aca="false">'🖐🏾 Human'!G54</f>
        <v>0</v>
      </c>
      <c r="G714" s="119" t="n">
        <f aca="false">'🖐🏾 Human'!H54</f>
        <v>0</v>
      </c>
      <c r="H714" s="119" t="n">
        <f aca="false">'🖐🏾 Human'!I54</f>
        <v>0</v>
      </c>
      <c r="I714" s="119" t="n">
        <f aca="false">'🖐🏾 Human'!J54</f>
        <v>0</v>
      </c>
    </row>
    <row r="715" customFormat="false" ht="15.75" hidden="false" customHeight="false" outlineLevel="0" collapsed="false">
      <c r="A715" s="118" t="n">
        <f aca="false">'🖐🏾 Human'!$A$52</f>
        <v>0</v>
      </c>
      <c r="B715" s="4" t="s">
        <v>15</v>
      </c>
      <c r="C715" s="119" t="n">
        <f aca="false">'🖐🏾 Human'!C55</f>
        <v>0</v>
      </c>
      <c r="D715" s="155" t="n">
        <f aca="false">'🖐🏾 Human'!E55</f>
        <v>1</v>
      </c>
      <c r="E715" s="119" t="n">
        <f aca="false">'🖐🏾 Human'!F55</f>
        <v>0</v>
      </c>
      <c r="F715" s="119" t="n">
        <f aca="false">'🖐🏾 Human'!G55</f>
        <v>0</v>
      </c>
      <c r="G715" s="119" t="n">
        <f aca="false">'🖐🏾 Human'!H55</f>
        <v>0</v>
      </c>
      <c r="H715" s="119" t="n">
        <f aca="false">'🖐🏾 Human'!I55</f>
        <v>0</v>
      </c>
      <c r="I715" s="119" t="n">
        <f aca="false">'🖐🏾 Human'!J55</f>
        <v>0</v>
      </c>
    </row>
    <row r="716" customFormat="false" ht="15.75" hidden="false" customHeight="false" outlineLevel="0" collapsed="false">
      <c r="A716" s="118"/>
      <c r="B716" s="4"/>
      <c r="C716" s="6"/>
      <c r="D716" s="155"/>
      <c r="E716" s="6"/>
      <c r="F716" s="6"/>
      <c r="G716" s="6"/>
      <c r="H716" s="6"/>
      <c r="I716" s="6"/>
    </row>
    <row r="717" customFormat="false" ht="15.75" hidden="false" customHeight="false" outlineLevel="0" collapsed="false">
      <c r="A717" s="118" t="n">
        <f aca="false">'🖐🏾 Human'!$A$57</f>
        <v>0</v>
      </c>
      <c r="B717" s="4" t="s">
        <v>15</v>
      </c>
      <c r="C717" s="119" t="str">
        <f aca="false">'🖐🏾 Human'!C57</f>
        <v>Heading</v>
      </c>
      <c r="D717" s="155" t="n">
        <f aca="false">'🖐🏾 Human'!E57</f>
        <v>1</v>
      </c>
      <c r="E717" s="119" t="n">
        <f aca="false">'🖐🏾 Human'!F57</f>
        <v>0</v>
      </c>
      <c r="F717" s="119" t="n">
        <f aca="false">'🖐🏾 Human'!G57</f>
        <v>0</v>
      </c>
      <c r="G717" s="119" t="n">
        <f aca="false">'🖐🏾 Human'!H57</f>
        <v>0</v>
      </c>
      <c r="H717" s="119" t="n">
        <f aca="false">'🖐🏾 Human'!I57</f>
        <v>0</v>
      </c>
      <c r="I717" s="119" t="n">
        <f aca="false">'🖐🏾 Human'!J57</f>
        <v>0</v>
      </c>
    </row>
    <row r="718" customFormat="false" ht="15.75" hidden="false" customHeight="false" outlineLevel="0" collapsed="false">
      <c r="A718" s="118" t="n">
        <f aca="false">'🖐🏾 Human'!$A$57</f>
        <v>0</v>
      </c>
      <c r="B718" s="4" t="s">
        <v>15</v>
      </c>
      <c r="C718" s="119" t="n">
        <f aca="false">'🖐🏾 Human'!C58</f>
        <v>0</v>
      </c>
      <c r="D718" s="155" t="n">
        <f aca="false">'🖐🏾 Human'!E58</f>
        <v>1</v>
      </c>
      <c r="E718" s="119" t="n">
        <f aca="false">'🖐🏾 Human'!F58</f>
        <v>0</v>
      </c>
      <c r="F718" s="119" t="n">
        <f aca="false">'🖐🏾 Human'!G58</f>
        <v>0</v>
      </c>
      <c r="G718" s="119" t="n">
        <f aca="false">'🖐🏾 Human'!H58</f>
        <v>0</v>
      </c>
      <c r="H718" s="119" t="n">
        <f aca="false">'🖐🏾 Human'!I58</f>
        <v>0</v>
      </c>
      <c r="I718" s="119" t="n">
        <f aca="false">'🖐🏾 Human'!J58</f>
        <v>0</v>
      </c>
    </row>
    <row r="719" customFormat="false" ht="15.75" hidden="false" customHeight="false" outlineLevel="0" collapsed="false">
      <c r="A719" s="118" t="n">
        <f aca="false">'🖐🏾 Human'!$A$57</f>
        <v>0</v>
      </c>
      <c r="B719" s="4" t="s">
        <v>15</v>
      </c>
      <c r="C719" s="119" t="n">
        <f aca="false">'🖐🏾 Human'!C59</f>
        <v>0</v>
      </c>
      <c r="D719" s="155" t="n">
        <f aca="false">'🖐🏾 Human'!E59</f>
        <v>1</v>
      </c>
      <c r="E719" s="119" t="n">
        <f aca="false">'🖐🏾 Human'!F59</f>
        <v>0</v>
      </c>
      <c r="F719" s="119" t="n">
        <f aca="false">'🖐🏾 Human'!G59</f>
        <v>0</v>
      </c>
      <c r="G719" s="119" t="n">
        <f aca="false">'🖐🏾 Human'!H59</f>
        <v>0</v>
      </c>
      <c r="H719" s="119" t="n">
        <f aca="false">'🖐🏾 Human'!I59</f>
        <v>0</v>
      </c>
      <c r="I719" s="119" t="n">
        <f aca="false">'🖐🏾 Human'!J59</f>
        <v>0</v>
      </c>
    </row>
    <row r="720" customFormat="false" ht="15.75" hidden="false" customHeight="false" outlineLevel="0" collapsed="false">
      <c r="A720" s="118" t="n">
        <f aca="false">'🖐🏾 Human'!$A$57</f>
        <v>0</v>
      </c>
      <c r="B720" s="4" t="s">
        <v>15</v>
      </c>
      <c r="C720" s="119" t="n">
        <f aca="false">'🖐🏾 Human'!C60</f>
        <v>0</v>
      </c>
      <c r="D720" s="155" t="n">
        <f aca="false">'🖐🏾 Human'!E60</f>
        <v>1</v>
      </c>
      <c r="E720" s="119" t="n">
        <f aca="false">'🖐🏾 Human'!F60</f>
        <v>0</v>
      </c>
      <c r="F720" s="119" t="n">
        <f aca="false">'🖐🏾 Human'!G60</f>
        <v>0</v>
      </c>
      <c r="G720" s="119" t="n">
        <f aca="false">'🖐🏾 Human'!H60</f>
        <v>0</v>
      </c>
      <c r="H720" s="119" t="n">
        <f aca="false">'🖐🏾 Human'!I60</f>
        <v>0</v>
      </c>
      <c r="I720" s="119" t="n">
        <f aca="false">'🖐🏾 Human'!J60</f>
        <v>0</v>
      </c>
    </row>
    <row r="721" customFormat="false" ht="15.75" hidden="false" customHeight="false" outlineLevel="0" collapsed="false">
      <c r="A721" s="118"/>
      <c r="B721" s="4"/>
      <c r="C721" s="6"/>
      <c r="D721" s="155"/>
      <c r="E721" s="6"/>
      <c r="F721" s="6"/>
      <c r="G721" s="6"/>
      <c r="H721" s="6"/>
      <c r="I721" s="6"/>
    </row>
    <row r="722" customFormat="false" ht="15.75" hidden="false" customHeight="false" outlineLevel="0" collapsed="false">
      <c r="A722" s="118" t="n">
        <f aca="false">'🖐🏾 Human'!$A$62</f>
        <v>0</v>
      </c>
      <c r="B722" s="4" t="s">
        <v>15</v>
      </c>
      <c r="C722" s="119" t="str">
        <f aca="false">'🖐🏾 Human'!C62</f>
        <v>Heading</v>
      </c>
      <c r="D722" s="155" t="n">
        <f aca="false">'🖐🏾 Human'!E62</f>
        <v>1</v>
      </c>
      <c r="E722" s="119" t="n">
        <f aca="false">'🖐🏾 Human'!F62</f>
        <v>0</v>
      </c>
      <c r="F722" s="119" t="n">
        <f aca="false">'🖐🏾 Human'!G62</f>
        <v>0</v>
      </c>
      <c r="G722" s="119" t="n">
        <f aca="false">'🖐🏾 Human'!H62</f>
        <v>0</v>
      </c>
      <c r="H722" s="119" t="n">
        <f aca="false">'🖐🏾 Human'!I62</f>
        <v>0</v>
      </c>
      <c r="I722" s="119" t="n">
        <f aca="false">'🖐🏾 Human'!J62</f>
        <v>0</v>
      </c>
    </row>
    <row r="723" customFormat="false" ht="15.75" hidden="false" customHeight="false" outlineLevel="0" collapsed="false">
      <c r="A723" s="118" t="n">
        <f aca="false">'🖐🏾 Human'!$A$62</f>
        <v>0</v>
      </c>
      <c r="B723" s="4" t="s">
        <v>15</v>
      </c>
      <c r="C723" s="119" t="n">
        <f aca="false">'🖐🏾 Human'!C63</f>
        <v>0</v>
      </c>
      <c r="D723" s="155" t="n">
        <f aca="false">'🖐🏾 Human'!E63</f>
        <v>1</v>
      </c>
      <c r="E723" s="119" t="n">
        <f aca="false">'🖐🏾 Human'!F63</f>
        <v>0</v>
      </c>
      <c r="F723" s="119" t="n">
        <f aca="false">'🖐🏾 Human'!G63</f>
        <v>0</v>
      </c>
      <c r="G723" s="119" t="n">
        <f aca="false">'🖐🏾 Human'!H63</f>
        <v>0</v>
      </c>
      <c r="H723" s="119" t="n">
        <f aca="false">'🖐🏾 Human'!I63</f>
        <v>0</v>
      </c>
      <c r="I723" s="119" t="n">
        <f aca="false">'🖐🏾 Human'!J63</f>
        <v>0</v>
      </c>
    </row>
    <row r="724" customFormat="false" ht="15.75" hidden="false" customHeight="false" outlineLevel="0" collapsed="false">
      <c r="A724" s="118" t="n">
        <f aca="false">'🖐🏾 Human'!$A$62</f>
        <v>0</v>
      </c>
      <c r="B724" s="4" t="s">
        <v>15</v>
      </c>
      <c r="C724" s="119" t="n">
        <f aca="false">'🖐🏾 Human'!C64</f>
        <v>0</v>
      </c>
      <c r="D724" s="155" t="n">
        <f aca="false">'🖐🏾 Human'!E64</f>
        <v>1</v>
      </c>
      <c r="E724" s="119" t="n">
        <f aca="false">'🖐🏾 Human'!F64</f>
        <v>0</v>
      </c>
      <c r="F724" s="119" t="n">
        <f aca="false">'🖐🏾 Human'!G64</f>
        <v>0</v>
      </c>
      <c r="G724" s="119" t="n">
        <f aca="false">'🖐🏾 Human'!H64</f>
        <v>0</v>
      </c>
      <c r="H724" s="119" t="n">
        <f aca="false">'🖐🏾 Human'!I64</f>
        <v>0</v>
      </c>
      <c r="I724" s="119" t="n">
        <f aca="false">'🖐🏾 Human'!J64</f>
        <v>0</v>
      </c>
    </row>
    <row r="725" customFormat="false" ht="15.75" hidden="false" customHeight="false" outlineLevel="0" collapsed="false">
      <c r="A725" s="118" t="n">
        <f aca="false">'🖐🏾 Human'!$A$62</f>
        <v>0</v>
      </c>
      <c r="B725" s="4" t="s">
        <v>15</v>
      </c>
      <c r="C725" s="119" t="n">
        <f aca="false">'🖐🏾 Human'!C65</f>
        <v>0</v>
      </c>
      <c r="D725" s="155" t="n">
        <f aca="false">'🖐🏾 Human'!E65</f>
        <v>1</v>
      </c>
      <c r="E725" s="119" t="n">
        <f aca="false">'🖐🏾 Human'!F65</f>
        <v>0</v>
      </c>
      <c r="F725" s="119" t="n">
        <f aca="false">'🖐🏾 Human'!G65</f>
        <v>0</v>
      </c>
      <c r="G725" s="119" t="n">
        <f aca="false">'🖐🏾 Human'!H65</f>
        <v>0</v>
      </c>
      <c r="H725" s="119" t="n">
        <f aca="false">'🖐🏾 Human'!I65</f>
        <v>0</v>
      </c>
      <c r="I725" s="119" t="n">
        <f aca="false">'🖐🏾 Human'!J65</f>
        <v>0</v>
      </c>
    </row>
    <row r="726" customFormat="false" ht="15.75" hidden="false" customHeight="false" outlineLevel="0" collapsed="false">
      <c r="A726" s="118"/>
      <c r="B726" s="4"/>
      <c r="C726" s="6"/>
      <c r="D726" s="155"/>
      <c r="E726" s="6"/>
      <c r="F726" s="6"/>
      <c r="G726" s="6"/>
      <c r="H726" s="6"/>
      <c r="I726" s="6"/>
    </row>
    <row r="727" customFormat="false" ht="15.75" hidden="false" customHeight="false" outlineLevel="0" collapsed="false">
      <c r="A727" s="118" t="n">
        <f aca="false">'🖐🏾 Human'!$A$67</f>
        <v>0</v>
      </c>
      <c r="B727" s="4" t="s">
        <v>15</v>
      </c>
      <c r="C727" s="119" t="str">
        <f aca="false">'🖐🏾 Human'!C67</f>
        <v>Heading</v>
      </c>
      <c r="D727" s="155" t="n">
        <f aca="false">'🖐🏾 Human'!E67</f>
        <v>1</v>
      </c>
      <c r="E727" s="119" t="n">
        <f aca="false">'🖐🏾 Human'!F67</f>
        <v>0</v>
      </c>
      <c r="F727" s="119" t="n">
        <f aca="false">'🖐🏾 Human'!G67</f>
        <v>0</v>
      </c>
      <c r="G727" s="119" t="n">
        <f aca="false">'🖐🏾 Human'!H67</f>
        <v>0</v>
      </c>
      <c r="H727" s="119" t="n">
        <f aca="false">'🖐🏾 Human'!I67</f>
        <v>0</v>
      </c>
      <c r="I727" s="119" t="n">
        <f aca="false">'🖐🏾 Human'!J67</f>
        <v>0</v>
      </c>
    </row>
    <row r="728" customFormat="false" ht="15.75" hidden="false" customHeight="false" outlineLevel="0" collapsed="false">
      <c r="A728" s="118" t="n">
        <f aca="false">'🖐🏾 Human'!$A$67</f>
        <v>0</v>
      </c>
      <c r="B728" s="4" t="s">
        <v>15</v>
      </c>
      <c r="C728" s="119" t="n">
        <f aca="false">'🖐🏾 Human'!C68</f>
        <v>0</v>
      </c>
      <c r="D728" s="155" t="n">
        <f aca="false">'🖐🏾 Human'!E68</f>
        <v>1</v>
      </c>
      <c r="E728" s="119" t="n">
        <f aca="false">'🖐🏾 Human'!F68</f>
        <v>0</v>
      </c>
      <c r="F728" s="119" t="n">
        <f aca="false">'🖐🏾 Human'!G68</f>
        <v>0</v>
      </c>
      <c r="G728" s="119" t="n">
        <f aca="false">'🖐🏾 Human'!H68</f>
        <v>0</v>
      </c>
      <c r="H728" s="119" t="n">
        <f aca="false">'🖐🏾 Human'!I68</f>
        <v>0</v>
      </c>
      <c r="I728" s="119" t="n">
        <f aca="false">'🖐🏾 Human'!J68</f>
        <v>0</v>
      </c>
    </row>
    <row r="729" customFormat="false" ht="15.75" hidden="false" customHeight="false" outlineLevel="0" collapsed="false">
      <c r="A729" s="118" t="n">
        <f aca="false">'🖐🏾 Human'!$A$67</f>
        <v>0</v>
      </c>
      <c r="B729" s="4" t="s">
        <v>15</v>
      </c>
      <c r="C729" s="119" t="n">
        <f aca="false">'🖐🏾 Human'!C69</f>
        <v>0</v>
      </c>
      <c r="D729" s="155" t="n">
        <f aca="false">'🖐🏾 Human'!E69</f>
        <v>1</v>
      </c>
      <c r="E729" s="119" t="n">
        <f aca="false">'🖐🏾 Human'!F69</f>
        <v>0</v>
      </c>
      <c r="F729" s="119" t="n">
        <f aca="false">'🖐🏾 Human'!G69</f>
        <v>0</v>
      </c>
      <c r="G729" s="119" t="n">
        <f aca="false">'🖐🏾 Human'!H69</f>
        <v>0</v>
      </c>
      <c r="H729" s="119" t="n">
        <f aca="false">'🖐🏾 Human'!I69</f>
        <v>0</v>
      </c>
      <c r="I729" s="119" t="n">
        <f aca="false">'🖐🏾 Human'!J69</f>
        <v>0</v>
      </c>
    </row>
    <row r="730" customFormat="false" ht="15.75" hidden="false" customHeight="false" outlineLevel="0" collapsed="false">
      <c r="A730" s="118" t="n">
        <f aca="false">'🖐🏾 Human'!$A$67</f>
        <v>0</v>
      </c>
      <c r="B730" s="4" t="s">
        <v>15</v>
      </c>
      <c r="C730" s="119" t="n">
        <f aca="false">'🖐🏾 Human'!C70</f>
        <v>0</v>
      </c>
      <c r="D730" s="155" t="n">
        <f aca="false">'🖐🏾 Human'!E70</f>
        <v>1</v>
      </c>
      <c r="E730" s="119" t="n">
        <f aca="false">'🖐🏾 Human'!F70</f>
        <v>0</v>
      </c>
      <c r="F730" s="119" t="n">
        <f aca="false">'🖐🏾 Human'!G70</f>
        <v>0</v>
      </c>
      <c r="G730" s="119" t="n">
        <f aca="false">'🖐🏾 Human'!H70</f>
        <v>0</v>
      </c>
      <c r="H730" s="119" t="n">
        <f aca="false">'🖐🏾 Human'!I70</f>
        <v>0</v>
      </c>
      <c r="I730" s="119" t="n">
        <f aca="false">'🖐🏾 Human'!J70</f>
        <v>0</v>
      </c>
    </row>
    <row r="731" customFormat="false" ht="15.75" hidden="false" customHeight="false" outlineLevel="0" collapsed="false">
      <c r="A731" s="118"/>
      <c r="B731" s="4"/>
      <c r="C731" s="6"/>
      <c r="D731" s="155"/>
      <c r="E731" s="6"/>
      <c r="F731" s="6"/>
      <c r="G731" s="6"/>
      <c r="H731" s="6"/>
      <c r="I731" s="6"/>
    </row>
    <row r="732" customFormat="false" ht="15.75" hidden="false" customHeight="false" outlineLevel="0" collapsed="false">
      <c r="A732" s="118" t="n">
        <f aca="false">'🖐🏾 Human'!$A$72</f>
        <v>0</v>
      </c>
      <c r="B732" s="4" t="s">
        <v>15</v>
      </c>
      <c r="C732" s="119" t="str">
        <f aca="false">'🖐🏾 Human'!C72</f>
        <v>Heading</v>
      </c>
      <c r="D732" s="155" t="n">
        <f aca="false">'🖐🏾 Human'!E72</f>
        <v>1</v>
      </c>
      <c r="E732" s="119" t="n">
        <f aca="false">'🖐🏾 Human'!F72</f>
        <v>0</v>
      </c>
      <c r="F732" s="119" t="n">
        <f aca="false">'🖐🏾 Human'!G72</f>
        <v>0</v>
      </c>
      <c r="G732" s="119" t="n">
        <f aca="false">'🖐🏾 Human'!H72</f>
        <v>0</v>
      </c>
      <c r="H732" s="119" t="n">
        <f aca="false">'🖐🏾 Human'!I72</f>
        <v>0</v>
      </c>
      <c r="I732" s="119" t="n">
        <f aca="false">'🖐🏾 Human'!J72</f>
        <v>0</v>
      </c>
    </row>
    <row r="733" customFormat="false" ht="15.75" hidden="false" customHeight="false" outlineLevel="0" collapsed="false">
      <c r="A733" s="118" t="n">
        <f aca="false">'🖐🏾 Human'!$A$72</f>
        <v>0</v>
      </c>
      <c r="B733" s="4" t="s">
        <v>15</v>
      </c>
      <c r="C733" s="119" t="n">
        <f aca="false">'🖐🏾 Human'!C73</f>
        <v>0</v>
      </c>
      <c r="D733" s="155" t="n">
        <f aca="false">'🖐🏾 Human'!E73</f>
        <v>1</v>
      </c>
      <c r="E733" s="119" t="n">
        <f aca="false">'🖐🏾 Human'!F73</f>
        <v>0</v>
      </c>
      <c r="F733" s="119" t="n">
        <f aca="false">'🖐🏾 Human'!G73</f>
        <v>0</v>
      </c>
      <c r="G733" s="119" t="n">
        <f aca="false">'🖐🏾 Human'!H73</f>
        <v>0</v>
      </c>
      <c r="H733" s="119" t="n">
        <f aca="false">'🖐🏾 Human'!I73</f>
        <v>0</v>
      </c>
      <c r="I733" s="119" t="n">
        <f aca="false">'🖐🏾 Human'!J73</f>
        <v>0</v>
      </c>
    </row>
    <row r="734" customFormat="false" ht="15.75" hidden="false" customHeight="false" outlineLevel="0" collapsed="false">
      <c r="A734" s="118" t="n">
        <f aca="false">'🖐🏾 Human'!$A$72</f>
        <v>0</v>
      </c>
      <c r="B734" s="4" t="s">
        <v>15</v>
      </c>
      <c r="C734" s="119" t="n">
        <f aca="false">'🖐🏾 Human'!C74</f>
        <v>0</v>
      </c>
      <c r="D734" s="155" t="n">
        <f aca="false">'🖐🏾 Human'!E74</f>
        <v>1</v>
      </c>
      <c r="E734" s="119" t="n">
        <f aca="false">'🖐🏾 Human'!F74</f>
        <v>0</v>
      </c>
      <c r="F734" s="119" t="n">
        <f aca="false">'🖐🏾 Human'!G74</f>
        <v>0</v>
      </c>
      <c r="G734" s="119" t="n">
        <f aca="false">'🖐🏾 Human'!H74</f>
        <v>0</v>
      </c>
      <c r="H734" s="119" t="n">
        <f aca="false">'🖐🏾 Human'!I74</f>
        <v>0</v>
      </c>
      <c r="I734" s="119" t="n">
        <f aca="false">'🖐🏾 Human'!J74</f>
        <v>0</v>
      </c>
    </row>
    <row r="735" customFormat="false" ht="15.75" hidden="false" customHeight="false" outlineLevel="0" collapsed="false">
      <c r="A735" s="118" t="n">
        <f aca="false">'🖐🏾 Human'!$A$72</f>
        <v>0</v>
      </c>
      <c r="B735" s="4" t="s">
        <v>15</v>
      </c>
      <c r="C735" s="119" t="n">
        <f aca="false">'🖐🏾 Human'!C75</f>
        <v>0</v>
      </c>
      <c r="D735" s="155" t="n">
        <f aca="false">'🖐🏾 Human'!E75</f>
        <v>1</v>
      </c>
      <c r="E735" s="119" t="n">
        <f aca="false">'🖐🏾 Human'!F75</f>
        <v>0</v>
      </c>
      <c r="F735" s="119" t="n">
        <f aca="false">'🖐🏾 Human'!G75</f>
        <v>0</v>
      </c>
      <c r="G735" s="119" t="n">
        <f aca="false">'🖐🏾 Human'!H75</f>
        <v>0</v>
      </c>
      <c r="H735" s="119" t="n">
        <f aca="false">'🖐🏾 Human'!I75</f>
        <v>0</v>
      </c>
      <c r="I735" s="119" t="n">
        <f aca="false">'🖐🏾 Human'!J75</f>
        <v>0</v>
      </c>
    </row>
    <row r="736" customFormat="false" ht="15.75" hidden="false" customHeight="false" outlineLevel="0" collapsed="false">
      <c r="A736" s="118"/>
      <c r="B736" s="4"/>
      <c r="C736" s="6"/>
      <c r="D736" s="155"/>
      <c r="E736" s="6"/>
      <c r="F736" s="6"/>
      <c r="G736" s="6"/>
      <c r="H736" s="6"/>
      <c r="I736" s="6"/>
    </row>
    <row r="737" customFormat="false" ht="15.75" hidden="false" customHeight="false" outlineLevel="0" collapsed="false">
      <c r="A737" s="118" t="n">
        <f aca="false">'🖐🏾 Human'!$A$77</f>
        <v>0</v>
      </c>
      <c r="B737" s="4" t="s">
        <v>15</v>
      </c>
      <c r="C737" s="119" t="str">
        <f aca="false">'🖐🏾 Human'!C77</f>
        <v>Heading</v>
      </c>
      <c r="D737" s="155" t="n">
        <f aca="false">'🖐🏾 Human'!E77</f>
        <v>1</v>
      </c>
      <c r="E737" s="119" t="n">
        <f aca="false">'🖐🏾 Human'!F77</f>
        <v>0</v>
      </c>
      <c r="F737" s="119" t="n">
        <f aca="false">'🖐🏾 Human'!G77</f>
        <v>0</v>
      </c>
      <c r="G737" s="119" t="n">
        <f aca="false">'🖐🏾 Human'!H77</f>
        <v>0</v>
      </c>
      <c r="H737" s="119" t="n">
        <f aca="false">'🖐🏾 Human'!I77</f>
        <v>0</v>
      </c>
      <c r="I737" s="119" t="n">
        <f aca="false">'🖐🏾 Human'!J77</f>
        <v>0</v>
      </c>
    </row>
    <row r="738" customFormat="false" ht="15.75" hidden="false" customHeight="false" outlineLevel="0" collapsed="false">
      <c r="A738" s="118" t="n">
        <f aca="false">'🖐🏾 Human'!$A$77</f>
        <v>0</v>
      </c>
      <c r="B738" s="4" t="s">
        <v>15</v>
      </c>
      <c r="C738" s="119" t="n">
        <f aca="false">'🖐🏾 Human'!C78</f>
        <v>0</v>
      </c>
      <c r="D738" s="155" t="n">
        <f aca="false">'🖐🏾 Human'!E78</f>
        <v>1</v>
      </c>
      <c r="E738" s="119" t="n">
        <f aca="false">'🖐🏾 Human'!F78</f>
        <v>0</v>
      </c>
      <c r="F738" s="119" t="n">
        <f aca="false">'🖐🏾 Human'!G78</f>
        <v>0</v>
      </c>
      <c r="G738" s="119" t="n">
        <f aca="false">'🖐🏾 Human'!H78</f>
        <v>0</v>
      </c>
      <c r="H738" s="119" t="n">
        <f aca="false">'🖐🏾 Human'!I78</f>
        <v>0</v>
      </c>
      <c r="I738" s="119" t="n">
        <f aca="false">'🖐🏾 Human'!J78</f>
        <v>0</v>
      </c>
    </row>
    <row r="739" customFormat="false" ht="15.75" hidden="false" customHeight="false" outlineLevel="0" collapsed="false">
      <c r="A739" s="118" t="n">
        <f aca="false">'🖐🏾 Human'!$A$77</f>
        <v>0</v>
      </c>
      <c r="B739" s="4" t="s">
        <v>15</v>
      </c>
      <c r="C739" s="119" t="n">
        <f aca="false">'🖐🏾 Human'!C79</f>
        <v>0</v>
      </c>
      <c r="D739" s="155" t="n">
        <f aca="false">'🖐🏾 Human'!E79</f>
        <v>1</v>
      </c>
      <c r="E739" s="119" t="n">
        <f aca="false">'🖐🏾 Human'!F79</f>
        <v>0</v>
      </c>
      <c r="F739" s="119" t="n">
        <f aca="false">'🖐🏾 Human'!G79</f>
        <v>0</v>
      </c>
      <c r="G739" s="119" t="n">
        <f aca="false">'🖐🏾 Human'!H79</f>
        <v>0</v>
      </c>
      <c r="H739" s="119" t="n">
        <f aca="false">'🖐🏾 Human'!I79</f>
        <v>0</v>
      </c>
      <c r="I739" s="119" t="n">
        <f aca="false">'🖐🏾 Human'!J79</f>
        <v>0</v>
      </c>
    </row>
    <row r="740" customFormat="false" ht="15.75" hidden="false" customHeight="false" outlineLevel="0" collapsed="false">
      <c r="A740" s="118" t="n">
        <f aca="false">'🖐🏾 Human'!$A$77</f>
        <v>0</v>
      </c>
      <c r="B740" s="4" t="s">
        <v>15</v>
      </c>
      <c r="C740" s="119" t="n">
        <f aca="false">'🖐🏾 Human'!C80</f>
        <v>0</v>
      </c>
      <c r="D740" s="155" t="n">
        <f aca="false">'🖐🏾 Human'!E80</f>
        <v>1</v>
      </c>
      <c r="E740" s="119" t="n">
        <f aca="false">'🖐🏾 Human'!F80</f>
        <v>0</v>
      </c>
      <c r="F740" s="119" t="n">
        <f aca="false">'🖐🏾 Human'!G80</f>
        <v>0</v>
      </c>
      <c r="G740" s="119" t="n">
        <f aca="false">'🖐🏾 Human'!H80</f>
        <v>0</v>
      </c>
      <c r="H740" s="119" t="n">
        <f aca="false">'🖐🏾 Human'!I80</f>
        <v>0</v>
      </c>
      <c r="I740" s="119" t="n">
        <f aca="false">'🖐🏾 Human'!J80</f>
        <v>0</v>
      </c>
    </row>
    <row r="741" customFormat="false" ht="15.75" hidden="false" customHeight="false" outlineLevel="0" collapsed="false">
      <c r="A741" s="118"/>
      <c r="B741" s="4"/>
      <c r="C741" s="6"/>
      <c r="D741" s="155"/>
      <c r="E741" s="6"/>
      <c r="F741" s="6"/>
      <c r="G741" s="6"/>
      <c r="H741" s="6"/>
      <c r="I741" s="6"/>
    </row>
    <row r="742" customFormat="false" ht="15.75" hidden="false" customHeight="false" outlineLevel="0" collapsed="false">
      <c r="A742" s="118" t="n">
        <f aca="false">'🖐🏾 Human'!$A$82</f>
        <v>0</v>
      </c>
      <c r="B742" s="4" t="s">
        <v>15</v>
      </c>
      <c r="C742" s="119" t="str">
        <f aca="false">'🖐🏾 Human'!C82</f>
        <v>Heading</v>
      </c>
      <c r="D742" s="155" t="n">
        <f aca="false">'🖐🏾 Human'!E82</f>
        <v>1</v>
      </c>
      <c r="E742" s="119" t="n">
        <f aca="false">'🖐🏾 Human'!F82</f>
        <v>0</v>
      </c>
      <c r="F742" s="119" t="n">
        <f aca="false">'🖐🏾 Human'!G82</f>
        <v>0</v>
      </c>
      <c r="G742" s="119" t="n">
        <f aca="false">'🖐🏾 Human'!H82</f>
        <v>0</v>
      </c>
      <c r="H742" s="119" t="n">
        <f aca="false">'🖐🏾 Human'!I82</f>
        <v>0</v>
      </c>
      <c r="I742" s="119" t="n">
        <f aca="false">'🖐🏾 Human'!J82</f>
        <v>0</v>
      </c>
    </row>
    <row r="743" customFormat="false" ht="15.75" hidden="false" customHeight="false" outlineLevel="0" collapsed="false">
      <c r="A743" s="118" t="n">
        <f aca="false">'🖐🏾 Human'!$A$82</f>
        <v>0</v>
      </c>
      <c r="B743" s="4" t="s">
        <v>15</v>
      </c>
      <c r="C743" s="119" t="n">
        <f aca="false">'🖐🏾 Human'!C83</f>
        <v>0</v>
      </c>
      <c r="D743" s="155" t="n">
        <f aca="false">'🖐🏾 Human'!E83</f>
        <v>1</v>
      </c>
      <c r="E743" s="119" t="n">
        <f aca="false">'🖐🏾 Human'!F83</f>
        <v>0</v>
      </c>
      <c r="F743" s="119" t="n">
        <f aca="false">'🖐🏾 Human'!G83</f>
        <v>0</v>
      </c>
      <c r="G743" s="119" t="n">
        <f aca="false">'🖐🏾 Human'!H83</f>
        <v>0</v>
      </c>
      <c r="H743" s="119" t="n">
        <f aca="false">'🖐🏾 Human'!I83</f>
        <v>0</v>
      </c>
      <c r="I743" s="119" t="n">
        <f aca="false">'🖐🏾 Human'!J83</f>
        <v>0</v>
      </c>
    </row>
    <row r="744" customFormat="false" ht="15.75" hidden="false" customHeight="false" outlineLevel="0" collapsed="false">
      <c r="A744" s="118" t="n">
        <f aca="false">'🖐🏾 Human'!$A$82</f>
        <v>0</v>
      </c>
      <c r="B744" s="4" t="s">
        <v>15</v>
      </c>
      <c r="C744" s="119" t="n">
        <f aca="false">'🖐🏾 Human'!C84</f>
        <v>0</v>
      </c>
      <c r="D744" s="155" t="n">
        <f aca="false">'🖐🏾 Human'!E84</f>
        <v>1</v>
      </c>
      <c r="E744" s="119" t="n">
        <f aca="false">'🖐🏾 Human'!F84</f>
        <v>0</v>
      </c>
      <c r="F744" s="119" t="n">
        <f aca="false">'🖐🏾 Human'!G84</f>
        <v>0</v>
      </c>
      <c r="G744" s="119" t="n">
        <f aca="false">'🖐🏾 Human'!H84</f>
        <v>0</v>
      </c>
      <c r="H744" s="119" t="n">
        <f aca="false">'🖐🏾 Human'!I84</f>
        <v>0</v>
      </c>
      <c r="I744" s="119" t="n">
        <f aca="false">'🖐🏾 Human'!J84</f>
        <v>0</v>
      </c>
    </row>
    <row r="745" customFormat="false" ht="15.75" hidden="false" customHeight="false" outlineLevel="0" collapsed="false">
      <c r="A745" s="118" t="n">
        <f aca="false">'🖐🏾 Human'!$A$82</f>
        <v>0</v>
      </c>
      <c r="B745" s="4" t="s">
        <v>15</v>
      </c>
      <c r="C745" s="119" t="n">
        <f aca="false">'🖐🏾 Human'!C85</f>
        <v>0</v>
      </c>
      <c r="D745" s="155" t="n">
        <f aca="false">'🖐🏾 Human'!E85</f>
        <v>1</v>
      </c>
      <c r="E745" s="119" t="n">
        <f aca="false">'🖐🏾 Human'!F85</f>
        <v>0</v>
      </c>
      <c r="F745" s="119" t="n">
        <f aca="false">'🖐🏾 Human'!G85</f>
        <v>0</v>
      </c>
      <c r="G745" s="119" t="n">
        <f aca="false">'🖐🏾 Human'!H85</f>
        <v>0</v>
      </c>
      <c r="H745" s="119" t="n">
        <f aca="false">'🖐🏾 Human'!I85</f>
        <v>0</v>
      </c>
      <c r="I745" s="119" t="n">
        <f aca="false">'🖐🏾 Human'!J85</f>
        <v>0</v>
      </c>
    </row>
    <row r="746" customFormat="false" ht="15.75" hidden="false" customHeight="false" outlineLevel="0" collapsed="false">
      <c r="A746" s="118"/>
      <c r="B746" s="4"/>
      <c r="C746" s="6"/>
      <c r="D746" s="155"/>
      <c r="E746" s="6"/>
      <c r="F746" s="6"/>
      <c r="G746" s="6"/>
      <c r="H746" s="6"/>
      <c r="I746" s="6"/>
    </row>
    <row r="747" customFormat="false" ht="15.75" hidden="false" customHeight="false" outlineLevel="0" collapsed="false">
      <c r="A747" s="118" t="n">
        <f aca="false">'🖐🏾 Human'!$A$87</f>
        <v>0</v>
      </c>
      <c r="B747" s="4" t="s">
        <v>15</v>
      </c>
      <c r="C747" s="119" t="str">
        <f aca="false">'🖐🏾 Human'!C87</f>
        <v>Heading</v>
      </c>
      <c r="D747" s="155" t="n">
        <f aca="false">'🖐🏾 Human'!E87</f>
        <v>1</v>
      </c>
      <c r="E747" s="119" t="n">
        <f aca="false">'🖐🏾 Human'!F87</f>
        <v>0</v>
      </c>
      <c r="F747" s="119" t="n">
        <f aca="false">'🖐🏾 Human'!G87</f>
        <v>0</v>
      </c>
      <c r="G747" s="119" t="n">
        <f aca="false">'🖐🏾 Human'!H87</f>
        <v>0</v>
      </c>
      <c r="H747" s="119" t="n">
        <f aca="false">'🖐🏾 Human'!I87</f>
        <v>0</v>
      </c>
      <c r="I747" s="119" t="n">
        <f aca="false">'🖐🏾 Human'!J87</f>
        <v>0</v>
      </c>
    </row>
    <row r="748" customFormat="false" ht="15.75" hidden="false" customHeight="false" outlineLevel="0" collapsed="false">
      <c r="A748" s="118" t="n">
        <f aca="false">'🖐🏾 Human'!$A$87</f>
        <v>0</v>
      </c>
      <c r="B748" s="4" t="s">
        <v>15</v>
      </c>
      <c r="C748" s="119" t="n">
        <f aca="false">'🖐🏾 Human'!C88</f>
        <v>0</v>
      </c>
      <c r="D748" s="155" t="n">
        <f aca="false">'🖐🏾 Human'!E88</f>
        <v>1</v>
      </c>
      <c r="E748" s="119" t="n">
        <f aca="false">'🖐🏾 Human'!F88</f>
        <v>0</v>
      </c>
      <c r="F748" s="119" t="n">
        <f aca="false">'🖐🏾 Human'!G88</f>
        <v>0</v>
      </c>
      <c r="G748" s="119" t="n">
        <f aca="false">'🖐🏾 Human'!H88</f>
        <v>0</v>
      </c>
      <c r="H748" s="119" t="n">
        <f aca="false">'🖐🏾 Human'!I88</f>
        <v>0</v>
      </c>
      <c r="I748" s="119" t="n">
        <f aca="false">'🖐🏾 Human'!J88</f>
        <v>0</v>
      </c>
    </row>
    <row r="749" customFormat="false" ht="15.75" hidden="false" customHeight="false" outlineLevel="0" collapsed="false">
      <c r="A749" s="118" t="n">
        <f aca="false">'🖐🏾 Human'!$A$87</f>
        <v>0</v>
      </c>
      <c r="B749" s="4" t="s">
        <v>15</v>
      </c>
      <c r="C749" s="119" t="n">
        <f aca="false">'🖐🏾 Human'!C89</f>
        <v>0</v>
      </c>
      <c r="D749" s="155" t="n">
        <f aca="false">'🖐🏾 Human'!E89</f>
        <v>1</v>
      </c>
      <c r="E749" s="119" t="n">
        <f aca="false">'🖐🏾 Human'!F89</f>
        <v>0</v>
      </c>
      <c r="F749" s="119" t="n">
        <f aca="false">'🖐🏾 Human'!G89</f>
        <v>0</v>
      </c>
      <c r="G749" s="119" t="n">
        <f aca="false">'🖐🏾 Human'!H89</f>
        <v>0</v>
      </c>
      <c r="H749" s="119" t="n">
        <f aca="false">'🖐🏾 Human'!I89</f>
        <v>0</v>
      </c>
      <c r="I749" s="119" t="n">
        <f aca="false">'🖐🏾 Human'!J89</f>
        <v>0</v>
      </c>
    </row>
    <row r="750" customFormat="false" ht="15.75" hidden="false" customHeight="false" outlineLevel="0" collapsed="false">
      <c r="A750" s="118" t="n">
        <f aca="false">'🖐🏾 Human'!$A$87</f>
        <v>0</v>
      </c>
      <c r="B750" s="4" t="s">
        <v>15</v>
      </c>
      <c r="C750" s="119" t="n">
        <f aca="false">'🖐🏾 Human'!C90</f>
        <v>0</v>
      </c>
      <c r="D750" s="155" t="n">
        <f aca="false">'🖐🏾 Human'!E90</f>
        <v>1</v>
      </c>
      <c r="E750" s="119" t="n">
        <f aca="false">'🖐🏾 Human'!F90</f>
        <v>0</v>
      </c>
      <c r="F750" s="119" t="n">
        <f aca="false">'🖐🏾 Human'!G90</f>
        <v>0</v>
      </c>
      <c r="G750" s="119" t="n">
        <f aca="false">'🖐🏾 Human'!H90</f>
        <v>0</v>
      </c>
      <c r="H750" s="119" t="n">
        <f aca="false">'🖐🏾 Human'!I90</f>
        <v>0</v>
      </c>
      <c r="I750" s="119" t="n">
        <f aca="false">'🖐🏾 Human'!J90</f>
        <v>0</v>
      </c>
    </row>
    <row r="751" customFormat="false" ht="15.75" hidden="false" customHeight="false" outlineLevel="0" collapsed="false">
      <c r="A751" s="118"/>
      <c r="B751" s="4"/>
      <c r="C751" s="6"/>
      <c r="D751" s="155"/>
      <c r="E751" s="6"/>
      <c r="F751" s="6"/>
      <c r="G751" s="6"/>
      <c r="H751" s="6"/>
      <c r="I751" s="6"/>
    </row>
    <row r="752" customFormat="false" ht="15.75" hidden="false" customHeight="false" outlineLevel="0" collapsed="false">
      <c r="A752" s="118" t="n">
        <f aca="false">'🖐🏾 Human'!$A$92</f>
        <v>0</v>
      </c>
      <c r="B752" s="4" t="s">
        <v>15</v>
      </c>
      <c r="C752" s="119" t="str">
        <f aca="false">'🖐🏾 Human'!C92</f>
        <v>Heading</v>
      </c>
      <c r="D752" s="155" t="n">
        <f aca="false">'🖐🏾 Human'!E92</f>
        <v>1</v>
      </c>
      <c r="E752" s="119" t="n">
        <f aca="false">'🖐🏾 Human'!F92</f>
        <v>0</v>
      </c>
      <c r="F752" s="119" t="n">
        <f aca="false">'🖐🏾 Human'!G92</f>
        <v>0</v>
      </c>
      <c r="G752" s="119" t="n">
        <f aca="false">'🖐🏾 Human'!H92</f>
        <v>0</v>
      </c>
      <c r="H752" s="119" t="n">
        <f aca="false">'🖐🏾 Human'!I92</f>
        <v>0</v>
      </c>
      <c r="I752" s="119" t="n">
        <f aca="false">'🖐🏾 Human'!J92</f>
        <v>0</v>
      </c>
    </row>
    <row r="753" customFormat="false" ht="15.75" hidden="false" customHeight="false" outlineLevel="0" collapsed="false">
      <c r="A753" s="118" t="n">
        <f aca="false">'🖐🏾 Human'!$A$92</f>
        <v>0</v>
      </c>
      <c r="B753" s="4" t="s">
        <v>15</v>
      </c>
      <c r="C753" s="119" t="n">
        <f aca="false">'🖐🏾 Human'!C93</f>
        <v>0</v>
      </c>
      <c r="D753" s="155" t="n">
        <f aca="false">'🖐🏾 Human'!E93</f>
        <v>1</v>
      </c>
      <c r="E753" s="119" t="n">
        <f aca="false">'🖐🏾 Human'!F93</f>
        <v>0</v>
      </c>
      <c r="F753" s="119" t="n">
        <f aca="false">'🖐🏾 Human'!G93</f>
        <v>0</v>
      </c>
      <c r="G753" s="119" t="n">
        <f aca="false">'🖐🏾 Human'!H93</f>
        <v>0</v>
      </c>
      <c r="H753" s="119" t="n">
        <f aca="false">'🖐🏾 Human'!I93</f>
        <v>0</v>
      </c>
      <c r="I753" s="119" t="n">
        <f aca="false">'🖐🏾 Human'!J93</f>
        <v>0</v>
      </c>
    </row>
    <row r="754" customFormat="false" ht="15.75" hidden="false" customHeight="false" outlineLevel="0" collapsed="false">
      <c r="A754" s="118" t="n">
        <f aca="false">'🖐🏾 Human'!$A$92</f>
        <v>0</v>
      </c>
      <c r="B754" s="4" t="s">
        <v>15</v>
      </c>
      <c r="C754" s="119" t="n">
        <f aca="false">'🖐🏾 Human'!C94</f>
        <v>0</v>
      </c>
      <c r="D754" s="155" t="n">
        <f aca="false">'🖐🏾 Human'!E94</f>
        <v>1</v>
      </c>
      <c r="E754" s="119" t="n">
        <f aca="false">'🖐🏾 Human'!F94</f>
        <v>0</v>
      </c>
      <c r="F754" s="119" t="n">
        <f aca="false">'🖐🏾 Human'!G94</f>
        <v>0</v>
      </c>
      <c r="G754" s="119" t="n">
        <f aca="false">'🖐🏾 Human'!H94</f>
        <v>0</v>
      </c>
      <c r="H754" s="119" t="n">
        <f aca="false">'🖐🏾 Human'!I94</f>
        <v>0</v>
      </c>
      <c r="I754" s="119" t="n">
        <f aca="false">'🖐🏾 Human'!J94</f>
        <v>0</v>
      </c>
    </row>
    <row r="755" customFormat="false" ht="15.75" hidden="false" customHeight="false" outlineLevel="0" collapsed="false">
      <c r="A755" s="118" t="n">
        <f aca="false">'🖐🏾 Human'!$A$92</f>
        <v>0</v>
      </c>
      <c r="B755" s="4" t="s">
        <v>15</v>
      </c>
      <c r="C755" s="119" t="n">
        <f aca="false">'🖐🏾 Human'!C95</f>
        <v>0</v>
      </c>
      <c r="D755" s="155" t="n">
        <f aca="false">'🖐🏾 Human'!E95</f>
        <v>1</v>
      </c>
      <c r="E755" s="119" t="n">
        <f aca="false">'🖐🏾 Human'!F95</f>
        <v>0</v>
      </c>
      <c r="F755" s="119" t="n">
        <f aca="false">'🖐🏾 Human'!G95</f>
        <v>0</v>
      </c>
      <c r="G755" s="119" t="n">
        <f aca="false">'🖐🏾 Human'!H95</f>
        <v>0</v>
      </c>
      <c r="H755" s="119" t="n">
        <f aca="false">'🖐🏾 Human'!I95</f>
        <v>0</v>
      </c>
      <c r="I755" s="119" t="n">
        <f aca="false">'🖐🏾 Human'!J95</f>
        <v>0</v>
      </c>
    </row>
    <row r="756" customFormat="false" ht="15.75" hidden="false" customHeight="false" outlineLevel="0" collapsed="false">
      <c r="A756" s="118"/>
      <c r="B756" s="4"/>
      <c r="C756" s="6"/>
      <c r="D756" s="155"/>
      <c r="E756" s="6"/>
      <c r="F756" s="6"/>
      <c r="G756" s="6"/>
      <c r="H756" s="6"/>
      <c r="I756" s="6"/>
    </row>
    <row r="757" customFormat="false" ht="15.75" hidden="false" customHeight="false" outlineLevel="0" collapsed="false">
      <c r="A757" s="118" t="n">
        <f aca="false">'🖐🏾 Human'!$A$97</f>
        <v>0</v>
      </c>
      <c r="B757" s="4" t="s">
        <v>15</v>
      </c>
      <c r="C757" s="119" t="str">
        <f aca="false">'🖐🏾 Human'!C97</f>
        <v>Heading</v>
      </c>
      <c r="D757" s="155" t="n">
        <f aca="false">'🖐🏾 Human'!E97</f>
        <v>1</v>
      </c>
      <c r="E757" s="119" t="n">
        <f aca="false">'🖐🏾 Human'!F97</f>
        <v>0</v>
      </c>
      <c r="F757" s="119" t="n">
        <f aca="false">'🖐🏾 Human'!G97</f>
        <v>0</v>
      </c>
      <c r="G757" s="119" t="n">
        <f aca="false">'🖐🏾 Human'!H97</f>
        <v>0</v>
      </c>
      <c r="H757" s="119" t="n">
        <f aca="false">'🖐🏾 Human'!I97</f>
        <v>0</v>
      </c>
      <c r="I757" s="119" t="n">
        <f aca="false">'🖐🏾 Human'!J97</f>
        <v>0</v>
      </c>
    </row>
    <row r="758" customFormat="false" ht="15.75" hidden="false" customHeight="false" outlineLevel="0" collapsed="false">
      <c r="A758" s="118" t="n">
        <f aca="false">'🖐🏾 Human'!$A$97</f>
        <v>0</v>
      </c>
      <c r="B758" s="4" t="s">
        <v>15</v>
      </c>
      <c r="C758" s="119" t="n">
        <f aca="false">'🖐🏾 Human'!C98</f>
        <v>0</v>
      </c>
      <c r="D758" s="155" t="n">
        <f aca="false">'🖐🏾 Human'!E98</f>
        <v>1</v>
      </c>
      <c r="E758" s="119" t="n">
        <f aca="false">'🖐🏾 Human'!F98</f>
        <v>0</v>
      </c>
      <c r="F758" s="119" t="n">
        <f aca="false">'🖐🏾 Human'!G98</f>
        <v>0</v>
      </c>
      <c r="G758" s="119" t="n">
        <f aca="false">'🖐🏾 Human'!H98</f>
        <v>0</v>
      </c>
      <c r="H758" s="119" t="n">
        <f aca="false">'🖐🏾 Human'!I98</f>
        <v>0</v>
      </c>
      <c r="I758" s="119" t="n">
        <f aca="false">'🖐🏾 Human'!J98</f>
        <v>0</v>
      </c>
    </row>
    <row r="759" customFormat="false" ht="15.75" hidden="false" customHeight="false" outlineLevel="0" collapsed="false">
      <c r="A759" s="118" t="n">
        <f aca="false">'🖐🏾 Human'!$A$97</f>
        <v>0</v>
      </c>
      <c r="B759" s="4" t="s">
        <v>15</v>
      </c>
      <c r="C759" s="119" t="n">
        <f aca="false">'🖐🏾 Human'!C99</f>
        <v>0</v>
      </c>
      <c r="D759" s="155" t="n">
        <f aca="false">'🖐🏾 Human'!E99</f>
        <v>1</v>
      </c>
      <c r="E759" s="119" t="n">
        <f aca="false">'🖐🏾 Human'!F99</f>
        <v>0</v>
      </c>
      <c r="F759" s="119" t="n">
        <f aca="false">'🖐🏾 Human'!G99</f>
        <v>0</v>
      </c>
      <c r="G759" s="119" t="n">
        <f aca="false">'🖐🏾 Human'!H99</f>
        <v>0</v>
      </c>
      <c r="H759" s="119" t="n">
        <f aca="false">'🖐🏾 Human'!I99</f>
        <v>0</v>
      </c>
      <c r="I759" s="119" t="n">
        <f aca="false">'🖐🏾 Human'!J99</f>
        <v>0</v>
      </c>
    </row>
    <row r="760" customFormat="false" ht="15.75" hidden="false" customHeight="false" outlineLevel="0" collapsed="false">
      <c r="A760" s="118" t="n">
        <f aca="false">'🖐🏾 Human'!$A$97</f>
        <v>0</v>
      </c>
      <c r="B760" s="4" t="s">
        <v>15</v>
      </c>
      <c r="C760" s="119" t="n">
        <f aca="false">'🖐🏾 Human'!C100</f>
        <v>0</v>
      </c>
      <c r="D760" s="155" t="n">
        <f aca="false">'🖐🏾 Human'!E100</f>
        <v>1</v>
      </c>
      <c r="E760" s="119" t="n">
        <f aca="false">'🖐🏾 Human'!F100</f>
        <v>0</v>
      </c>
      <c r="F760" s="119" t="n">
        <f aca="false">'🖐🏾 Human'!G100</f>
        <v>0</v>
      </c>
      <c r="G760" s="119" t="n">
        <f aca="false">'🖐🏾 Human'!H100</f>
        <v>0</v>
      </c>
      <c r="H760" s="119" t="n">
        <f aca="false">'🖐🏾 Human'!I100</f>
        <v>0</v>
      </c>
      <c r="I760" s="119" t="n">
        <f aca="false">'🖐🏾 Human'!J100</f>
        <v>0</v>
      </c>
    </row>
    <row r="761" customFormat="false" ht="15.75" hidden="false" customHeight="false" outlineLevel="0" collapsed="false">
      <c r="A761" s="118"/>
      <c r="B761" s="4"/>
      <c r="C761" s="6"/>
      <c r="D761" s="155"/>
      <c r="E761" s="6"/>
      <c r="F761" s="6"/>
      <c r="G761" s="6"/>
      <c r="H761" s="6"/>
      <c r="I761" s="6"/>
    </row>
    <row r="762" customFormat="false" ht="15.75" hidden="false" customHeight="false" outlineLevel="0" collapsed="false">
      <c r="A762" s="118" t="n">
        <f aca="false">'🖐🏾 Human'!$A$102</f>
        <v>0</v>
      </c>
      <c r="B762" s="4" t="s">
        <v>15</v>
      </c>
      <c r="C762" s="119" t="str">
        <f aca="false">'🖐🏾 Human'!C102</f>
        <v>Heading</v>
      </c>
      <c r="D762" s="155" t="n">
        <f aca="false">'🖐🏾 Human'!E102</f>
        <v>1</v>
      </c>
      <c r="E762" s="119" t="n">
        <f aca="false">'🖐🏾 Human'!F102</f>
        <v>0</v>
      </c>
      <c r="F762" s="119" t="n">
        <f aca="false">'🖐🏾 Human'!G102</f>
        <v>0</v>
      </c>
      <c r="G762" s="119" t="n">
        <f aca="false">'🖐🏾 Human'!H102</f>
        <v>0</v>
      </c>
      <c r="H762" s="119" t="n">
        <f aca="false">'🖐🏾 Human'!I102</f>
        <v>0</v>
      </c>
      <c r="I762" s="119" t="n">
        <f aca="false">'🖐🏾 Human'!J102</f>
        <v>0</v>
      </c>
    </row>
    <row r="763" customFormat="false" ht="15.75" hidden="false" customHeight="false" outlineLevel="0" collapsed="false">
      <c r="A763" s="118" t="n">
        <f aca="false">'🖐🏾 Human'!$A$102</f>
        <v>0</v>
      </c>
      <c r="B763" s="4" t="s">
        <v>15</v>
      </c>
      <c r="C763" s="119" t="n">
        <f aca="false">'🖐🏾 Human'!C103</f>
        <v>0</v>
      </c>
      <c r="D763" s="155" t="n">
        <f aca="false">'🖐🏾 Human'!E103</f>
        <v>1</v>
      </c>
      <c r="E763" s="119" t="n">
        <f aca="false">'🖐🏾 Human'!F103</f>
        <v>0</v>
      </c>
      <c r="F763" s="119" t="n">
        <f aca="false">'🖐🏾 Human'!G103</f>
        <v>0</v>
      </c>
      <c r="G763" s="119" t="n">
        <f aca="false">'🖐🏾 Human'!H103</f>
        <v>0</v>
      </c>
      <c r="H763" s="119" t="n">
        <f aca="false">'🖐🏾 Human'!I103</f>
        <v>0</v>
      </c>
      <c r="I763" s="119" t="n">
        <f aca="false">'🖐🏾 Human'!J103</f>
        <v>0</v>
      </c>
    </row>
    <row r="764" customFormat="false" ht="15.75" hidden="false" customHeight="false" outlineLevel="0" collapsed="false">
      <c r="A764" s="118" t="n">
        <f aca="false">'🖐🏾 Human'!$A$102</f>
        <v>0</v>
      </c>
      <c r="B764" s="4" t="s">
        <v>15</v>
      </c>
      <c r="C764" s="119" t="n">
        <f aca="false">'🖐🏾 Human'!C104</f>
        <v>0</v>
      </c>
      <c r="D764" s="155" t="n">
        <f aca="false">'🖐🏾 Human'!E104</f>
        <v>1</v>
      </c>
      <c r="E764" s="119" t="n">
        <f aca="false">'🖐🏾 Human'!F104</f>
        <v>0</v>
      </c>
      <c r="F764" s="119" t="n">
        <f aca="false">'🖐🏾 Human'!G104</f>
        <v>0</v>
      </c>
      <c r="G764" s="119" t="n">
        <f aca="false">'🖐🏾 Human'!H104</f>
        <v>0</v>
      </c>
      <c r="H764" s="119" t="n">
        <f aca="false">'🖐🏾 Human'!I104</f>
        <v>0</v>
      </c>
      <c r="I764" s="119" t="n">
        <f aca="false">'🖐🏾 Human'!J104</f>
        <v>0</v>
      </c>
    </row>
    <row r="765" customFormat="false" ht="15.75" hidden="false" customHeight="false" outlineLevel="0" collapsed="false">
      <c r="A765" s="118" t="n">
        <f aca="false">'🖐🏾 Human'!$A$102</f>
        <v>0</v>
      </c>
      <c r="B765" s="4" t="s">
        <v>15</v>
      </c>
      <c r="C765" s="119" t="n">
        <f aca="false">'🖐🏾 Human'!C105</f>
        <v>0</v>
      </c>
      <c r="D765" s="155" t="n">
        <f aca="false">'🖐🏾 Human'!E105</f>
        <v>1</v>
      </c>
      <c r="E765" s="119" t="n">
        <f aca="false">'🖐🏾 Human'!F105</f>
        <v>0</v>
      </c>
      <c r="F765" s="119" t="n">
        <f aca="false">'🖐🏾 Human'!G105</f>
        <v>0</v>
      </c>
      <c r="G765" s="119" t="n">
        <f aca="false">'🖐🏾 Human'!H105</f>
        <v>0</v>
      </c>
      <c r="H765" s="119" t="n">
        <f aca="false">'🖐🏾 Human'!I105</f>
        <v>0</v>
      </c>
      <c r="I765" s="119" t="n">
        <f aca="false">'🖐🏾 Human'!J105</f>
        <v>0</v>
      </c>
    </row>
    <row r="766" customFormat="false" ht="15.75" hidden="false" customHeight="false" outlineLevel="0" collapsed="false">
      <c r="A766" s="118"/>
      <c r="B766" s="4"/>
      <c r="C766" s="6"/>
      <c r="D766" s="155"/>
      <c r="E766" s="6"/>
      <c r="F766" s="6"/>
      <c r="G766" s="6"/>
      <c r="H766" s="6"/>
      <c r="I766" s="6"/>
    </row>
    <row r="767" customFormat="false" ht="15.75" hidden="false" customHeight="false" outlineLevel="0" collapsed="false">
      <c r="A767" s="118" t="n">
        <f aca="false">'🖐🏾 Human'!$A$107</f>
        <v>0</v>
      </c>
      <c r="B767" s="4" t="s">
        <v>15</v>
      </c>
      <c r="C767" s="119" t="str">
        <f aca="false">'🖐🏾 Human'!C107</f>
        <v>Heading</v>
      </c>
      <c r="D767" s="155" t="n">
        <f aca="false">'🖐🏾 Human'!E107</f>
        <v>1</v>
      </c>
      <c r="E767" s="119" t="n">
        <f aca="false">'🖐🏾 Human'!F107</f>
        <v>0</v>
      </c>
      <c r="F767" s="119" t="n">
        <f aca="false">'🖐🏾 Human'!G107</f>
        <v>0</v>
      </c>
      <c r="G767" s="119" t="n">
        <f aca="false">'🖐🏾 Human'!H107</f>
        <v>0</v>
      </c>
      <c r="H767" s="119" t="n">
        <f aca="false">'🖐🏾 Human'!I107</f>
        <v>0</v>
      </c>
      <c r="I767" s="119" t="n">
        <f aca="false">'🖐🏾 Human'!J107</f>
        <v>0</v>
      </c>
    </row>
    <row r="768" customFormat="false" ht="15.75" hidden="false" customHeight="false" outlineLevel="0" collapsed="false">
      <c r="A768" s="118" t="n">
        <f aca="false">'🖐🏾 Human'!$A$107</f>
        <v>0</v>
      </c>
      <c r="B768" s="4" t="s">
        <v>15</v>
      </c>
      <c r="C768" s="119" t="n">
        <f aca="false">'🖐🏾 Human'!C108</f>
        <v>0</v>
      </c>
      <c r="D768" s="155" t="n">
        <f aca="false">'🖐🏾 Human'!E108</f>
        <v>1</v>
      </c>
      <c r="E768" s="119" t="n">
        <f aca="false">'🖐🏾 Human'!F108</f>
        <v>0</v>
      </c>
      <c r="F768" s="119" t="n">
        <f aca="false">'🖐🏾 Human'!G108</f>
        <v>0</v>
      </c>
      <c r="G768" s="119" t="n">
        <f aca="false">'🖐🏾 Human'!H108</f>
        <v>0</v>
      </c>
      <c r="H768" s="119" t="n">
        <f aca="false">'🖐🏾 Human'!I108</f>
        <v>0</v>
      </c>
      <c r="I768" s="119" t="n">
        <f aca="false">'🖐🏾 Human'!J108</f>
        <v>0</v>
      </c>
    </row>
    <row r="769" customFormat="false" ht="15.75" hidden="false" customHeight="false" outlineLevel="0" collapsed="false">
      <c r="A769" s="118" t="n">
        <f aca="false">'🖐🏾 Human'!$A$107</f>
        <v>0</v>
      </c>
      <c r="B769" s="4" t="s">
        <v>15</v>
      </c>
      <c r="C769" s="119" t="n">
        <f aca="false">'🖐🏾 Human'!C109</f>
        <v>0</v>
      </c>
      <c r="D769" s="155" t="n">
        <f aca="false">'🖐🏾 Human'!E109</f>
        <v>1</v>
      </c>
      <c r="E769" s="119" t="n">
        <f aca="false">'🖐🏾 Human'!F109</f>
        <v>0</v>
      </c>
      <c r="F769" s="119" t="n">
        <f aca="false">'🖐🏾 Human'!G109</f>
        <v>0</v>
      </c>
      <c r="G769" s="119" t="n">
        <f aca="false">'🖐🏾 Human'!H109</f>
        <v>0</v>
      </c>
      <c r="H769" s="119" t="n">
        <f aca="false">'🖐🏾 Human'!I109</f>
        <v>0</v>
      </c>
      <c r="I769" s="119" t="n">
        <f aca="false">'🖐🏾 Human'!J109</f>
        <v>0</v>
      </c>
    </row>
    <row r="770" customFormat="false" ht="15.75" hidden="false" customHeight="false" outlineLevel="0" collapsed="false">
      <c r="A770" s="118" t="n">
        <f aca="false">'🖐🏾 Human'!$A$107</f>
        <v>0</v>
      </c>
      <c r="B770" s="4" t="s">
        <v>15</v>
      </c>
      <c r="C770" s="119" t="n">
        <f aca="false">'🖐🏾 Human'!C110</f>
        <v>0</v>
      </c>
      <c r="D770" s="155" t="n">
        <f aca="false">'🖐🏾 Human'!E110</f>
        <v>1</v>
      </c>
      <c r="E770" s="119" t="n">
        <f aca="false">'🖐🏾 Human'!F110</f>
        <v>0</v>
      </c>
      <c r="F770" s="119" t="n">
        <f aca="false">'🖐🏾 Human'!G110</f>
        <v>0</v>
      </c>
      <c r="G770" s="119" t="n">
        <f aca="false">'🖐🏾 Human'!H110</f>
        <v>0</v>
      </c>
      <c r="H770" s="119" t="n">
        <f aca="false">'🖐🏾 Human'!I110</f>
        <v>0</v>
      </c>
      <c r="I770" s="119" t="n">
        <f aca="false">'🖐🏾 Human'!J110</f>
        <v>0</v>
      </c>
    </row>
    <row r="771" customFormat="false" ht="15.75" hidden="false" customHeight="false" outlineLevel="0" collapsed="false">
      <c r="A771" s="118"/>
      <c r="B771" s="4"/>
      <c r="C771" s="6"/>
      <c r="D771" s="155"/>
      <c r="E771" s="6"/>
      <c r="F771" s="6"/>
      <c r="G771" s="6"/>
      <c r="H771" s="6"/>
      <c r="I771" s="6"/>
    </row>
    <row r="772" customFormat="false" ht="15.75" hidden="false" customHeight="false" outlineLevel="0" collapsed="false">
      <c r="A772" s="118" t="n">
        <f aca="false">'🖐🏾 Human'!$A$112</f>
        <v>0</v>
      </c>
      <c r="B772" s="4" t="s">
        <v>15</v>
      </c>
      <c r="C772" s="119" t="str">
        <f aca="false">'🖐🏾 Human'!C112</f>
        <v>Heading</v>
      </c>
      <c r="D772" s="155" t="n">
        <f aca="false">'🖐🏾 Human'!E112</f>
        <v>1</v>
      </c>
      <c r="E772" s="119" t="n">
        <f aca="false">'🖐🏾 Human'!F112</f>
        <v>0</v>
      </c>
      <c r="F772" s="119" t="n">
        <f aca="false">'🖐🏾 Human'!G112</f>
        <v>0</v>
      </c>
      <c r="G772" s="119" t="n">
        <f aca="false">'🖐🏾 Human'!H112</f>
        <v>0</v>
      </c>
      <c r="H772" s="119" t="n">
        <f aca="false">'🖐🏾 Human'!I112</f>
        <v>0</v>
      </c>
      <c r="I772" s="119" t="n">
        <f aca="false">'🖐🏾 Human'!J112</f>
        <v>0</v>
      </c>
    </row>
    <row r="773" customFormat="false" ht="15.75" hidden="false" customHeight="false" outlineLevel="0" collapsed="false">
      <c r="A773" s="118" t="n">
        <f aca="false">'🖐🏾 Human'!$A$112</f>
        <v>0</v>
      </c>
      <c r="B773" s="4" t="s">
        <v>15</v>
      </c>
      <c r="C773" s="119" t="n">
        <f aca="false">'🖐🏾 Human'!C113</f>
        <v>0</v>
      </c>
      <c r="D773" s="155" t="n">
        <f aca="false">'🖐🏾 Human'!E113</f>
        <v>1</v>
      </c>
      <c r="E773" s="119" t="n">
        <f aca="false">'🖐🏾 Human'!F113</f>
        <v>0</v>
      </c>
      <c r="F773" s="119" t="n">
        <f aca="false">'🖐🏾 Human'!G113</f>
        <v>0</v>
      </c>
      <c r="G773" s="119" t="n">
        <f aca="false">'🖐🏾 Human'!H113</f>
        <v>0</v>
      </c>
      <c r="H773" s="119" t="n">
        <f aca="false">'🖐🏾 Human'!I113</f>
        <v>0</v>
      </c>
      <c r="I773" s="119" t="n">
        <f aca="false">'🖐🏾 Human'!J113</f>
        <v>0</v>
      </c>
    </row>
    <row r="774" customFormat="false" ht="15.75" hidden="false" customHeight="false" outlineLevel="0" collapsed="false">
      <c r="A774" s="118" t="n">
        <f aca="false">'🖐🏾 Human'!$A$112</f>
        <v>0</v>
      </c>
      <c r="B774" s="4" t="s">
        <v>15</v>
      </c>
      <c r="C774" s="119" t="n">
        <f aca="false">'🖐🏾 Human'!C114</f>
        <v>0</v>
      </c>
      <c r="D774" s="155" t="n">
        <f aca="false">'🖐🏾 Human'!E114</f>
        <v>1</v>
      </c>
      <c r="E774" s="119" t="n">
        <f aca="false">'🖐🏾 Human'!F114</f>
        <v>0</v>
      </c>
      <c r="F774" s="119" t="n">
        <f aca="false">'🖐🏾 Human'!G114</f>
        <v>0</v>
      </c>
      <c r="G774" s="119" t="n">
        <f aca="false">'🖐🏾 Human'!H114</f>
        <v>0</v>
      </c>
      <c r="H774" s="119" t="n">
        <f aca="false">'🖐🏾 Human'!I114</f>
        <v>0</v>
      </c>
      <c r="I774" s="119" t="n">
        <f aca="false">'🖐🏾 Human'!J114</f>
        <v>0</v>
      </c>
    </row>
    <row r="775" customFormat="false" ht="15.75" hidden="false" customHeight="false" outlineLevel="0" collapsed="false">
      <c r="A775" s="118" t="n">
        <f aca="false">'🖐🏾 Human'!$A$112</f>
        <v>0</v>
      </c>
      <c r="B775" s="4" t="s">
        <v>15</v>
      </c>
      <c r="C775" s="119" t="n">
        <f aca="false">'🖐🏾 Human'!C115</f>
        <v>0</v>
      </c>
      <c r="D775" s="155" t="n">
        <f aca="false">'🖐🏾 Human'!E115</f>
        <v>1</v>
      </c>
      <c r="E775" s="119" t="n">
        <f aca="false">'🖐🏾 Human'!F115</f>
        <v>0</v>
      </c>
      <c r="F775" s="119" t="n">
        <f aca="false">'🖐🏾 Human'!G115</f>
        <v>0</v>
      </c>
      <c r="G775" s="119" t="n">
        <f aca="false">'🖐🏾 Human'!H115</f>
        <v>0</v>
      </c>
      <c r="H775" s="119" t="n">
        <f aca="false">'🖐🏾 Human'!I115</f>
        <v>0</v>
      </c>
      <c r="I775" s="119" t="n">
        <f aca="false">'🖐🏾 Human'!J115</f>
        <v>0</v>
      </c>
    </row>
    <row r="776" customFormat="false" ht="15.75" hidden="false" customHeight="false" outlineLevel="0" collapsed="false">
      <c r="A776" s="118"/>
      <c r="B776" s="4"/>
      <c r="C776" s="6"/>
      <c r="D776" s="155"/>
      <c r="E776" s="6"/>
      <c r="F776" s="6"/>
      <c r="G776" s="6"/>
      <c r="H776" s="6"/>
      <c r="I776" s="6"/>
    </row>
    <row r="777" customFormat="false" ht="15.75" hidden="false" customHeight="false" outlineLevel="0" collapsed="false">
      <c r="A777" s="118" t="n">
        <f aca="false">'🖐🏾 Human'!$A$117</f>
        <v>0</v>
      </c>
      <c r="B777" s="4" t="s">
        <v>15</v>
      </c>
      <c r="C777" s="119" t="str">
        <f aca="false">'🖐🏾 Human'!C117</f>
        <v>Heading</v>
      </c>
      <c r="D777" s="155" t="n">
        <f aca="false">'🖐🏾 Human'!E117</f>
        <v>1</v>
      </c>
      <c r="E777" s="119" t="n">
        <f aca="false">'🖐🏾 Human'!F117</f>
        <v>0</v>
      </c>
      <c r="F777" s="119" t="n">
        <f aca="false">'🖐🏾 Human'!G117</f>
        <v>0</v>
      </c>
      <c r="G777" s="119" t="n">
        <f aca="false">'🖐🏾 Human'!H117</f>
        <v>0</v>
      </c>
      <c r="H777" s="119" t="n">
        <f aca="false">'🖐🏾 Human'!I117</f>
        <v>0</v>
      </c>
      <c r="I777" s="119" t="n">
        <f aca="false">'🖐🏾 Human'!J117</f>
        <v>0</v>
      </c>
    </row>
    <row r="778" customFormat="false" ht="15.75" hidden="false" customHeight="false" outlineLevel="0" collapsed="false">
      <c r="A778" s="118" t="n">
        <f aca="false">'🖐🏾 Human'!$A$117</f>
        <v>0</v>
      </c>
      <c r="B778" s="4" t="s">
        <v>15</v>
      </c>
      <c r="C778" s="119" t="n">
        <f aca="false">'🖐🏾 Human'!C118</f>
        <v>0</v>
      </c>
      <c r="D778" s="155" t="n">
        <f aca="false">'🖐🏾 Human'!E118</f>
        <v>1</v>
      </c>
      <c r="E778" s="119" t="n">
        <f aca="false">'🖐🏾 Human'!F118</f>
        <v>0</v>
      </c>
      <c r="F778" s="119" t="n">
        <f aca="false">'🖐🏾 Human'!G118</f>
        <v>0</v>
      </c>
      <c r="G778" s="119" t="n">
        <f aca="false">'🖐🏾 Human'!H118</f>
        <v>0</v>
      </c>
      <c r="H778" s="119" t="n">
        <f aca="false">'🖐🏾 Human'!I118</f>
        <v>0</v>
      </c>
      <c r="I778" s="119" t="n">
        <f aca="false">'🖐🏾 Human'!J118</f>
        <v>0</v>
      </c>
    </row>
    <row r="779" customFormat="false" ht="15.75" hidden="false" customHeight="false" outlineLevel="0" collapsed="false">
      <c r="A779" s="118" t="n">
        <f aca="false">'🖐🏾 Human'!$A$117</f>
        <v>0</v>
      </c>
      <c r="B779" s="4" t="s">
        <v>15</v>
      </c>
      <c r="C779" s="119" t="n">
        <f aca="false">'🖐🏾 Human'!C119</f>
        <v>0</v>
      </c>
      <c r="D779" s="155" t="n">
        <f aca="false">'🖐🏾 Human'!E119</f>
        <v>1</v>
      </c>
      <c r="E779" s="119" t="n">
        <f aca="false">'🖐🏾 Human'!F119</f>
        <v>0</v>
      </c>
      <c r="F779" s="119" t="n">
        <f aca="false">'🖐🏾 Human'!G119</f>
        <v>0</v>
      </c>
      <c r="G779" s="119" t="n">
        <f aca="false">'🖐🏾 Human'!H119</f>
        <v>0</v>
      </c>
      <c r="H779" s="119" t="n">
        <f aca="false">'🖐🏾 Human'!I119</f>
        <v>0</v>
      </c>
      <c r="I779" s="119" t="n">
        <f aca="false">'🖐🏾 Human'!J119</f>
        <v>0</v>
      </c>
    </row>
    <row r="780" customFormat="false" ht="15.75" hidden="false" customHeight="false" outlineLevel="0" collapsed="false">
      <c r="A780" s="118" t="n">
        <f aca="false">'🖐🏾 Human'!$A$117</f>
        <v>0</v>
      </c>
      <c r="B780" s="4" t="s">
        <v>15</v>
      </c>
      <c r="C780" s="119" t="n">
        <f aca="false">'🖐🏾 Human'!C120</f>
        <v>0</v>
      </c>
      <c r="D780" s="155" t="n">
        <f aca="false">'🖐🏾 Human'!E120</f>
        <v>1</v>
      </c>
      <c r="E780" s="119" t="n">
        <f aca="false">'🖐🏾 Human'!F120</f>
        <v>0</v>
      </c>
      <c r="F780" s="119" t="n">
        <f aca="false">'🖐🏾 Human'!G120</f>
        <v>0</v>
      </c>
      <c r="G780" s="119" t="n">
        <f aca="false">'🖐🏾 Human'!H120</f>
        <v>0</v>
      </c>
      <c r="H780" s="119" t="n">
        <f aca="false">'🖐🏾 Human'!I120</f>
        <v>0</v>
      </c>
      <c r="I780" s="119" t="n">
        <f aca="false">'🖐🏾 Human'!J120</f>
        <v>0</v>
      </c>
    </row>
    <row r="781" customFormat="false" ht="15.75" hidden="false" customHeight="false" outlineLevel="0" collapsed="false">
      <c r="A781" s="118"/>
      <c r="B781" s="4"/>
      <c r="C781" s="6"/>
      <c r="D781" s="155"/>
      <c r="E781" s="6"/>
      <c r="F781" s="6"/>
      <c r="G781" s="6"/>
      <c r="H781" s="6"/>
      <c r="I781" s="6"/>
    </row>
    <row r="782" customFormat="false" ht="15.75" hidden="false" customHeight="false" outlineLevel="0" collapsed="false">
      <c r="A782" s="118" t="n">
        <f aca="false">'🖐🏾 Human'!$A$122</f>
        <v>0</v>
      </c>
      <c r="B782" s="4" t="s">
        <v>15</v>
      </c>
      <c r="C782" s="119" t="str">
        <f aca="false">'🖐🏾 Human'!C122</f>
        <v>Heading</v>
      </c>
      <c r="D782" s="155" t="n">
        <f aca="false">'🖐🏾 Human'!E122</f>
        <v>1</v>
      </c>
      <c r="E782" s="119" t="n">
        <f aca="false">'🖐🏾 Human'!F122</f>
        <v>0</v>
      </c>
      <c r="F782" s="119" t="n">
        <f aca="false">'🖐🏾 Human'!G122</f>
        <v>0</v>
      </c>
      <c r="G782" s="119" t="n">
        <f aca="false">'🖐🏾 Human'!H122</f>
        <v>0</v>
      </c>
      <c r="H782" s="119" t="n">
        <f aca="false">'🖐🏾 Human'!I122</f>
        <v>0</v>
      </c>
      <c r="I782" s="119" t="n">
        <f aca="false">'🖐🏾 Human'!J122</f>
        <v>0</v>
      </c>
    </row>
    <row r="783" customFormat="false" ht="15.75" hidden="false" customHeight="false" outlineLevel="0" collapsed="false">
      <c r="A783" s="118" t="n">
        <f aca="false">'🖐🏾 Human'!$A$122</f>
        <v>0</v>
      </c>
      <c r="B783" s="4" t="s">
        <v>15</v>
      </c>
      <c r="C783" s="119" t="n">
        <f aca="false">'🖐🏾 Human'!C123</f>
        <v>0</v>
      </c>
      <c r="D783" s="155" t="n">
        <f aca="false">'🖐🏾 Human'!E123</f>
        <v>1</v>
      </c>
      <c r="E783" s="119" t="n">
        <f aca="false">'🖐🏾 Human'!F123</f>
        <v>0</v>
      </c>
      <c r="F783" s="119" t="n">
        <f aca="false">'🖐🏾 Human'!G123</f>
        <v>0</v>
      </c>
      <c r="G783" s="119" t="n">
        <f aca="false">'🖐🏾 Human'!H123</f>
        <v>0</v>
      </c>
      <c r="H783" s="119" t="n">
        <f aca="false">'🖐🏾 Human'!I123</f>
        <v>0</v>
      </c>
      <c r="I783" s="119" t="n">
        <f aca="false">'🖐🏾 Human'!J123</f>
        <v>0</v>
      </c>
    </row>
    <row r="784" customFormat="false" ht="15.75" hidden="false" customHeight="false" outlineLevel="0" collapsed="false">
      <c r="A784" s="118" t="n">
        <f aca="false">'🖐🏾 Human'!$A$122</f>
        <v>0</v>
      </c>
      <c r="B784" s="4" t="s">
        <v>15</v>
      </c>
      <c r="C784" s="119" t="n">
        <f aca="false">'🖐🏾 Human'!C124</f>
        <v>0</v>
      </c>
      <c r="D784" s="155" t="n">
        <f aca="false">'🖐🏾 Human'!E124</f>
        <v>1</v>
      </c>
      <c r="E784" s="119" t="n">
        <f aca="false">'🖐🏾 Human'!F124</f>
        <v>0</v>
      </c>
      <c r="F784" s="119" t="n">
        <f aca="false">'🖐🏾 Human'!G124</f>
        <v>0</v>
      </c>
      <c r="G784" s="119" t="n">
        <f aca="false">'🖐🏾 Human'!H124</f>
        <v>0</v>
      </c>
      <c r="H784" s="119" t="n">
        <f aca="false">'🖐🏾 Human'!I124</f>
        <v>0</v>
      </c>
      <c r="I784" s="119" t="n">
        <f aca="false">'🖐🏾 Human'!J124</f>
        <v>0</v>
      </c>
    </row>
    <row r="785" customFormat="false" ht="15.75" hidden="false" customHeight="false" outlineLevel="0" collapsed="false">
      <c r="A785" s="118" t="n">
        <f aca="false">'🖐🏾 Human'!$A$122</f>
        <v>0</v>
      </c>
      <c r="B785" s="4" t="s">
        <v>15</v>
      </c>
      <c r="C785" s="119" t="n">
        <f aca="false">'🖐🏾 Human'!C125</f>
        <v>0</v>
      </c>
      <c r="D785" s="155" t="n">
        <f aca="false">'🖐🏾 Human'!E125</f>
        <v>1</v>
      </c>
      <c r="E785" s="119" t="n">
        <f aca="false">'🖐🏾 Human'!F125</f>
        <v>0</v>
      </c>
      <c r="F785" s="119" t="n">
        <f aca="false">'🖐🏾 Human'!G125</f>
        <v>0</v>
      </c>
      <c r="G785" s="119" t="n">
        <f aca="false">'🖐🏾 Human'!H125</f>
        <v>0</v>
      </c>
      <c r="H785" s="119" t="n">
        <f aca="false">'🖐🏾 Human'!I125</f>
        <v>0</v>
      </c>
      <c r="I785" s="119" t="n">
        <f aca="false">'🖐🏾 Human'!J125</f>
        <v>0</v>
      </c>
    </row>
    <row r="786" customFormat="false" ht="15.75" hidden="false" customHeight="false" outlineLevel="0" collapsed="false">
      <c r="A786" s="118"/>
      <c r="B786" s="4"/>
      <c r="C786" s="6"/>
      <c r="D786" s="155"/>
      <c r="E786" s="6"/>
      <c r="F786" s="6"/>
      <c r="G786" s="6"/>
      <c r="H786" s="6"/>
      <c r="I786" s="6"/>
    </row>
    <row r="787" customFormat="false" ht="15.75" hidden="false" customHeight="false" outlineLevel="0" collapsed="false">
      <c r="A787" s="118" t="n">
        <f aca="false">'🖐🏾 Human'!$A$127</f>
        <v>0</v>
      </c>
      <c r="B787" s="4" t="s">
        <v>15</v>
      </c>
      <c r="C787" s="119" t="str">
        <f aca="false">'🖐🏾 Human'!C127</f>
        <v>Heading</v>
      </c>
      <c r="D787" s="155" t="n">
        <f aca="false">'🖐🏾 Human'!E127</f>
        <v>1</v>
      </c>
      <c r="E787" s="119" t="n">
        <f aca="false">'🖐🏾 Human'!F127</f>
        <v>0</v>
      </c>
      <c r="F787" s="119" t="n">
        <f aca="false">'🖐🏾 Human'!G127</f>
        <v>0</v>
      </c>
      <c r="G787" s="119" t="n">
        <f aca="false">'🖐🏾 Human'!H127</f>
        <v>0</v>
      </c>
      <c r="H787" s="119" t="n">
        <f aca="false">'🖐🏾 Human'!I127</f>
        <v>0</v>
      </c>
      <c r="I787" s="119" t="n">
        <f aca="false">'🖐🏾 Human'!J127</f>
        <v>0</v>
      </c>
    </row>
    <row r="788" customFormat="false" ht="15.75" hidden="false" customHeight="false" outlineLevel="0" collapsed="false">
      <c r="A788" s="118" t="n">
        <f aca="false">'🖐🏾 Human'!$A$127</f>
        <v>0</v>
      </c>
      <c r="B788" s="4" t="s">
        <v>15</v>
      </c>
      <c r="C788" s="119" t="n">
        <f aca="false">'🖐🏾 Human'!C128</f>
        <v>0</v>
      </c>
      <c r="D788" s="155" t="n">
        <f aca="false">'🖐🏾 Human'!E128</f>
        <v>1</v>
      </c>
      <c r="E788" s="119" t="n">
        <f aca="false">'🖐🏾 Human'!F128</f>
        <v>0</v>
      </c>
      <c r="F788" s="119" t="n">
        <f aca="false">'🖐🏾 Human'!G128</f>
        <v>0</v>
      </c>
      <c r="G788" s="119" t="n">
        <f aca="false">'🖐🏾 Human'!H128</f>
        <v>0</v>
      </c>
      <c r="H788" s="119" t="n">
        <f aca="false">'🖐🏾 Human'!I128</f>
        <v>0</v>
      </c>
      <c r="I788" s="119" t="n">
        <f aca="false">'🖐🏾 Human'!J128</f>
        <v>0</v>
      </c>
    </row>
    <row r="789" customFormat="false" ht="15.75" hidden="false" customHeight="false" outlineLevel="0" collapsed="false">
      <c r="A789" s="118" t="n">
        <f aca="false">'🖐🏾 Human'!$A$127</f>
        <v>0</v>
      </c>
      <c r="B789" s="4" t="s">
        <v>15</v>
      </c>
      <c r="C789" s="119" t="n">
        <f aca="false">'🖐🏾 Human'!C129</f>
        <v>0</v>
      </c>
      <c r="D789" s="155" t="n">
        <f aca="false">'🖐🏾 Human'!E129</f>
        <v>1</v>
      </c>
      <c r="E789" s="119" t="n">
        <f aca="false">'🖐🏾 Human'!F129</f>
        <v>0</v>
      </c>
      <c r="F789" s="119" t="n">
        <f aca="false">'🖐🏾 Human'!G129</f>
        <v>0</v>
      </c>
      <c r="G789" s="119" t="n">
        <f aca="false">'🖐🏾 Human'!H129</f>
        <v>0</v>
      </c>
      <c r="H789" s="119" t="n">
        <f aca="false">'🖐🏾 Human'!I129</f>
        <v>0</v>
      </c>
      <c r="I789" s="119" t="n">
        <f aca="false">'🖐🏾 Human'!J129</f>
        <v>0</v>
      </c>
    </row>
    <row r="790" customFormat="false" ht="15.75" hidden="false" customHeight="false" outlineLevel="0" collapsed="false">
      <c r="A790" s="118" t="n">
        <f aca="false">'🖐🏾 Human'!$A$127</f>
        <v>0</v>
      </c>
      <c r="B790" s="4" t="s">
        <v>15</v>
      </c>
      <c r="C790" s="119" t="n">
        <f aca="false">'🖐🏾 Human'!C130</f>
        <v>0</v>
      </c>
      <c r="D790" s="155" t="n">
        <f aca="false">'🖐🏾 Human'!E130</f>
        <v>1</v>
      </c>
      <c r="E790" s="119" t="n">
        <f aca="false">'🖐🏾 Human'!F130</f>
        <v>0</v>
      </c>
      <c r="F790" s="119" t="n">
        <f aca="false">'🖐🏾 Human'!G130</f>
        <v>0</v>
      </c>
      <c r="G790" s="119" t="n">
        <f aca="false">'🖐🏾 Human'!H130</f>
        <v>0</v>
      </c>
      <c r="H790" s="119" t="n">
        <f aca="false">'🖐🏾 Human'!I130</f>
        <v>0</v>
      </c>
      <c r="I790" s="119" t="n">
        <f aca="false">'🖐🏾 Human'!J130</f>
        <v>0</v>
      </c>
    </row>
    <row r="791" customFormat="false" ht="15.75" hidden="false" customHeight="false" outlineLevel="0" collapsed="false">
      <c r="A791" s="118"/>
      <c r="B791" s="4"/>
      <c r="C791" s="6"/>
      <c r="D791" s="155"/>
      <c r="E791" s="6"/>
      <c r="F791" s="6"/>
      <c r="G791" s="6"/>
      <c r="H791" s="6"/>
      <c r="I791" s="6"/>
    </row>
    <row r="792" customFormat="false" ht="15.75" hidden="false" customHeight="false" outlineLevel="0" collapsed="false">
      <c r="A792" s="118" t="n">
        <f aca="false">'🖐🏾 Human'!$A$132</f>
        <v>0</v>
      </c>
      <c r="B792" s="4" t="s">
        <v>15</v>
      </c>
      <c r="C792" s="119" t="str">
        <f aca="false">'🖐🏾 Human'!C132</f>
        <v>Heading</v>
      </c>
      <c r="D792" s="155" t="n">
        <f aca="false">'🖐🏾 Human'!E132</f>
        <v>1</v>
      </c>
      <c r="E792" s="119" t="n">
        <f aca="false">'🖐🏾 Human'!F132</f>
        <v>0</v>
      </c>
      <c r="F792" s="119" t="n">
        <f aca="false">'🖐🏾 Human'!G132</f>
        <v>0</v>
      </c>
      <c r="G792" s="119" t="n">
        <f aca="false">'🖐🏾 Human'!H132</f>
        <v>0</v>
      </c>
      <c r="H792" s="119" t="n">
        <f aca="false">'🖐🏾 Human'!I132</f>
        <v>0</v>
      </c>
      <c r="I792" s="119" t="n">
        <f aca="false">'🖐🏾 Human'!J132</f>
        <v>0</v>
      </c>
    </row>
    <row r="793" customFormat="false" ht="15.75" hidden="false" customHeight="false" outlineLevel="0" collapsed="false">
      <c r="A793" s="118" t="n">
        <f aca="false">'🖐🏾 Human'!$A$132</f>
        <v>0</v>
      </c>
      <c r="B793" s="4" t="s">
        <v>15</v>
      </c>
      <c r="C793" s="119" t="n">
        <f aca="false">'🖐🏾 Human'!C133</f>
        <v>0</v>
      </c>
      <c r="D793" s="155" t="n">
        <f aca="false">'🖐🏾 Human'!E133</f>
        <v>1</v>
      </c>
      <c r="E793" s="119" t="n">
        <f aca="false">'🖐🏾 Human'!F133</f>
        <v>0</v>
      </c>
      <c r="F793" s="119" t="n">
        <f aca="false">'🖐🏾 Human'!G133</f>
        <v>0</v>
      </c>
      <c r="G793" s="119" t="n">
        <f aca="false">'🖐🏾 Human'!H133</f>
        <v>0</v>
      </c>
      <c r="H793" s="119" t="n">
        <f aca="false">'🖐🏾 Human'!I133</f>
        <v>0</v>
      </c>
      <c r="I793" s="119" t="n">
        <f aca="false">'🖐🏾 Human'!J133</f>
        <v>0</v>
      </c>
    </row>
    <row r="794" customFormat="false" ht="15.75" hidden="false" customHeight="false" outlineLevel="0" collapsed="false">
      <c r="A794" s="118" t="n">
        <f aca="false">'🖐🏾 Human'!$A$132</f>
        <v>0</v>
      </c>
      <c r="B794" s="4" t="s">
        <v>15</v>
      </c>
      <c r="C794" s="119" t="n">
        <f aca="false">'🖐🏾 Human'!C134</f>
        <v>0</v>
      </c>
      <c r="D794" s="155" t="n">
        <f aca="false">'🖐🏾 Human'!E134</f>
        <v>1</v>
      </c>
      <c r="E794" s="119" t="n">
        <f aca="false">'🖐🏾 Human'!F134</f>
        <v>0</v>
      </c>
      <c r="F794" s="119" t="n">
        <f aca="false">'🖐🏾 Human'!G134</f>
        <v>0</v>
      </c>
      <c r="G794" s="119" t="n">
        <f aca="false">'🖐🏾 Human'!H134</f>
        <v>0</v>
      </c>
      <c r="H794" s="119" t="n">
        <f aca="false">'🖐🏾 Human'!I134</f>
        <v>0</v>
      </c>
      <c r="I794" s="119" t="n">
        <f aca="false">'🖐🏾 Human'!J134</f>
        <v>0</v>
      </c>
    </row>
    <row r="795" customFormat="false" ht="15.75" hidden="false" customHeight="false" outlineLevel="0" collapsed="false">
      <c r="A795" s="118" t="n">
        <f aca="false">'🖐🏾 Human'!$A$132</f>
        <v>0</v>
      </c>
      <c r="B795" s="4" t="s">
        <v>15</v>
      </c>
      <c r="C795" s="119" t="n">
        <f aca="false">'🖐🏾 Human'!C135</f>
        <v>0</v>
      </c>
      <c r="D795" s="155" t="n">
        <f aca="false">'🖐🏾 Human'!E135</f>
        <v>1</v>
      </c>
      <c r="E795" s="119" t="n">
        <f aca="false">'🖐🏾 Human'!F135</f>
        <v>0</v>
      </c>
      <c r="F795" s="119" t="n">
        <f aca="false">'🖐🏾 Human'!G135</f>
        <v>0</v>
      </c>
      <c r="G795" s="119" t="n">
        <f aca="false">'🖐🏾 Human'!H135</f>
        <v>0</v>
      </c>
      <c r="H795" s="119" t="n">
        <f aca="false">'🖐🏾 Human'!I135</f>
        <v>0</v>
      </c>
      <c r="I795" s="119" t="n">
        <f aca="false">'🖐🏾 Human'!J135</f>
        <v>0</v>
      </c>
    </row>
    <row r="796" customFormat="false" ht="15.75" hidden="false" customHeight="false" outlineLevel="0" collapsed="false">
      <c r="A796" s="118"/>
      <c r="B796" s="4"/>
      <c r="C796" s="6"/>
      <c r="D796" s="155"/>
      <c r="E796" s="6"/>
      <c r="F796" s="6"/>
      <c r="G796" s="6"/>
      <c r="H796" s="6"/>
      <c r="I796" s="6"/>
    </row>
    <row r="797" customFormat="false" ht="15.75" hidden="false" customHeight="false" outlineLevel="0" collapsed="false">
      <c r="A797" s="118" t="n">
        <f aca="false">'🖐🏾 Human'!$A$137</f>
        <v>0</v>
      </c>
      <c r="B797" s="4" t="s">
        <v>15</v>
      </c>
      <c r="C797" s="119" t="str">
        <f aca="false">'🖐🏾 Human'!C137</f>
        <v>Heading</v>
      </c>
      <c r="D797" s="155" t="n">
        <f aca="false">'🖐🏾 Human'!E137</f>
        <v>1</v>
      </c>
      <c r="E797" s="119" t="n">
        <f aca="false">'🖐🏾 Human'!F137</f>
        <v>0</v>
      </c>
      <c r="F797" s="119" t="n">
        <f aca="false">'🖐🏾 Human'!G137</f>
        <v>0</v>
      </c>
      <c r="G797" s="119" t="n">
        <f aca="false">'🖐🏾 Human'!H137</f>
        <v>0</v>
      </c>
      <c r="H797" s="119" t="n">
        <f aca="false">'🖐🏾 Human'!I137</f>
        <v>0</v>
      </c>
      <c r="I797" s="119" t="n">
        <f aca="false">'🖐🏾 Human'!J137</f>
        <v>0</v>
      </c>
    </row>
    <row r="798" customFormat="false" ht="15.75" hidden="false" customHeight="false" outlineLevel="0" collapsed="false">
      <c r="A798" s="118" t="n">
        <f aca="false">'🖐🏾 Human'!$A$137</f>
        <v>0</v>
      </c>
      <c r="B798" s="4" t="s">
        <v>15</v>
      </c>
      <c r="C798" s="119" t="n">
        <f aca="false">'🖐🏾 Human'!C138</f>
        <v>0</v>
      </c>
      <c r="D798" s="155" t="n">
        <f aca="false">'🖐🏾 Human'!E138</f>
        <v>1</v>
      </c>
      <c r="E798" s="119" t="n">
        <f aca="false">'🖐🏾 Human'!F138</f>
        <v>0</v>
      </c>
      <c r="F798" s="119" t="n">
        <f aca="false">'🖐🏾 Human'!G138</f>
        <v>0</v>
      </c>
      <c r="G798" s="119" t="n">
        <f aca="false">'🖐🏾 Human'!H138</f>
        <v>0</v>
      </c>
      <c r="H798" s="119" t="n">
        <f aca="false">'🖐🏾 Human'!I138</f>
        <v>0</v>
      </c>
      <c r="I798" s="119" t="n">
        <f aca="false">'🖐🏾 Human'!J138</f>
        <v>0</v>
      </c>
    </row>
    <row r="799" customFormat="false" ht="15.75" hidden="false" customHeight="false" outlineLevel="0" collapsed="false">
      <c r="A799" s="118" t="n">
        <f aca="false">'🖐🏾 Human'!$A$137</f>
        <v>0</v>
      </c>
      <c r="B799" s="4" t="s">
        <v>15</v>
      </c>
      <c r="C799" s="119" t="n">
        <f aca="false">'🖐🏾 Human'!C139</f>
        <v>0</v>
      </c>
      <c r="D799" s="155" t="n">
        <f aca="false">'🖐🏾 Human'!E139</f>
        <v>1</v>
      </c>
      <c r="E799" s="119" t="n">
        <f aca="false">'🖐🏾 Human'!F139</f>
        <v>0</v>
      </c>
      <c r="F799" s="119" t="n">
        <f aca="false">'🖐🏾 Human'!G139</f>
        <v>0</v>
      </c>
      <c r="G799" s="119" t="n">
        <f aca="false">'🖐🏾 Human'!H139</f>
        <v>0</v>
      </c>
      <c r="H799" s="119" t="n">
        <f aca="false">'🖐🏾 Human'!I139</f>
        <v>0</v>
      </c>
      <c r="I799" s="119" t="n">
        <f aca="false">'🖐🏾 Human'!J139</f>
        <v>0</v>
      </c>
    </row>
    <row r="800" customFormat="false" ht="15.75" hidden="false" customHeight="false" outlineLevel="0" collapsed="false">
      <c r="A800" s="118" t="n">
        <f aca="false">'🖐🏾 Human'!$A$137</f>
        <v>0</v>
      </c>
      <c r="B800" s="4" t="s">
        <v>15</v>
      </c>
      <c r="C800" s="119" t="n">
        <f aca="false">'🖐🏾 Human'!C140</f>
        <v>0</v>
      </c>
      <c r="D800" s="155" t="n">
        <f aca="false">'🖐🏾 Human'!E140</f>
        <v>1</v>
      </c>
      <c r="E800" s="119" t="n">
        <f aca="false">'🖐🏾 Human'!F140</f>
        <v>0</v>
      </c>
      <c r="F800" s="119" t="n">
        <f aca="false">'🖐🏾 Human'!G140</f>
        <v>0</v>
      </c>
      <c r="G800" s="119" t="n">
        <f aca="false">'🖐🏾 Human'!H140</f>
        <v>0</v>
      </c>
      <c r="H800" s="119" t="n">
        <f aca="false">'🖐🏾 Human'!I140</f>
        <v>0</v>
      </c>
      <c r="I800" s="119" t="n">
        <f aca="false">'🖐🏾 Human'!J140</f>
        <v>0</v>
      </c>
    </row>
    <row r="801" customFormat="false" ht="15.75" hidden="false" customHeight="false" outlineLevel="0" collapsed="false">
      <c r="A801" s="118"/>
      <c r="B801" s="4"/>
      <c r="C801" s="6"/>
      <c r="D801" s="155"/>
      <c r="E801" s="6"/>
      <c r="F801" s="6"/>
      <c r="G801" s="6"/>
      <c r="H801" s="6"/>
      <c r="I801" s="6"/>
    </row>
    <row r="802" customFormat="false" ht="15.75" hidden="false" customHeight="false" outlineLevel="0" collapsed="false">
      <c r="A802" s="118" t="n">
        <f aca="false">'🖐🏾 Human'!$A$142</f>
        <v>0</v>
      </c>
      <c r="B802" s="4" t="s">
        <v>15</v>
      </c>
      <c r="C802" s="119" t="str">
        <f aca="false">'🖐🏾 Human'!C142</f>
        <v>Heading</v>
      </c>
      <c r="D802" s="155" t="n">
        <f aca="false">'🖐🏾 Human'!E142</f>
        <v>1</v>
      </c>
      <c r="E802" s="119" t="n">
        <f aca="false">'🖐🏾 Human'!F142</f>
        <v>0</v>
      </c>
      <c r="F802" s="119" t="n">
        <f aca="false">'🖐🏾 Human'!G142</f>
        <v>0</v>
      </c>
      <c r="G802" s="119" t="n">
        <f aca="false">'🖐🏾 Human'!H142</f>
        <v>0</v>
      </c>
      <c r="H802" s="119" t="n">
        <f aca="false">'🖐🏾 Human'!I142</f>
        <v>0</v>
      </c>
      <c r="I802" s="119" t="n">
        <f aca="false">'🖐🏾 Human'!J142</f>
        <v>0</v>
      </c>
    </row>
    <row r="803" customFormat="false" ht="15.75" hidden="false" customHeight="false" outlineLevel="0" collapsed="false">
      <c r="A803" s="118" t="n">
        <f aca="false">'🖐🏾 Human'!$A$142</f>
        <v>0</v>
      </c>
      <c r="B803" s="4" t="s">
        <v>15</v>
      </c>
      <c r="C803" s="119" t="n">
        <f aca="false">'🖐🏾 Human'!C143</f>
        <v>0</v>
      </c>
      <c r="D803" s="155" t="n">
        <f aca="false">'🖐🏾 Human'!E143</f>
        <v>1</v>
      </c>
      <c r="E803" s="119" t="n">
        <f aca="false">'🖐🏾 Human'!F143</f>
        <v>0</v>
      </c>
      <c r="F803" s="119" t="n">
        <f aca="false">'🖐🏾 Human'!G143</f>
        <v>0</v>
      </c>
      <c r="G803" s="119" t="n">
        <f aca="false">'🖐🏾 Human'!H143</f>
        <v>0</v>
      </c>
      <c r="H803" s="119" t="n">
        <f aca="false">'🖐🏾 Human'!I143</f>
        <v>0</v>
      </c>
      <c r="I803" s="119" t="n">
        <f aca="false">'🖐🏾 Human'!J143</f>
        <v>0</v>
      </c>
    </row>
    <row r="804" customFormat="false" ht="15.75" hidden="false" customHeight="false" outlineLevel="0" collapsed="false">
      <c r="A804" s="118" t="n">
        <f aca="false">'🖐🏾 Human'!$A$142</f>
        <v>0</v>
      </c>
      <c r="B804" s="4" t="s">
        <v>15</v>
      </c>
      <c r="C804" s="119" t="n">
        <f aca="false">'🖐🏾 Human'!C144</f>
        <v>0</v>
      </c>
      <c r="D804" s="155" t="n">
        <f aca="false">'🖐🏾 Human'!E144</f>
        <v>1</v>
      </c>
      <c r="E804" s="119" t="n">
        <f aca="false">'🖐🏾 Human'!F144</f>
        <v>0</v>
      </c>
      <c r="F804" s="119" t="n">
        <f aca="false">'🖐🏾 Human'!G144</f>
        <v>0</v>
      </c>
      <c r="G804" s="119" t="n">
        <f aca="false">'🖐🏾 Human'!H144</f>
        <v>0</v>
      </c>
      <c r="H804" s="119" t="n">
        <f aca="false">'🖐🏾 Human'!I144</f>
        <v>0</v>
      </c>
      <c r="I804" s="119" t="n">
        <f aca="false">'🖐🏾 Human'!J144</f>
        <v>0</v>
      </c>
    </row>
    <row r="805" customFormat="false" ht="15.75" hidden="false" customHeight="false" outlineLevel="0" collapsed="false">
      <c r="A805" s="118" t="n">
        <f aca="false">'🖐🏾 Human'!$A$142</f>
        <v>0</v>
      </c>
      <c r="B805" s="4" t="s">
        <v>15</v>
      </c>
      <c r="C805" s="119" t="n">
        <f aca="false">'🖐🏾 Human'!C145</f>
        <v>0</v>
      </c>
      <c r="D805" s="155" t="n">
        <f aca="false">'🖐🏾 Human'!E145</f>
        <v>1</v>
      </c>
      <c r="E805" s="119" t="n">
        <f aca="false">'🖐🏾 Human'!F145</f>
        <v>0</v>
      </c>
      <c r="F805" s="119" t="n">
        <f aca="false">'🖐🏾 Human'!G145</f>
        <v>0</v>
      </c>
      <c r="G805" s="119" t="n">
        <f aca="false">'🖐🏾 Human'!H145</f>
        <v>0</v>
      </c>
      <c r="H805" s="119" t="n">
        <f aca="false">'🖐🏾 Human'!I145</f>
        <v>0</v>
      </c>
      <c r="I805" s="119" t="n">
        <f aca="false">'🖐🏾 Human'!J145</f>
        <v>0</v>
      </c>
    </row>
    <row r="806" customFormat="false" ht="15.75" hidden="false" customHeight="false" outlineLevel="0" collapsed="false">
      <c r="A806" s="118"/>
      <c r="B806" s="4"/>
      <c r="C806" s="6"/>
      <c r="D806" s="155"/>
      <c r="E806" s="6"/>
      <c r="F806" s="6"/>
      <c r="G806" s="6"/>
      <c r="H806" s="6"/>
      <c r="I806" s="6"/>
    </row>
    <row r="807" customFormat="false" ht="15.75" hidden="false" customHeight="false" outlineLevel="0" collapsed="false">
      <c r="A807" s="118" t="n">
        <f aca="false">'🖐🏾 Human'!$A$147</f>
        <v>0</v>
      </c>
      <c r="B807" s="4" t="s">
        <v>15</v>
      </c>
      <c r="C807" s="119" t="str">
        <f aca="false">'🖐🏾 Human'!C147</f>
        <v>Heading</v>
      </c>
      <c r="D807" s="155" t="n">
        <f aca="false">'🖐🏾 Human'!E147</f>
        <v>1</v>
      </c>
      <c r="E807" s="119" t="n">
        <f aca="false">'🖐🏾 Human'!F147</f>
        <v>0</v>
      </c>
      <c r="F807" s="119" t="n">
        <f aca="false">'🖐🏾 Human'!G147</f>
        <v>0</v>
      </c>
      <c r="G807" s="119" t="n">
        <f aca="false">'🖐🏾 Human'!H147</f>
        <v>0</v>
      </c>
      <c r="H807" s="119" t="n">
        <f aca="false">'🖐🏾 Human'!I147</f>
        <v>0</v>
      </c>
      <c r="I807" s="119" t="n">
        <f aca="false">'🖐🏾 Human'!J147</f>
        <v>0</v>
      </c>
    </row>
    <row r="808" customFormat="false" ht="15.75" hidden="false" customHeight="false" outlineLevel="0" collapsed="false">
      <c r="A808" s="118" t="n">
        <f aca="false">'🖐🏾 Human'!$A$147</f>
        <v>0</v>
      </c>
      <c r="B808" s="4" t="s">
        <v>15</v>
      </c>
      <c r="C808" s="119" t="n">
        <f aca="false">'🖐🏾 Human'!C148</f>
        <v>0</v>
      </c>
      <c r="D808" s="155" t="n">
        <f aca="false">'🖐🏾 Human'!E148</f>
        <v>1</v>
      </c>
      <c r="E808" s="119" t="n">
        <f aca="false">'🖐🏾 Human'!F148</f>
        <v>0</v>
      </c>
      <c r="F808" s="119" t="n">
        <f aca="false">'🖐🏾 Human'!G148</f>
        <v>0</v>
      </c>
      <c r="G808" s="119" t="n">
        <f aca="false">'🖐🏾 Human'!H148</f>
        <v>0</v>
      </c>
      <c r="H808" s="119" t="n">
        <f aca="false">'🖐🏾 Human'!I148</f>
        <v>0</v>
      </c>
      <c r="I808" s="119" t="n">
        <f aca="false">'🖐🏾 Human'!J148</f>
        <v>0</v>
      </c>
    </row>
    <row r="809" customFormat="false" ht="15.75" hidden="false" customHeight="false" outlineLevel="0" collapsed="false">
      <c r="A809" s="118" t="n">
        <f aca="false">'🖐🏾 Human'!$A$147</f>
        <v>0</v>
      </c>
      <c r="B809" s="4" t="s">
        <v>15</v>
      </c>
      <c r="C809" s="119" t="n">
        <f aca="false">'🖐🏾 Human'!C149</f>
        <v>0</v>
      </c>
      <c r="D809" s="155" t="n">
        <f aca="false">'🖐🏾 Human'!E149</f>
        <v>1</v>
      </c>
      <c r="E809" s="119" t="n">
        <f aca="false">'🖐🏾 Human'!F149</f>
        <v>0</v>
      </c>
      <c r="F809" s="119" t="n">
        <f aca="false">'🖐🏾 Human'!G149</f>
        <v>0</v>
      </c>
      <c r="G809" s="119" t="n">
        <f aca="false">'🖐🏾 Human'!H149</f>
        <v>0</v>
      </c>
      <c r="H809" s="119" t="n">
        <f aca="false">'🖐🏾 Human'!I149</f>
        <v>0</v>
      </c>
      <c r="I809" s="119" t="n">
        <f aca="false">'🖐🏾 Human'!J149</f>
        <v>0</v>
      </c>
    </row>
    <row r="810" customFormat="false" ht="15.75" hidden="false" customHeight="false" outlineLevel="0" collapsed="false">
      <c r="A810" s="118" t="n">
        <f aca="false">'🖐🏾 Human'!$A$147</f>
        <v>0</v>
      </c>
      <c r="B810" s="4" t="s">
        <v>15</v>
      </c>
      <c r="C810" s="119" t="n">
        <f aca="false">'🖐🏾 Human'!C150</f>
        <v>0</v>
      </c>
      <c r="D810" s="155" t="n">
        <f aca="false">'🖐🏾 Human'!E150</f>
        <v>1</v>
      </c>
      <c r="E810" s="119" t="n">
        <f aca="false">'🖐🏾 Human'!F150</f>
        <v>0</v>
      </c>
      <c r="F810" s="119" t="n">
        <f aca="false">'🖐🏾 Human'!G150</f>
        <v>0</v>
      </c>
      <c r="G810" s="119" t="n">
        <f aca="false">'🖐🏾 Human'!H150</f>
        <v>0</v>
      </c>
      <c r="H810" s="119" t="n">
        <f aca="false">'🖐🏾 Human'!I150</f>
        <v>0</v>
      </c>
      <c r="I810" s="119" t="n">
        <f aca="false">'🖐🏾 Human'!J150</f>
        <v>0</v>
      </c>
    </row>
    <row r="811" customFormat="false" ht="15.75" hidden="false" customHeight="false" outlineLevel="0" collapsed="false">
      <c r="A811" s="118"/>
      <c r="B811" s="4"/>
      <c r="C811" s="6"/>
      <c r="D811" s="155"/>
      <c r="E811" s="6"/>
      <c r="F811" s="6"/>
      <c r="G811" s="6"/>
      <c r="H811" s="6"/>
      <c r="I811" s="6"/>
    </row>
    <row r="812" customFormat="false" ht="15.75" hidden="false" customHeight="false" outlineLevel="0" collapsed="false">
      <c r="A812" s="118" t="n">
        <f aca="false">'🖐🏾 Human'!$A$152</f>
        <v>0</v>
      </c>
      <c r="B812" s="4" t="s">
        <v>15</v>
      </c>
      <c r="C812" s="119" t="str">
        <f aca="false">'🖐🏾 Human'!C152</f>
        <v>Heading</v>
      </c>
      <c r="D812" s="155" t="n">
        <f aca="false">'🖐🏾 Human'!E152</f>
        <v>1</v>
      </c>
      <c r="E812" s="119" t="n">
        <f aca="false">'🖐🏾 Human'!F152</f>
        <v>0</v>
      </c>
      <c r="F812" s="119" t="n">
        <f aca="false">'🖐🏾 Human'!G152</f>
        <v>0</v>
      </c>
      <c r="G812" s="119" t="n">
        <f aca="false">'🖐🏾 Human'!H152</f>
        <v>0</v>
      </c>
      <c r="H812" s="119" t="n">
        <f aca="false">'🖐🏾 Human'!I152</f>
        <v>0</v>
      </c>
      <c r="I812" s="119" t="n">
        <f aca="false">'🖐🏾 Human'!J152</f>
        <v>0</v>
      </c>
    </row>
    <row r="813" customFormat="false" ht="15.75" hidden="false" customHeight="false" outlineLevel="0" collapsed="false">
      <c r="A813" s="118" t="n">
        <f aca="false">'🖐🏾 Human'!$A$152</f>
        <v>0</v>
      </c>
      <c r="B813" s="4" t="s">
        <v>15</v>
      </c>
      <c r="C813" s="119" t="n">
        <f aca="false">'🖐🏾 Human'!C153</f>
        <v>0</v>
      </c>
      <c r="D813" s="155" t="n">
        <f aca="false">'🖐🏾 Human'!E153</f>
        <v>1</v>
      </c>
      <c r="E813" s="119" t="n">
        <f aca="false">'🖐🏾 Human'!F153</f>
        <v>0</v>
      </c>
      <c r="F813" s="119" t="n">
        <f aca="false">'🖐🏾 Human'!G153</f>
        <v>0</v>
      </c>
      <c r="G813" s="119" t="n">
        <f aca="false">'🖐🏾 Human'!H153</f>
        <v>0</v>
      </c>
      <c r="H813" s="119" t="n">
        <f aca="false">'🖐🏾 Human'!I153</f>
        <v>0</v>
      </c>
      <c r="I813" s="119" t="n">
        <f aca="false">'🖐🏾 Human'!J153</f>
        <v>0</v>
      </c>
    </row>
    <row r="814" customFormat="false" ht="15.75" hidden="false" customHeight="false" outlineLevel="0" collapsed="false">
      <c r="A814" s="118" t="n">
        <f aca="false">'🖐🏾 Human'!$A$152</f>
        <v>0</v>
      </c>
      <c r="B814" s="4" t="s">
        <v>15</v>
      </c>
      <c r="C814" s="119" t="n">
        <f aca="false">'🖐🏾 Human'!C154</f>
        <v>0</v>
      </c>
      <c r="D814" s="155" t="n">
        <f aca="false">'🖐🏾 Human'!E154</f>
        <v>1</v>
      </c>
      <c r="E814" s="119" t="n">
        <f aca="false">'🖐🏾 Human'!F154</f>
        <v>0</v>
      </c>
      <c r="F814" s="119" t="n">
        <f aca="false">'🖐🏾 Human'!G154</f>
        <v>0</v>
      </c>
      <c r="G814" s="119" t="n">
        <f aca="false">'🖐🏾 Human'!H154</f>
        <v>0</v>
      </c>
      <c r="H814" s="119" t="n">
        <f aca="false">'🖐🏾 Human'!I154</f>
        <v>0</v>
      </c>
      <c r="I814" s="119" t="n">
        <f aca="false">'🖐🏾 Human'!J154</f>
        <v>0</v>
      </c>
    </row>
    <row r="815" customFormat="false" ht="15.75" hidden="false" customHeight="false" outlineLevel="0" collapsed="false">
      <c r="A815" s="118" t="n">
        <f aca="false">'🖐🏾 Human'!$A$152</f>
        <v>0</v>
      </c>
      <c r="B815" s="4" t="s">
        <v>15</v>
      </c>
      <c r="C815" s="119" t="n">
        <f aca="false">'🖐🏾 Human'!C155</f>
        <v>0</v>
      </c>
      <c r="D815" s="155" t="n">
        <f aca="false">'🖐🏾 Human'!E155</f>
        <v>1</v>
      </c>
      <c r="E815" s="119" t="n">
        <f aca="false">'🖐🏾 Human'!F155</f>
        <v>0</v>
      </c>
      <c r="F815" s="119" t="n">
        <f aca="false">'🖐🏾 Human'!G155</f>
        <v>0</v>
      </c>
      <c r="G815" s="119" t="n">
        <f aca="false">'🖐🏾 Human'!H155</f>
        <v>0</v>
      </c>
      <c r="H815" s="119" t="n">
        <f aca="false">'🖐🏾 Human'!I155</f>
        <v>0</v>
      </c>
      <c r="I815" s="119" t="n">
        <f aca="false">'🖐🏾 Human'!J155</f>
        <v>0</v>
      </c>
    </row>
    <row r="816" customFormat="false" ht="15.75" hidden="false" customHeight="false" outlineLevel="0" collapsed="false">
      <c r="A816" s="118"/>
      <c r="B816" s="4"/>
      <c r="C816" s="6"/>
      <c r="D816" s="155"/>
      <c r="E816" s="6"/>
      <c r="F816" s="6"/>
      <c r="G816" s="6"/>
      <c r="H816" s="6"/>
      <c r="I816" s="6"/>
    </row>
    <row r="817" customFormat="false" ht="15.75" hidden="false" customHeight="false" outlineLevel="0" collapsed="false">
      <c r="A817" s="118" t="n">
        <f aca="false">'🖐🏾 Human'!$A$157</f>
        <v>0</v>
      </c>
      <c r="B817" s="4" t="s">
        <v>15</v>
      </c>
      <c r="C817" s="119" t="str">
        <f aca="false">'🖐🏾 Human'!C157</f>
        <v>Heading</v>
      </c>
      <c r="D817" s="155" t="n">
        <f aca="false">'🖐🏾 Human'!E157</f>
        <v>1</v>
      </c>
      <c r="E817" s="119" t="n">
        <f aca="false">'🖐🏾 Human'!F157</f>
        <v>0</v>
      </c>
      <c r="F817" s="119" t="n">
        <f aca="false">'🖐🏾 Human'!G157</f>
        <v>0</v>
      </c>
      <c r="G817" s="119" t="n">
        <f aca="false">'🖐🏾 Human'!H157</f>
        <v>0</v>
      </c>
      <c r="H817" s="119" t="n">
        <f aca="false">'🖐🏾 Human'!I157</f>
        <v>0</v>
      </c>
      <c r="I817" s="119" t="n">
        <f aca="false">'🖐🏾 Human'!J157</f>
        <v>0</v>
      </c>
    </row>
    <row r="818" customFormat="false" ht="15.75" hidden="false" customHeight="false" outlineLevel="0" collapsed="false">
      <c r="A818" s="118" t="n">
        <f aca="false">'🖐🏾 Human'!$A$157</f>
        <v>0</v>
      </c>
      <c r="B818" s="4" t="s">
        <v>15</v>
      </c>
      <c r="C818" s="119" t="n">
        <f aca="false">'🖐🏾 Human'!C158</f>
        <v>0</v>
      </c>
      <c r="D818" s="155" t="n">
        <f aca="false">'🖐🏾 Human'!E158</f>
        <v>1</v>
      </c>
      <c r="E818" s="119" t="n">
        <f aca="false">'🖐🏾 Human'!F158</f>
        <v>0</v>
      </c>
      <c r="F818" s="119" t="n">
        <f aca="false">'🖐🏾 Human'!G158</f>
        <v>0</v>
      </c>
      <c r="G818" s="119" t="n">
        <f aca="false">'🖐🏾 Human'!H158</f>
        <v>0</v>
      </c>
      <c r="H818" s="119" t="n">
        <f aca="false">'🖐🏾 Human'!I158</f>
        <v>0</v>
      </c>
      <c r="I818" s="119" t="n">
        <f aca="false">'🖐🏾 Human'!J158</f>
        <v>0</v>
      </c>
    </row>
    <row r="819" customFormat="false" ht="15.75" hidden="false" customHeight="false" outlineLevel="0" collapsed="false">
      <c r="A819" s="118" t="n">
        <f aca="false">'🖐🏾 Human'!$A$157</f>
        <v>0</v>
      </c>
      <c r="B819" s="4" t="s">
        <v>15</v>
      </c>
      <c r="C819" s="119" t="n">
        <f aca="false">'🖐🏾 Human'!C159</f>
        <v>0</v>
      </c>
      <c r="D819" s="155" t="n">
        <f aca="false">'🖐🏾 Human'!E159</f>
        <v>1</v>
      </c>
      <c r="E819" s="119" t="n">
        <f aca="false">'🖐🏾 Human'!F159</f>
        <v>0</v>
      </c>
      <c r="F819" s="119" t="n">
        <f aca="false">'🖐🏾 Human'!G159</f>
        <v>0</v>
      </c>
      <c r="G819" s="119" t="n">
        <f aca="false">'🖐🏾 Human'!H159</f>
        <v>0</v>
      </c>
      <c r="H819" s="119" t="n">
        <f aca="false">'🖐🏾 Human'!I159</f>
        <v>0</v>
      </c>
      <c r="I819" s="119" t="n">
        <f aca="false">'🖐🏾 Human'!J159</f>
        <v>0</v>
      </c>
    </row>
    <row r="820" customFormat="false" ht="15.75" hidden="false" customHeight="false" outlineLevel="0" collapsed="false">
      <c r="A820" s="118" t="n">
        <f aca="false">'🖐🏾 Human'!$A$157</f>
        <v>0</v>
      </c>
      <c r="B820" s="4" t="s">
        <v>15</v>
      </c>
      <c r="C820" s="119" t="n">
        <f aca="false">'🖐🏾 Human'!C160</f>
        <v>0</v>
      </c>
      <c r="D820" s="155" t="n">
        <f aca="false">'🖐🏾 Human'!E160</f>
        <v>1</v>
      </c>
      <c r="E820" s="119" t="n">
        <f aca="false">'🖐🏾 Human'!F160</f>
        <v>0</v>
      </c>
      <c r="F820" s="119" t="n">
        <f aca="false">'🖐🏾 Human'!G160</f>
        <v>0</v>
      </c>
      <c r="G820" s="119" t="n">
        <f aca="false">'🖐🏾 Human'!H160</f>
        <v>0</v>
      </c>
      <c r="H820" s="119" t="n">
        <f aca="false">'🖐🏾 Human'!I160</f>
        <v>0</v>
      </c>
      <c r="I820" s="119" t="n">
        <f aca="false">'🖐🏾 Human'!J160</f>
        <v>0</v>
      </c>
    </row>
    <row r="821" customFormat="false" ht="15.75" hidden="false" customHeight="false" outlineLevel="0" collapsed="false">
      <c r="A821" s="118"/>
      <c r="B821" s="4"/>
      <c r="C821" s="6"/>
      <c r="D821" s="155"/>
      <c r="E821" s="6"/>
      <c r="F821" s="6"/>
      <c r="G821" s="6"/>
      <c r="H821" s="6"/>
      <c r="I821" s="6"/>
    </row>
    <row r="822" customFormat="false" ht="15.75" hidden="false" customHeight="false" outlineLevel="0" collapsed="false">
      <c r="A822" s="118" t="n">
        <f aca="false">'🖐🏾 Human'!$A$162</f>
        <v>0</v>
      </c>
      <c r="B822" s="4" t="s">
        <v>15</v>
      </c>
      <c r="C822" s="119" t="str">
        <f aca="false">'🖐🏾 Human'!C162</f>
        <v>Heading</v>
      </c>
      <c r="D822" s="155" t="n">
        <f aca="false">'🖐🏾 Human'!E162</f>
        <v>1</v>
      </c>
      <c r="E822" s="119" t="n">
        <f aca="false">'🖐🏾 Human'!F162</f>
        <v>0</v>
      </c>
      <c r="F822" s="119" t="n">
        <f aca="false">'🖐🏾 Human'!G162</f>
        <v>0</v>
      </c>
      <c r="G822" s="119" t="n">
        <f aca="false">'🖐🏾 Human'!H162</f>
        <v>0</v>
      </c>
      <c r="H822" s="119" t="n">
        <f aca="false">'🖐🏾 Human'!I162</f>
        <v>0</v>
      </c>
      <c r="I822" s="119" t="n">
        <f aca="false">'🖐🏾 Human'!J162</f>
        <v>0</v>
      </c>
    </row>
    <row r="823" customFormat="false" ht="15.75" hidden="false" customHeight="false" outlineLevel="0" collapsed="false">
      <c r="A823" s="118" t="n">
        <f aca="false">'🖐🏾 Human'!$A$162</f>
        <v>0</v>
      </c>
      <c r="B823" s="4" t="s">
        <v>15</v>
      </c>
      <c r="C823" s="119" t="n">
        <f aca="false">'🖐🏾 Human'!C163</f>
        <v>0</v>
      </c>
      <c r="D823" s="155" t="n">
        <f aca="false">'🖐🏾 Human'!E163</f>
        <v>1</v>
      </c>
      <c r="E823" s="119" t="n">
        <f aca="false">'🖐🏾 Human'!F163</f>
        <v>0</v>
      </c>
      <c r="F823" s="119" t="n">
        <f aca="false">'🖐🏾 Human'!G163</f>
        <v>0</v>
      </c>
      <c r="G823" s="119" t="n">
        <f aca="false">'🖐🏾 Human'!H163</f>
        <v>0</v>
      </c>
      <c r="H823" s="119" t="n">
        <f aca="false">'🖐🏾 Human'!I163</f>
        <v>0</v>
      </c>
      <c r="I823" s="119" t="n">
        <f aca="false">'🖐🏾 Human'!J163</f>
        <v>0</v>
      </c>
    </row>
    <row r="824" customFormat="false" ht="15.75" hidden="false" customHeight="false" outlineLevel="0" collapsed="false">
      <c r="A824" s="118" t="n">
        <f aca="false">'🖐🏾 Human'!$A$162</f>
        <v>0</v>
      </c>
      <c r="B824" s="4" t="s">
        <v>15</v>
      </c>
      <c r="C824" s="119" t="n">
        <f aca="false">'🖐🏾 Human'!C164</f>
        <v>0</v>
      </c>
      <c r="D824" s="155" t="n">
        <f aca="false">'🖐🏾 Human'!E164</f>
        <v>1</v>
      </c>
      <c r="E824" s="119" t="n">
        <f aca="false">'🖐🏾 Human'!F164</f>
        <v>0</v>
      </c>
      <c r="F824" s="119" t="n">
        <f aca="false">'🖐🏾 Human'!G164</f>
        <v>0</v>
      </c>
      <c r="G824" s="119" t="n">
        <f aca="false">'🖐🏾 Human'!H164</f>
        <v>0</v>
      </c>
      <c r="H824" s="119" t="n">
        <f aca="false">'🖐🏾 Human'!I164</f>
        <v>0</v>
      </c>
      <c r="I824" s="119" t="n">
        <f aca="false">'🖐🏾 Human'!J164</f>
        <v>0</v>
      </c>
    </row>
    <row r="825" customFormat="false" ht="15.75" hidden="false" customHeight="false" outlineLevel="0" collapsed="false">
      <c r="A825" s="118" t="n">
        <f aca="false">'🖐🏾 Human'!$A$162</f>
        <v>0</v>
      </c>
      <c r="B825" s="4" t="s">
        <v>15</v>
      </c>
      <c r="C825" s="119" t="n">
        <f aca="false">'🖐🏾 Human'!C165</f>
        <v>0</v>
      </c>
      <c r="D825" s="155" t="n">
        <f aca="false">'🖐🏾 Human'!E165</f>
        <v>1</v>
      </c>
      <c r="E825" s="119" t="n">
        <f aca="false">'🖐🏾 Human'!F165</f>
        <v>0</v>
      </c>
      <c r="F825" s="119" t="n">
        <f aca="false">'🖐🏾 Human'!G165</f>
        <v>0</v>
      </c>
      <c r="G825" s="119" t="n">
        <f aca="false">'🖐🏾 Human'!H165</f>
        <v>0</v>
      </c>
      <c r="H825" s="119" t="n">
        <f aca="false">'🖐🏾 Human'!I165</f>
        <v>0</v>
      </c>
      <c r="I825" s="119" t="n">
        <f aca="false">'🖐🏾 Human'!J165</f>
        <v>0</v>
      </c>
    </row>
    <row r="826" customFormat="false" ht="15.75" hidden="false" customHeight="false" outlineLevel="0" collapsed="false">
      <c r="A826" s="9"/>
      <c r="B826" s="9"/>
      <c r="C826" s="51"/>
      <c r="D826" s="9"/>
      <c r="E826" s="51"/>
      <c r="F826" s="51"/>
      <c r="G826" s="51"/>
      <c r="H826" s="51"/>
      <c r="I826" s="51"/>
    </row>
    <row r="827" customFormat="false" ht="15.75" hidden="false" customHeight="false" outlineLevel="0" collapsed="false">
      <c r="A827" s="118" t="str">
        <f aca="false">'🤖 Llama-3.1-70b-instruct'!$A$2</f>
        <v>https://www.berria.eus/ekonomia/urte-eta-erdiko-kartzela-zigorra-eta-30000-euroko-kalte-ordainak-zorroza-gestion-enpresan-hil-zen-langileagatik_2124960_102.html</v>
      </c>
      <c r="B827" s="9" t="s">
        <v>24</v>
      </c>
      <c r="C827" s="119" t="str">
        <f aca="false">'🤖 Llama-3.1-70b-instruct'!C2</f>
        <v>Base</v>
      </c>
      <c r="D827" s="125" t="n">
        <f aca="false">'🤖 Llama-3.1-70b-instruct'!E2</f>
        <v>0.4256410256</v>
      </c>
      <c r="E827" s="175" t="n">
        <f aca="false">'🤖 Llama-3.1-70b-instruct'!F2</f>
        <v>4</v>
      </c>
      <c r="F827" s="175" t="n">
        <f aca="false">'🤖 Llama-3.1-70b-instruct'!G2</f>
        <v>5</v>
      </c>
      <c r="G827" s="175" t="n">
        <f aca="false">'🤖 Llama-3.1-70b-instruct'!H2</f>
        <v>5</v>
      </c>
      <c r="H827" s="175" t="n">
        <f aca="false">'🤖 Llama-3.1-70b-instruct'!I2</f>
        <v>5</v>
      </c>
      <c r="I827" s="175" t="n">
        <f aca="false">'🤖 Llama-3.1-70b-instruct'!J2</f>
        <v>4</v>
      </c>
    </row>
    <row r="828" customFormat="false" ht="15.75" hidden="false" customHeight="false" outlineLevel="0" collapsed="false">
      <c r="A828" s="118" t="str">
        <f aca="false">'🤖 Llama-3.1-70b-instruct'!$A$2</f>
        <v>https://www.berria.eus/ekonomia/urte-eta-erdiko-kartzela-zigorra-eta-30000-euroko-kalte-ordainak-zorroza-gestion-enpresan-hil-zen-langileagatik_2124960_102.html</v>
      </c>
      <c r="B828" s="9" t="s">
        <v>24</v>
      </c>
      <c r="C828" s="119" t="str">
        <f aca="false">'🤖 Llama-3.1-70b-instruct'!C3</f>
        <v>CoT</v>
      </c>
      <c r="D828" s="155" t="n">
        <f aca="false">'🤖 Llama-3.1-70b-instruct'!E3</f>
        <v>0.2666666667</v>
      </c>
      <c r="E828" s="175" t="n">
        <f aca="false">'🤖 Llama-3.1-70b-instruct'!F3</f>
        <v>4</v>
      </c>
      <c r="F828" s="175" t="n">
        <f aca="false">'🤖 Llama-3.1-70b-instruct'!G3</f>
        <v>5</v>
      </c>
      <c r="G828" s="175" t="n">
        <f aca="false">'🤖 Llama-3.1-70b-instruct'!H3</f>
        <v>5</v>
      </c>
      <c r="H828" s="175" t="n">
        <f aca="false">'🤖 Llama-3.1-70b-instruct'!I3</f>
        <v>4</v>
      </c>
      <c r="I828" s="175" t="n">
        <f aca="false">'🤖 Llama-3.1-70b-instruct'!J3</f>
        <v>3</v>
      </c>
    </row>
    <row r="829" customFormat="false" ht="15.75" hidden="false" customHeight="false" outlineLevel="0" collapsed="false">
      <c r="A829" s="118" t="str">
        <f aca="false">'🤖 Llama-3.1-70b-instruct'!$A$2</f>
        <v>https://www.berria.eus/ekonomia/urte-eta-erdiko-kartzela-zigorra-eta-30000-euroko-kalte-ordainak-zorroza-gestion-enpresan-hil-zen-langileagatik_2124960_102.html</v>
      </c>
      <c r="B829" s="9" t="s">
        <v>24</v>
      </c>
      <c r="C829" s="119" t="str">
        <f aca="false">'🤖 Llama-3.1-70b-instruct'!C4</f>
        <v>5W1H</v>
      </c>
      <c r="D829" s="123" t="n">
        <f aca="false">'🤖 Llama-3.1-70b-instruct'!E4</f>
        <v>0.5948717949</v>
      </c>
      <c r="E829" s="175" t="n">
        <f aca="false">'🤖 Llama-3.1-70b-instruct'!F4</f>
        <v>3</v>
      </c>
      <c r="F829" s="175" t="n">
        <f aca="false">'🤖 Llama-3.1-70b-instruct'!G4</f>
        <v>4</v>
      </c>
      <c r="G829" s="175" t="n">
        <f aca="false">'🤖 Llama-3.1-70b-instruct'!H4</f>
        <v>4</v>
      </c>
      <c r="H829" s="175" t="n">
        <f aca="false">'🤖 Llama-3.1-70b-instruct'!I4</f>
        <v>3</v>
      </c>
      <c r="I829" s="175" t="n">
        <f aca="false">'🤖 Llama-3.1-70b-instruct'!J4</f>
        <v>5</v>
      </c>
    </row>
    <row r="830" customFormat="false" ht="15.75" hidden="false" customHeight="false" outlineLevel="0" collapsed="false">
      <c r="A830" s="118" t="str">
        <f aca="false">'🤖 Llama-3.1-70b-instruct'!$A$2</f>
        <v>https://www.berria.eus/ekonomia/urte-eta-erdiko-kartzela-zigorra-eta-30000-euroko-kalte-ordainak-zorroza-gestion-enpresan-hil-zen-langileagatik_2124960_102.html</v>
      </c>
      <c r="B830" s="9" t="s">
        <v>24</v>
      </c>
      <c r="C830" s="119" t="str">
        <f aca="false">'🤖 Llama-3.1-70b-instruct'!C5</f>
        <v>tldr</v>
      </c>
      <c r="D830" s="176" t="n">
        <f aca="false">'🤖 Llama-3.1-70b-instruct'!E5</f>
        <v>0.2769230769</v>
      </c>
      <c r="E830" s="175" t="n">
        <f aca="false">'🤖 Llama-3.1-70b-instruct'!F5</f>
        <v>4</v>
      </c>
      <c r="F830" s="175" t="n">
        <f aca="false">'🤖 Llama-3.1-70b-instruct'!G5</f>
        <v>5</v>
      </c>
      <c r="G830" s="175" t="n">
        <f aca="false">'🤖 Llama-3.1-70b-instruct'!H5</f>
        <v>5</v>
      </c>
      <c r="H830" s="175" t="n">
        <f aca="false">'🤖 Llama-3.1-70b-instruct'!I5</f>
        <v>5</v>
      </c>
      <c r="I830" s="175" t="n">
        <f aca="false">'🤖 Llama-3.1-70b-instruct'!J5</f>
        <v>3</v>
      </c>
    </row>
    <row r="831" customFormat="false" ht="15.75" hidden="false" customHeight="false" outlineLevel="0" collapsed="false">
      <c r="A831" s="9"/>
      <c r="B831" s="9"/>
      <c r="C831" s="51"/>
      <c r="D831" s="9"/>
      <c r="E831" s="9"/>
      <c r="F831" s="9"/>
      <c r="G831" s="9"/>
      <c r="H831" s="9"/>
      <c r="I831" s="9"/>
    </row>
    <row r="832" customFormat="false" ht="15.75" hidden="false" customHeight="false" outlineLevel="0" collapsed="false">
      <c r="A832" s="118" t="str">
        <f aca="false">'🤖 Llama-3.1-70b-instruct'!$A$7</f>
        <v>https://www.berria.eus/kirola/hirutik-hiru-jaka-mariezkurrenarentzat_2117677_102.html</v>
      </c>
      <c r="B832" s="9" t="s">
        <v>24</v>
      </c>
      <c r="C832" s="119" t="str">
        <f aca="false">'🤖 Llama-3.1-70b-instruct'!C7</f>
        <v>Base</v>
      </c>
      <c r="D832" s="148" t="n">
        <f aca="false">'🤖 Llama-3.1-70b-instruct'!E7</f>
        <v>0.3630952381</v>
      </c>
      <c r="E832" s="175" t="n">
        <f aca="false">'🤖 Llama-3.1-70b-instruct'!F7</f>
        <v>5</v>
      </c>
      <c r="F832" s="175" t="n">
        <f aca="false">'🤖 Llama-3.1-70b-instruct'!G7</f>
        <v>4</v>
      </c>
      <c r="G832" s="175" t="n">
        <f aca="false">'🤖 Llama-3.1-70b-instruct'!H7</f>
        <v>5</v>
      </c>
      <c r="H832" s="175" t="n">
        <f aca="false">'🤖 Llama-3.1-70b-instruct'!I7</f>
        <v>5</v>
      </c>
      <c r="I832" s="175" t="n">
        <f aca="false">'🤖 Llama-3.1-70b-instruct'!J7</f>
        <v>5</v>
      </c>
    </row>
    <row r="833" customFormat="false" ht="15.75" hidden="false" customHeight="false" outlineLevel="0" collapsed="false">
      <c r="A833" s="118" t="str">
        <f aca="false">'🤖 Llama-3.1-70b-instruct'!$A$7</f>
        <v>https://www.berria.eus/kirola/hirutik-hiru-jaka-mariezkurrenarentzat_2117677_102.html</v>
      </c>
      <c r="B833" s="9" t="s">
        <v>24</v>
      </c>
      <c r="C833" s="119" t="str">
        <f aca="false">'🤖 Llama-3.1-70b-instruct'!C8</f>
        <v>CoT</v>
      </c>
      <c r="D833" s="148" t="n">
        <f aca="false">'🤖 Llama-3.1-70b-instruct'!E8</f>
        <v>0.4583333333</v>
      </c>
      <c r="E833" s="175" t="n">
        <f aca="false">'🤖 Llama-3.1-70b-instruct'!F8</f>
        <v>3</v>
      </c>
      <c r="F833" s="175" t="n">
        <f aca="false">'🤖 Llama-3.1-70b-instruct'!G8</f>
        <v>4</v>
      </c>
      <c r="G833" s="175" t="n">
        <f aca="false">'🤖 Llama-3.1-70b-instruct'!H8</f>
        <v>3</v>
      </c>
      <c r="H833" s="175" t="n">
        <f aca="false">'🤖 Llama-3.1-70b-instruct'!I8</f>
        <v>4</v>
      </c>
      <c r="I833" s="175" t="n">
        <f aca="false">'🤖 Llama-3.1-70b-instruct'!J8</f>
        <v>3</v>
      </c>
    </row>
    <row r="834" customFormat="false" ht="15.75" hidden="false" customHeight="false" outlineLevel="0" collapsed="false">
      <c r="A834" s="118" t="str">
        <f aca="false">'🤖 Llama-3.1-70b-instruct'!$A$7</f>
        <v>https://www.berria.eus/kirola/hirutik-hiru-jaka-mariezkurrenarentzat_2117677_102.html</v>
      </c>
      <c r="B834" s="9" t="s">
        <v>24</v>
      </c>
      <c r="C834" s="119" t="str">
        <f aca="false">'🤖 Llama-3.1-70b-instruct'!C9</f>
        <v>5W1H</v>
      </c>
      <c r="D834" s="120" t="n">
        <f aca="false">'🤖 Llama-3.1-70b-instruct'!E9</f>
        <v>0.7261904762</v>
      </c>
      <c r="E834" s="175" t="n">
        <f aca="false">'🤖 Llama-3.1-70b-instruct'!F9</f>
        <v>2</v>
      </c>
      <c r="F834" s="175" t="n">
        <f aca="false">'🤖 Llama-3.1-70b-instruct'!G9</f>
        <v>4</v>
      </c>
      <c r="G834" s="175" t="n">
        <f aca="false">'🤖 Llama-3.1-70b-instruct'!H9</f>
        <v>4</v>
      </c>
      <c r="H834" s="175" t="n">
        <f aca="false">'🤖 Llama-3.1-70b-instruct'!I9</f>
        <v>3</v>
      </c>
      <c r="I834" s="175" t="n">
        <f aca="false">'🤖 Llama-3.1-70b-instruct'!J9</f>
        <v>3</v>
      </c>
    </row>
    <row r="835" customFormat="false" ht="15.75" hidden="false" customHeight="false" outlineLevel="0" collapsed="false">
      <c r="A835" s="118" t="str">
        <f aca="false">'🤖 Llama-3.1-70b-instruct'!$A$7</f>
        <v>https://www.berria.eus/kirola/hirutik-hiru-jaka-mariezkurrenarentzat_2117677_102.html</v>
      </c>
      <c r="B835" s="9" t="s">
        <v>24</v>
      </c>
      <c r="C835" s="119" t="str">
        <f aca="false">'🤖 Llama-3.1-70b-instruct'!C10</f>
        <v>tldr</v>
      </c>
      <c r="D835" s="126" t="n">
        <f aca="false">'🤖 Llama-3.1-70b-instruct'!E10</f>
        <v>0.3154761905</v>
      </c>
      <c r="E835" s="175" t="n">
        <f aca="false">'🤖 Llama-3.1-70b-instruct'!F10</f>
        <v>4</v>
      </c>
      <c r="F835" s="175" t="n">
        <f aca="false">'🤖 Llama-3.1-70b-instruct'!G10</f>
        <v>5</v>
      </c>
      <c r="G835" s="175" t="n">
        <f aca="false">'🤖 Llama-3.1-70b-instruct'!H10</f>
        <v>4</v>
      </c>
      <c r="H835" s="175" t="n">
        <f aca="false">'🤖 Llama-3.1-70b-instruct'!I10</f>
        <v>5</v>
      </c>
      <c r="I835" s="175" t="n">
        <f aca="false">'🤖 Llama-3.1-70b-instruct'!J10</f>
        <v>3</v>
      </c>
    </row>
    <row r="836" customFormat="false" ht="15.75" hidden="false" customHeight="false" outlineLevel="0" collapsed="false">
      <c r="A836" s="9"/>
      <c r="B836" s="9"/>
      <c r="C836" s="51"/>
      <c r="D836" s="9"/>
      <c r="E836" s="9"/>
      <c r="F836" s="9"/>
      <c r="G836" s="9"/>
      <c r="H836" s="9"/>
      <c r="I836" s="9"/>
    </row>
    <row r="837" customFormat="false" ht="15.75" hidden="false" customHeight="false" outlineLevel="0" collapsed="false">
      <c r="A837" s="118" t="str">
        <f aca="false">'🤖 Llama-3.1-70b-instruct'!$A$12</f>
        <v>https://www.berria.eus/bizigiro/larreen-eta-larrabereen-balioaz_2126273_102.html</v>
      </c>
      <c r="B837" s="9" t="s">
        <v>24</v>
      </c>
      <c r="C837" s="119" t="str">
        <f aca="false">'🤖 Llama-3.1-70b-instruct'!C12</f>
        <v>Base</v>
      </c>
      <c r="D837" s="145" t="n">
        <f aca="false">'🤖 Llama-3.1-70b-instruct'!E12</f>
        <v>0.1304347826</v>
      </c>
      <c r="E837" s="175" t="n">
        <f aca="false">'🤖 Llama-3.1-70b-instruct'!F12</f>
        <v>4</v>
      </c>
      <c r="F837" s="175" t="n">
        <f aca="false">'🤖 Llama-3.1-70b-instruct'!G12</f>
        <v>4</v>
      </c>
      <c r="G837" s="175" t="n">
        <f aca="false">'🤖 Llama-3.1-70b-instruct'!H12</f>
        <v>4</v>
      </c>
      <c r="H837" s="175" t="n">
        <f aca="false">'🤖 Llama-3.1-70b-instruct'!I12</f>
        <v>4</v>
      </c>
      <c r="I837" s="175" t="n">
        <f aca="false">'🤖 Llama-3.1-70b-instruct'!J12</f>
        <v>4</v>
      </c>
    </row>
    <row r="838" customFormat="false" ht="15.75" hidden="false" customHeight="false" outlineLevel="0" collapsed="false">
      <c r="A838" s="118" t="str">
        <f aca="false">'🤖 Llama-3.1-70b-instruct'!$A$12</f>
        <v>https://www.berria.eus/bizigiro/larreen-eta-larrabereen-balioaz_2126273_102.html</v>
      </c>
      <c r="B838" s="9" t="s">
        <v>24</v>
      </c>
      <c r="C838" s="119" t="str">
        <f aca="false">'🤖 Llama-3.1-70b-instruct'!C13</f>
        <v>CoT</v>
      </c>
      <c r="D838" s="148" t="n">
        <f aca="false">'🤖 Llama-3.1-70b-instruct'!E13</f>
        <v>0.2242562929</v>
      </c>
      <c r="E838" s="175" t="n">
        <f aca="false">'🤖 Llama-3.1-70b-instruct'!F13</f>
        <v>4</v>
      </c>
      <c r="F838" s="175" t="n">
        <f aca="false">'🤖 Llama-3.1-70b-instruct'!G13</f>
        <v>4</v>
      </c>
      <c r="G838" s="175" t="n">
        <f aca="false">'🤖 Llama-3.1-70b-instruct'!H13</f>
        <v>4</v>
      </c>
      <c r="H838" s="175" t="n">
        <f aca="false">'🤖 Llama-3.1-70b-instruct'!I13</f>
        <v>3</v>
      </c>
      <c r="I838" s="175" t="n">
        <f aca="false">'🤖 Llama-3.1-70b-instruct'!J13</f>
        <v>2</v>
      </c>
    </row>
    <row r="839" customFormat="false" ht="15.75" hidden="false" customHeight="false" outlineLevel="0" collapsed="false">
      <c r="A839" s="118" t="str">
        <f aca="false">'🤖 Llama-3.1-70b-instruct'!$A$12</f>
        <v>https://www.berria.eus/bizigiro/larreen-eta-larrabereen-balioaz_2126273_102.html</v>
      </c>
      <c r="B839" s="9" t="s">
        <v>24</v>
      </c>
      <c r="C839" s="119" t="str">
        <f aca="false">'🤖 Llama-3.1-70b-instruct'!C14</f>
        <v>5W1H</v>
      </c>
      <c r="D839" s="133" t="n">
        <f aca="false">'🤖 Llama-3.1-70b-instruct'!E14</f>
        <v>0.2196796339</v>
      </c>
      <c r="E839" s="175" t="n">
        <f aca="false">'🤖 Llama-3.1-70b-instruct'!F14</f>
        <v>2</v>
      </c>
      <c r="F839" s="175" t="n">
        <f aca="false">'🤖 Llama-3.1-70b-instruct'!G14</f>
        <v>4</v>
      </c>
      <c r="G839" s="175" t="n">
        <f aca="false">'🤖 Llama-3.1-70b-instruct'!H14</f>
        <v>4</v>
      </c>
      <c r="H839" s="175" t="n">
        <f aca="false">'🤖 Llama-3.1-70b-instruct'!I14</f>
        <v>4</v>
      </c>
      <c r="I839" s="175" t="n">
        <f aca="false">'🤖 Llama-3.1-70b-instruct'!J14</f>
        <v>4</v>
      </c>
    </row>
    <row r="840" customFormat="false" ht="15.75" hidden="false" customHeight="false" outlineLevel="0" collapsed="false">
      <c r="A840" s="118" t="str">
        <f aca="false">'🤖 Llama-3.1-70b-instruct'!$A$12</f>
        <v>https://www.berria.eus/bizigiro/larreen-eta-larrabereen-balioaz_2126273_102.html</v>
      </c>
      <c r="B840" s="9" t="s">
        <v>24</v>
      </c>
      <c r="C840" s="119" t="str">
        <f aca="false">'🤖 Llama-3.1-70b-instruct'!C15</f>
        <v>tldr</v>
      </c>
      <c r="D840" s="177" t="n">
        <f aca="false">'🤖 Llama-3.1-70b-instruct'!E15</f>
        <v>0.118993135</v>
      </c>
      <c r="E840" s="175" t="n">
        <f aca="false">'🤖 Llama-3.1-70b-instruct'!F15</f>
        <v>4</v>
      </c>
      <c r="F840" s="175" t="n">
        <f aca="false">'🤖 Llama-3.1-70b-instruct'!G15</f>
        <v>4</v>
      </c>
      <c r="G840" s="175" t="n">
        <f aca="false">'🤖 Llama-3.1-70b-instruct'!H15</f>
        <v>4</v>
      </c>
      <c r="H840" s="175" t="n">
        <f aca="false">'🤖 Llama-3.1-70b-instruct'!I15</f>
        <v>4</v>
      </c>
      <c r="I840" s="175" t="n">
        <f aca="false">'🤖 Llama-3.1-70b-instruct'!J15</f>
        <v>3</v>
      </c>
    </row>
    <row r="841" customFormat="false" ht="15.75" hidden="false" customHeight="false" outlineLevel="0" collapsed="false">
      <c r="A841" s="9"/>
      <c r="B841" s="9"/>
      <c r="C841" s="51"/>
      <c r="D841" s="9"/>
      <c r="E841" s="9"/>
      <c r="F841" s="9"/>
      <c r="G841" s="9"/>
      <c r="H841" s="9"/>
      <c r="I841" s="9"/>
    </row>
    <row r="842" customFormat="false" ht="15.75" hidden="false" customHeight="false" outlineLevel="0" collapsed="false">
      <c r="A842" s="118" t="str">
        <f aca="false">'🤖 Llama-3.1-70b-instruct'!$A$17</f>
        <v>https://www.berria.eus/kirola/olatua-hartuta-parisera_2121856_102.html</v>
      </c>
      <c r="B842" s="9" t="s">
        <v>24</v>
      </c>
      <c r="C842" s="119" t="str">
        <f aca="false">'🤖 Llama-3.1-70b-instruct'!C17</f>
        <v>Base</v>
      </c>
      <c r="D842" s="148" t="n">
        <f aca="false">'🤖 Llama-3.1-70b-instruct'!E17</f>
        <v>0.307106599</v>
      </c>
      <c r="E842" s="175" t="n">
        <f aca="false">'🤖 Llama-3.1-70b-instruct'!F17</f>
        <v>3</v>
      </c>
      <c r="F842" s="175" t="n">
        <f aca="false">'🤖 Llama-3.1-70b-instruct'!G17</f>
        <v>5</v>
      </c>
      <c r="G842" s="175" t="n">
        <f aca="false">'🤖 Llama-3.1-70b-instruct'!H17</f>
        <v>4</v>
      </c>
      <c r="H842" s="175" t="n">
        <f aca="false">'🤖 Llama-3.1-70b-instruct'!I17</f>
        <v>4</v>
      </c>
      <c r="I842" s="175" t="n">
        <f aca="false">'🤖 Llama-3.1-70b-instruct'!J17</f>
        <v>5</v>
      </c>
    </row>
    <row r="843" customFormat="false" ht="15.75" hidden="false" customHeight="false" outlineLevel="0" collapsed="false">
      <c r="A843" s="118" t="str">
        <f aca="false">'🤖 Llama-3.1-70b-instruct'!$A$17</f>
        <v>https://www.berria.eus/kirola/olatua-hartuta-parisera_2121856_102.html</v>
      </c>
      <c r="B843" s="9" t="s">
        <v>24</v>
      </c>
      <c r="C843" s="119" t="str">
        <f aca="false">'🤖 Llama-3.1-70b-instruct'!C18</f>
        <v>CoT</v>
      </c>
      <c r="D843" s="145" t="n">
        <f aca="false">'🤖 Llama-3.1-70b-instruct'!E18</f>
        <v>0.1954314721</v>
      </c>
      <c r="E843" s="175" t="n">
        <f aca="false">'🤖 Llama-3.1-70b-instruct'!F18</f>
        <v>4</v>
      </c>
      <c r="F843" s="175" t="n">
        <f aca="false">'🤖 Llama-3.1-70b-instruct'!G18</f>
        <v>4</v>
      </c>
      <c r="G843" s="175" t="n">
        <f aca="false">'🤖 Llama-3.1-70b-instruct'!H18</f>
        <v>4</v>
      </c>
      <c r="H843" s="175" t="n">
        <f aca="false">'🤖 Llama-3.1-70b-instruct'!I18</f>
        <v>3</v>
      </c>
      <c r="I843" s="175" t="n">
        <f aca="false">'🤖 Llama-3.1-70b-instruct'!J18</f>
        <v>2</v>
      </c>
    </row>
    <row r="844" customFormat="false" ht="15.75" hidden="false" customHeight="false" outlineLevel="0" collapsed="false">
      <c r="A844" s="118" t="str">
        <f aca="false">'🤖 Llama-3.1-70b-instruct'!$A$17</f>
        <v>https://www.berria.eus/kirola/olatua-hartuta-parisera_2121856_102.html</v>
      </c>
      <c r="B844" s="9" t="s">
        <v>24</v>
      </c>
      <c r="C844" s="119" t="str">
        <f aca="false">'🤖 Llama-3.1-70b-instruct'!C19</f>
        <v>5W1H</v>
      </c>
      <c r="D844" s="141" t="n">
        <f aca="false">'🤖 Llama-3.1-70b-instruct'!E19</f>
        <v>0.2385786802</v>
      </c>
      <c r="E844" s="175" t="n">
        <f aca="false">'🤖 Llama-3.1-70b-instruct'!F19</f>
        <v>3</v>
      </c>
      <c r="F844" s="175" t="n">
        <f aca="false">'🤖 Llama-3.1-70b-instruct'!G19</f>
        <v>5</v>
      </c>
      <c r="G844" s="175" t="n">
        <f aca="false">'🤖 Llama-3.1-70b-instruct'!H19</f>
        <v>4</v>
      </c>
      <c r="H844" s="175" t="n">
        <f aca="false">'🤖 Llama-3.1-70b-instruct'!I19</f>
        <v>5</v>
      </c>
      <c r="I844" s="175" t="n">
        <f aca="false">'🤖 Llama-3.1-70b-instruct'!J19</f>
        <v>3</v>
      </c>
    </row>
    <row r="845" customFormat="false" ht="15.75" hidden="false" customHeight="false" outlineLevel="0" collapsed="false">
      <c r="A845" s="118" t="str">
        <f aca="false">'🤖 Llama-3.1-70b-instruct'!$A$17</f>
        <v>https://www.berria.eus/kirola/olatua-hartuta-parisera_2121856_102.html</v>
      </c>
      <c r="B845" s="9" t="s">
        <v>24</v>
      </c>
      <c r="C845" s="119" t="str">
        <f aca="false">'🤖 Llama-3.1-70b-instruct'!C20</f>
        <v>tldr</v>
      </c>
      <c r="D845" s="128" t="n">
        <f aca="false">'🤖 Llama-3.1-70b-instruct'!E20</f>
        <v>0.1497461929</v>
      </c>
      <c r="E845" s="175" t="n">
        <f aca="false">'🤖 Llama-3.1-70b-instruct'!F20</f>
        <v>4</v>
      </c>
      <c r="F845" s="175" t="n">
        <f aca="false">'🤖 Llama-3.1-70b-instruct'!G20</f>
        <v>4</v>
      </c>
      <c r="G845" s="175" t="n">
        <f aca="false">'🤖 Llama-3.1-70b-instruct'!H20</f>
        <v>3</v>
      </c>
      <c r="H845" s="175" t="n">
        <f aca="false">'🤖 Llama-3.1-70b-instruct'!I20</f>
        <v>5</v>
      </c>
      <c r="I845" s="175" t="n">
        <f aca="false">'🤖 Llama-3.1-70b-instruct'!J20</f>
        <v>4</v>
      </c>
    </row>
    <row r="846" customFormat="false" ht="15.75" hidden="false" customHeight="false" outlineLevel="0" collapsed="false">
      <c r="A846" s="9"/>
      <c r="B846" s="9"/>
      <c r="C846" s="51"/>
      <c r="D846" s="9"/>
      <c r="E846" s="9"/>
      <c r="F846" s="9"/>
      <c r="G846" s="9"/>
      <c r="H846" s="9"/>
      <c r="I846" s="9"/>
    </row>
    <row r="847" customFormat="false" ht="15.75" hidden="false" customHeight="false" outlineLevel="0" collapsed="false">
      <c r="A847" s="118" t="str">
        <f aca="false">'🤖 Llama-3.1-70b-instruct'!$A$22</f>
        <v>https://www.berria.eus/bizigiro/badago-ezkutuan-dagoen-sektore-bat-sarietatik-kanpo-idazten-ari-dena_2119644_102.html</v>
      </c>
      <c r="B847" s="9" t="s">
        <v>24</v>
      </c>
      <c r="C847" s="119" t="str">
        <f aca="false">'🤖 Llama-3.1-70b-instruct'!C22</f>
        <v>Base</v>
      </c>
      <c r="D847" s="122" t="n">
        <f aca="false">'🤖 Llama-3.1-70b-instruct'!E22</f>
        <v>0.2359550562</v>
      </c>
      <c r="E847" s="175" t="n">
        <f aca="false">'🤖 Llama-3.1-70b-instruct'!F22</f>
        <v>3</v>
      </c>
      <c r="F847" s="175" t="n">
        <f aca="false">'🤖 Llama-3.1-70b-instruct'!G22</f>
        <v>4</v>
      </c>
      <c r="G847" s="175" t="n">
        <f aca="false">'🤖 Llama-3.1-70b-instruct'!H22</f>
        <v>4</v>
      </c>
      <c r="H847" s="175" t="n">
        <f aca="false">'🤖 Llama-3.1-70b-instruct'!I22</f>
        <v>4</v>
      </c>
      <c r="I847" s="175" t="n">
        <f aca="false">'🤖 Llama-3.1-70b-instruct'!J22</f>
        <v>3</v>
      </c>
    </row>
    <row r="848" customFormat="false" ht="15.75" hidden="false" customHeight="false" outlineLevel="0" collapsed="false">
      <c r="A848" s="118" t="str">
        <f aca="false">'🤖 Llama-3.1-70b-instruct'!$A$22</f>
        <v>https://www.berria.eus/bizigiro/badago-ezkutuan-dagoen-sektore-bat-sarietatik-kanpo-idazten-ari-dena_2119644_102.html</v>
      </c>
      <c r="B848" s="9" t="s">
        <v>24</v>
      </c>
      <c r="C848" s="119" t="str">
        <f aca="false">'🤖 Llama-3.1-70b-instruct'!C23</f>
        <v>CoT</v>
      </c>
      <c r="D848" s="177" t="n">
        <f aca="false">'🤖 Llama-3.1-70b-instruct'!E23</f>
        <v>0.2112359551</v>
      </c>
      <c r="E848" s="175" t="n">
        <f aca="false">'🤖 Llama-3.1-70b-instruct'!F23</f>
        <v>5</v>
      </c>
      <c r="F848" s="175" t="n">
        <f aca="false">'🤖 Llama-3.1-70b-instruct'!G23</f>
        <v>4</v>
      </c>
      <c r="G848" s="175" t="n">
        <f aca="false">'🤖 Llama-3.1-70b-instruct'!H23</f>
        <v>4</v>
      </c>
      <c r="H848" s="175" t="n">
        <f aca="false">'🤖 Llama-3.1-70b-instruct'!I23</f>
        <v>3</v>
      </c>
      <c r="I848" s="175" t="n">
        <f aca="false">'🤖 Llama-3.1-70b-instruct'!J23</f>
        <v>2</v>
      </c>
    </row>
    <row r="849" customFormat="false" ht="15.75" hidden="false" customHeight="false" outlineLevel="0" collapsed="false">
      <c r="A849" s="118" t="str">
        <f aca="false">'🤖 Llama-3.1-70b-instruct'!$A$22</f>
        <v>https://www.berria.eus/bizigiro/badago-ezkutuan-dagoen-sektore-bat-sarietatik-kanpo-idazten-ari-dena_2119644_102.html</v>
      </c>
      <c r="B849" s="9" t="s">
        <v>24</v>
      </c>
      <c r="C849" s="119" t="str">
        <f aca="false">'🤖 Llama-3.1-70b-instruct'!C24</f>
        <v>5W1H</v>
      </c>
      <c r="D849" s="126" t="n">
        <f aca="false">'🤖 Llama-3.1-70b-instruct'!E24</f>
        <v>0.1887640449</v>
      </c>
      <c r="E849" s="175" t="n">
        <f aca="false">'🤖 Llama-3.1-70b-instruct'!F24</f>
        <v>3</v>
      </c>
      <c r="F849" s="175" t="n">
        <f aca="false">'🤖 Llama-3.1-70b-instruct'!G24</f>
        <v>4</v>
      </c>
      <c r="G849" s="175" t="n">
        <f aca="false">'🤖 Llama-3.1-70b-instruct'!H24</f>
        <v>4</v>
      </c>
      <c r="H849" s="175" t="n">
        <f aca="false">'🤖 Llama-3.1-70b-instruct'!I24</f>
        <v>3</v>
      </c>
      <c r="I849" s="175" t="n">
        <f aca="false">'🤖 Llama-3.1-70b-instruct'!J24</f>
        <v>3</v>
      </c>
    </row>
    <row r="850" customFormat="false" ht="15.75" hidden="false" customHeight="false" outlineLevel="0" collapsed="false">
      <c r="A850" s="118" t="str">
        <f aca="false">'🤖 Llama-3.1-70b-instruct'!$A$22</f>
        <v>https://www.berria.eus/bizigiro/badago-ezkutuan-dagoen-sektore-bat-sarietatik-kanpo-idazten-ari-dena_2119644_102.html</v>
      </c>
      <c r="B850" s="9" t="s">
        <v>24</v>
      </c>
      <c r="C850" s="119" t="str">
        <f aca="false">'🤖 Llama-3.1-70b-instruct'!C25</f>
        <v>tldr</v>
      </c>
      <c r="D850" s="176" t="n">
        <f aca="false">'🤖 Llama-3.1-70b-instruct'!E25</f>
        <v>0.1258426966</v>
      </c>
      <c r="E850" s="175" t="n">
        <f aca="false">'🤖 Llama-3.1-70b-instruct'!F25</f>
        <v>4</v>
      </c>
      <c r="F850" s="175" t="n">
        <f aca="false">'🤖 Llama-3.1-70b-instruct'!G25</f>
        <v>3</v>
      </c>
      <c r="G850" s="175" t="n">
        <f aca="false">'🤖 Llama-3.1-70b-instruct'!H25</f>
        <v>5</v>
      </c>
      <c r="H850" s="175" t="n">
        <f aca="false">'🤖 Llama-3.1-70b-instruct'!I25</f>
        <v>5</v>
      </c>
      <c r="I850" s="175" t="n">
        <f aca="false">'🤖 Llama-3.1-70b-instruct'!J25</f>
        <v>3</v>
      </c>
    </row>
    <row r="851" customFormat="false" ht="15.75" hidden="false" customHeight="false" outlineLevel="0" collapsed="false">
      <c r="A851" s="9"/>
      <c r="B851" s="9"/>
      <c r="C851" s="51"/>
      <c r="D851" s="9"/>
      <c r="E851" s="9"/>
      <c r="F851" s="9"/>
      <c r="G851" s="9"/>
      <c r="H851" s="9"/>
      <c r="I851" s="9"/>
    </row>
    <row r="852" customFormat="false" ht="15.75" hidden="false" customHeight="false" outlineLevel="0" collapsed="false">
      <c r="A852" s="118" t="str">
        <f aca="false">'🤖 Llama-3.1-70b-instruct'!$A$27</f>
        <v>https://www.berria.eus/bizigiro/istorioak-irudien-bidez-kontatzen-ditut-oso-hizkuntza-unibertsala-da_2121576_102.html</v>
      </c>
      <c r="B852" s="9" t="s">
        <v>24</v>
      </c>
      <c r="C852" s="119" t="str">
        <f aca="false">'🤖 Llama-3.1-70b-instruct'!C27</f>
        <v>Base</v>
      </c>
      <c r="D852" s="144" t="n">
        <f aca="false">'🤖 Llama-3.1-70b-instruct'!E27</f>
        <v>0.199556541</v>
      </c>
      <c r="E852" s="175" t="n">
        <f aca="false">'🤖 Llama-3.1-70b-instruct'!F27</f>
        <v>3</v>
      </c>
      <c r="F852" s="175" t="n">
        <f aca="false">'🤖 Llama-3.1-70b-instruct'!G27</f>
        <v>3</v>
      </c>
      <c r="G852" s="175" t="n">
        <f aca="false">'🤖 Llama-3.1-70b-instruct'!H27</f>
        <v>3</v>
      </c>
      <c r="H852" s="175" t="n">
        <f aca="false">'🤖 Llama-3.1-70b-instruct'!I27</f>
        <v>4</v>
      </c>
      <c r="I852" s="175" t="n">
        <f aca="false">'🤖 Llama-3.1-70b-instruct'!J27</f>
        <v>4</v>
      </c>
    </row>
    <row r="853" customFormat="false" ht="15.75" hidden="false" customHeight="false" outlineLevel="0" collapsed="false">
      <c r="A853" s="118" t="str">
        <f aca="false">'🤖 Llama-3.1-70b-instruct'!$A$27</f>
        <v>https://www.berria.eus/bizigiro/istorioak-irudien-bidez-kontatzen-ditut-oso-hizkuntza-unibertsala-da_2121576_102.html</v>
      </c>
      <c r="B853" s="9" t="s">
        <v>24</v>
      </c>
      <c r="C853" s="119" t="str">
        <f aca="false">'🤖 Llama-3.1-70b-instruct'!C28</f>
        <v>CoT</v>
      </c>
      <c r="D853" s="141" t="n">
        <f aca="false">'🤖 Llama-3.1-70b-instruct'!E28</f>
        <v>0.1951219512</v>
      </c>
      <c r="E853" s="175" t="n">
        <f aca="false">'🤖 Llama-3.1-70b-instruct'!F28</f>
        <v>4</v>
      </c>
      <c r="F853" s="175" t="n">
        <f aca="false">'🤖 Llama-3.1-70b-instruct'!G28</f>
        <v>4</v>
      </c>
      <c r="G853" s="175" t="n">
        <f aca="false">'🤖 Llama-3.1-70b-instruct'!H28</f>
        <v>4</v>
      </c>
      <c r="H853" s="175" t="n">
        <f aca="false">'🤖 Llama-3.1-70b-instruct'!I28</f>
        <v>3</v>
      </c>
      <c r="I853" s="175" t="n">
        <f aca="false">'🤖 Llama-3.1-70b-instruct'!J28</f>
        <v>4</v>
      </c>
    </row>
    <row r="854" customFormat="false" ht="15.75" hidden="false" customHeight="false" outlineLevel="0" collapsed="false">
      <c r="A854" s="118" t="str">
        <f aca="false">'🤖 Llama-3.1-70b-instruct'!$A$27</f>
        <v>https://www.berria.eus/bizigiro/istorioak-irudien-bidez-kontatzen-ditut-oso-hizkuntza-unibertsala-da_2121576_102.html</v>
      </c>
      <c r="B854" s="9" t="s">
        <v>24</v>
      </c>
      <c r="C854" s="119" t="str">
        <f aca="false">'🤖 Llama-3.1-70b-instruct'!C29</f>
        <v>5W1H</v>
      </c>
      <c r="D854" s="173" t="n">
        <f aca="false">'🤖 Llama-3.1-70b-instruct'!E29</f>
        <v>0.1884700665</v>
      </c>
      <c r="E854" s="175" t="n">
        <f aca="false">'🤖 Llama-3.1-70b-instruct'!F29</f>
        <v>3</v>
      </c>
      <c r="F854" s="175" t="n">
        <f aca="false">'🤖 Llama-3.1-70b-instruct'!G29</f>
        <v>5</v>
      </c>
      <c r="G854" s="175" t="n">
        <f aca="false">'🤖 Llama-3.1-70b-instruct'!H29</f>
        <v>4</v>
      </c>
      <c r="H854" s="175" t="n">
        <f aca="false">'🤖 Llama-3.1-70b-instruct'!I29</f>
        <v>3</v>
      </c>
      <c r="I854" s="175" t="n">
        <f aca="false">'🤖 Llama-3.1-70b-instruct'!J29</f>
        <v>4</v>
      </c>
    </row>
    <row r="855" customFormat="false" ht="15.75" hidden="false" customHeight="false" outlineLevel="0" collapsed="false">
      <c r="A855" s="118" t="str">
        <f aca="false">'🤖 Llama-3.1-70b-instruct'!$A$27</f>
        <v>https://www.berria.eus/bizigiro/istorioak-irudien-bidez-kontatzen-ditut-oso-hizkuntza-unibertsala-da_2121576_102.html</v>
      </c>
      <c r="B855" s="9" t="s">
        <v>24</v>
      </c>
      <c r="C855" s="119" t="str">
        <f aca="false">'🤖 Llama-3.1-70b-instruct'!C30</f>
        <v>tldr</v>
      </c>
      <c r="D855" s="172" t="n">
        <f aca="false">'🤖 Llama-3.1-70b-instruct'!E30</f>
        <v>0.1175166297</v>
      </c>
      <c r="E855" s="175" t="n">
        <f aca="false">'🤖 Llama-3.1-70b-instruct'!F30</f>
        <v>4</v>
      </c>
      <c r="F855" s="175" t="n">
        <f aca="false">'🤖 Llama-3.1-70b-instruct'!G30</f>
        <v>5</v>
      </c>
      <c r="G855" s="175" t="n">
        <f aca="false">'🤖 Llama-3.1-70b-instruct'!H30</f>
        <v>4</v>
      </c>
      <c r="H855" s="175" t="n">
        <f aca="false">'🤖 Llama-3.1-70b-instruct'!I30</f>
        <v>5</v>
      </c>
      <c r="I855" s="175" t="n">
        <f aca="false">'🤖 Llama-3.1-70b-instruct'!J30</f>
        <v>4</v>
      </c>
    </row>
    <row r="856" customFormat="false" ht="15.75" hidden="false" customHeight="false" outlineLevel="0" collapsed="false">
      <c r="A856" s="9"/>
      <c r="B856" s="9"/>
      <c r="C856" s="51"/>
      <c r="D856" s="9"/>
      <c r="E856" s="9"/>
      <c r="F856" s="9"/>
      <c r="G856" s="9"/>
      <c r="H856" s="9"/>
      <c r="I856" s="9"/>
    </row>
    <row r="857" customFormat="false" ht="15.75" hidden="false" customHeight="false" outlineLevel="0" collapsed="false">
      <c r="A857" s="118" t="str">
        <f aca="false">'🤖 Llama-3.1-70b-instruct'!$A$32</f>
        <v>https://www.berria.eus/euskal-herria/etxeko-atxiloaldia-ezarri-diote-labioko-hiltzaileari_2124515_102.html</v>
      </c>
      <c r="B857" s="9" t="s">
        <v>24</v>
      </c>
      <c r="C857" s="119" t="str">
        <f aca="false">'🤖 Llama-3.1-70b-instruct'!C32</f>
        <v>Base</v>
      </c>
      <c r="D857" s="141" t="n">
        <f aca="false">'🤖 Llama-3.1-70b-instruct'!E32</f>
        <v>0.2148148148</v>
      </c>
      <c r="E857" s="175" t="n">
        <f aca="false">'🤖 Llama-3.1-70b-instruct'!F32</f>
        <v>5</v>
      </c>
      <c r="F857" s="175" t="n">
        <f aca="false">'🤖 Llama-3.1-70b-instruct'!G32</f>
        <v>4</v>
      </c>
      <c r="G857" s="175" t="n">
        <f aca="false">'🤖 Llama-3.1-70b-instruct'!H32</f>
        <v>4</v>
      </c>
      <c r="H857" s="175" t="n">
        <f aca="false">'🤖 Llama-3.1-70b-instruct'!I32</f>
        <v>5</v>
      </c>
      <c r="I857" s="175" t="n">
        <f aca="false">'🤖 Llama-3.1-70b-instruct'!J32</f>
        <v>4</v>
      </c>
    </row>
    <row r="858" customFormat="false" ht="15.75" hidden="false" customHeight="false" outlineLevel="0" collapsed="false">
      <c r="A858" s="118" t="str">
        <f aca="false">'🤖 Llama-3.1-70b-instruct'!$A$32</f>
        <v>https://www.berria.eus/euskal-herria/etxeko-atxiloaldia-ezarri-diote-labioko-hiltzaileari_2124515_102.html</v>
      </c>
      <c r="B858" s="9" t="s">
        <v>24</v>
      </c>
      <c r="C858" s="119" t="str">
        <f aca="false">'🤖 Llama-3.1-70b-instruct'!C33</f>
        <v>CoT</v>
      </c>
      <c r="D858" s="144" t="n">
        <f aca="false">'🤖 Llama-3.1-70b-instruct'!E33</f>
        <v>0.2037037037</v>
      </c>
      <c r="E858" s="175" t="n">
        <f aca="false">'🤖 Llama-3.1-70b-instruct'!F33</f>
        <v>3</v>
      </c>
      <c r="F858" s="175" t="n">
        <f aca="false">'🤖 Llama-3.1-70b-instruct'!G33</f>
        <v>5</v>
      </c>
      <c r="G858" s="175" t="n">
        <f aca="false">'🤖 Llama-3.1-70b-instruct'!H33</f>
        <v>4</v>
      </c>
      <c r="H858" s="175" t="n">
        <f aca="false">'🤖 Llama-3.1-70b-instruct'!I33</f>
        <v>5</v>
      </c>
      <c r="I858" s="175" t="n">
        <f aca="false">'🤖 Llama-3.1-70b-instruct'!J33</f>
        <v>3</v>
      </c>
    </row>
    <row r="859" customFormat="false" ht="15.75" hidden="false" customHeight="false" outlineLevel="0" collapsed="false">
      <c r="A859" s="118" t="str">
        <f aca="false">'🤖 Llama-3.1-70b-instruct'!$A$32</f>
        <v>https://www.berria.eus/euskal-herria/etxeko-atxiloaldia-ezarri-diote-labioko-hiltzaileari_2124515_102.html</v>
      </c>
      <c r="B859" s="9" t="s">
        <v>24</v>
      </c>
      <c r="C859" s="119" t="str">
        <f aca="false">'🤖 Llama-3.1-70b-instruct'!C34</f>
        <v>5W1H</v>
      </c>
      <c r="D859" s="137" t="n">
        <f aca="false">'🤖 Llama-3.1-70b-instruct'!E34</f>
        <v>0.3592592593</v>
      </c>
      <c r="E859" s="175" t="n">
        <f aca="false">'🤖 Llama-3.1-70b-instruct'!F34</f>
        <v>2</v>
      </c>
      <c r="F859" s="175" t="n">
        <f aca="false">'🤖 Llama-3.1-70b-instruct'!G34</f>
        <v>4</v>
      </c>
      <c r="G859" s="175" t="n">
        <f aca="false">'🤖 Llama-3.1-70b-instruct'!H34</f>
        <v>3</v>
      </c>
      <c r="H859" s="175" t="n">
        <f aca="false">'🤖 Llama-3.1-70b-instruct'!I34</f>
        <v>3</v>
      </c>
      <c r="I859" s="175" t="n">
        <f aca="false">'🤖 Llama-3.1-70b-instruct'!J34</f>
        <v>3</v>
      </c>
    </row>
    <row r="860" customFormat="false" ht="15.75" hidden="false" customHeight="false" outlineLevel="0" collapsed="false">
      <c r="A860" s="118" t="str">
        <f aca="false">'🤖 Llama-3.1-70b-instruct'!$A$32</f>
        <v>https://www.berria.eus/euskal-herria/etxeko-atxiloaldia-ezarri-diote-labioko-hiltzaileari_2124515_102.html</v>
      </c>
      <c r="B860" s="9" t="s">
        <v>24</v>
      </c>
      <c r="C860" s="119" t="str">
        <f aca="false">'🤖 Llama-3.1-70b-instruct'!C35</f>
        <v>tldr</v>
      </c>
      <c r="D860" s="139" t="n">
        <f aca="false">'🤖 Llama-3.1-70b-instruct'!E35</f>
        <v>0.1740740741</v>
      </c>
      <c r="E860" s="175" t="n">
        <f aca="false">'🤖 Llama-3.1-70b-instruct'!F35</f>
        <v>4</v>
      </c>
      <c r="F860" s="175" t="n">
        <f aca="false">'🤖 Llama-3.1-70b-instruct'!G35</f>
        <v>5</v>
      </c>
      <c r="G860" s="175" t="n">
        <f aca="false">'🤖 Llama-3.1-70b-instruct'!H35</f>
        <v>5</v>
      </c>
      <c r="H860" s="175" t="n">
        <f aca="false">'🤖 Llama-3.1-70b-instruct'!I35</f>
        <v>5</v>
      </c>
      <c r="I860" s="175" t="n">
        <f aca="false">'🤖 Llama-3.1-70b-instruct'!J35</f>
        <v>3</v>
      </c>
    </row>
    <row r="861" customFormat="false" ht="15.75" hidden="false" customHeight="false" outlineLevel="0" collapsed="false">
      <c r="A861" s="9"/>
      <c r="B861" s="9"/>
      <c r="C861" s="51"/>
      <c r="D861" s="9"/>
      <c r="E861" s="9"/>
      <c r="F861" s="9"/>
      <c r="G861" s="9"/>
      <c r="H861" s="9"/>
      <c r="I861" s="9"/>
    </row>
    <row r="862" customFormat="false" ht="15.75" hidden="false" customHeight="false" outlineLevel="0" collapsed="false">
      <c r="A862" s="118" t="str">
        <f aca="false">'🤖 Llama-3.1-70b-instruct'!$A$37</f>
        <v>https://www.berria.eus/ekonomia/sektore-eolikoa-eta-milaka-lanpostu-desagertzeko-arriskuaz-ohartarazi-du-elak_233844_102.html</v>
      </c>
      <c r="B862" s="9" t="s">
        <v>24</v>
      </c>
      <c r="C862" s="119" t="str">
        <f aca="false">'🤖 Llama-3.1-70b-instruct'!C37</f>
        <v>Base</v>
      </c>
      <c r="D862" s="149" t="n">
        <f aca="false">'🤖 Llama-3.1-70b-instruct'!E37</f>
        <v>0.2617924528</v>
      </c>
      <c r="E862" s="175" t="n">
        <f aca="false">'🤖 Llama-3.1-70b-instruct'!F37</f>
        <v>3</v>
      </c>
      <c r="F862" s="175" t="n">
        <f aca="false">'🤖 Llama-3.1-70b-instruct'!G37</f>
        <v>5</v>
      </c>
      <c r="G862" s="175" t="n">
        <f aca="false">'🤖 Llama-3.1-70b-instruct'!H37</f>
        <v>4</v>
      </c>
      <c r="H862" s="175" t="n">
        <f aca="false">'🤖 Llama-3.1-70b-instruct'!I37</f>
        <v>4</v>
      </c>
      <c r="I862" s="175" t="n">
        <f aca="false">'🤖 Llama-3.1-70b-instruct'!J37</f>
        <v>5</v>
      </c>
    </row>
    <row r="863" customFormat="false" ht="15.75" hidden="false" customHeight="false" outlineLevel="0" collapsed="false">
      <c r="A863" s="118" t="str">
        <f aca="false">'🤖 Llama-3.1-70b-instruct'!$A$37</f>
        <v>https://www.berria.eus/ekonomia/sektore-eolikoa-eta-milaka-lanpostu-desagertzeko-arriskuaz-ohartarazi-du-elak_233844_102.html</v>
      </c>
      <c r="B863" s="9" t="s">
        <v>24</v>
      </c>
      <c r="C863" s="119" t="str">
        <f aca="false">'🤖 Llama-3.1-70b-instruct'!C38</f>
        <v>CoT</v>
      </c>
      <c r="D863" s="178" t="n">
        <f aca="false">'🤖 Llama-3.1-70b-instruct'!E38</f>
        <v>0.2287735849</v>
      </c>
      <c r="E863" s="175" t="n">
        <f aca="false">'🤖 Llama-3.1-70b-instruct'!F38</f>
        <v>3</v>
      </c>
      <c r="F863" s="175" t="n">
        <f aca="false">'🤖 Llama-3.1-70b-instruct'!G38</f>
        <v>5</v>
      </c>
      <c r="G863" s="175" t="n">
        <f aca="false">'🤖 Llama-3.1-70b-instruct'!H38</f>
        <v>4</v>
      </c>
      <c r="H863" s="175" t="n">
        <f aca="false">'🤖 Llama-3.1-70b-instruct'!I38</f>
        <v>3</v>
      </c>
      <c r="I863" s="175" t="n">
        <f aca="false">'🤖 Llama-3.1-70b-instruct'!J38</f>
        <v>4</v>
      </c>
    </row>
    <row r="864" customFormat="false" ht="15.75" hidden="false" customHeight="false" outlineLevel="0" collapsed="false">
      <c r="A864" s="118" t="str">
        <f aca="false">'🤖 Llama-3.1-70b-instruct'!$A$37</f>
        <v>https://www.berria.eus/ekonomia/sektore-eolikoa-eta-milaka-lanpostu-desagertzeko-arriskuaz-ohartarazi-du-elak_233844_102.html</v>
      </c>
      <c r="B864" s="9" t="s">
        <v>24</v>
      </c>
      <c r="C864" s="119" t="str">
        <f aca="false">'🤖 Llama-3.1-70b-instruct'!C39</f>
        <v>5W1H</v>
      </c>
      <c r="D864" s="130" t="n">
        <f aca="false">'🤖 Llama-3.1-70b-instruct'!E39</f>
        <v>0.2476415094</v>
      </c>
      <c r="E864" s="175" t="n">
        <f aca="false">'🤖 Llama-3.1-70b-instruct'!F39</f>
        <v>2</v>
      </c>
      <c r="F864" s="175" t="n">
        <f aca="false">'🤖 Llama-3.1-70b-instruct'!G39</f>
        <v>4</v>
      </c>
      <c r="G864" s="175" t="n">
        <f aca="false">'🤖 Llama-3.1-70b-instruct'!H39</f>
        <v>4</v>
      </c>
      <c r="H864" s="175" t="n">
        <f aca="false">'🤖 Llama-3.1-70b-instruct'!I39</f>
        <v>4</v>
      </c>
      <c r="I864" s="175" t="n">
        <f aca="false">'🤖 Llama-3.1-70b-instruct'!J39</f>
        <v>4</v>
      </c>
    </row>
    <row r="865" customFormat="false" ht="15.75" hidden="false" customHeight="false" outlineLevel="0" collapsed="false">
      <c r="A865" s="118" t="str">
        <f aca="false">'🤖 Llama-3.1-70b-instruct'!$A$37</f>
        <v>https://www.berria.eus/ekonomia/sektore-eolikoa-eta-milaka-lanpostu-desagertzeko-arriskuaz-ohartarazi-du-elak_233844_102.html</v>
      </c>
      <c r="B865" s="9" t="s">
        <v>24</v>
      </c>
      <c r="C865" s="119" t="str">
        <f aca="false">'🤖 Llama-3.1-70b-instruct'!C40</f>
        <v>tldr</v>
      </c>
      <c r="D865" s="159" t="n">
        <f aca="false">'🤖 Llama-3.1-70b-instruct'!E40</f>
        <v>0.1627358491</v>
      </c>
      <c r="E865" s="175" t="n">
        <f aca="false">'🤖 Llama-3.1-70b-instruct'!F40</f>
        <v>3</v>
      </c>
      <c r="F865" s="175" t="n">
        <f aca="false">'🤖 Llama-3.1-70b-instruct'!G40</f>
        <v>5</v>
      </c>
      <c r="G865" s="175" t="n">
        <f aca="false">'🤖 Llama-3.1-70b-instruct'!H40</f>
        <v>3</v>
      </c>
      <c r="H865" s="175" t="n">
        <f aca="false">'🤖 Llama-3.1-70b-instruct'!I40</f>
        <v>5</v>
      </c>
      <c r="I865" s="175" t="n">
        <f aca="false">'🤖 Llama-3.1-70b-instruct'!J40</f>
        <v>4</v>
      </c>
    </row>
    <row r="866" customFormat="false" ht="15.75" hidden="false" customHeight="false" outlineLevel="0" collapsed="false">
      <c r="A866" s="9"/>
      <c r="B866" s="9"/>
      <c r="C866" s="51"/>
      <c r="D866" s="9"/>
      <c r="E866" s="9"/>
      <c r="F866" s="9"/>
      <c r="G866" s="9"/>
      <c r="H866" s="9"/>
      <c r="I866" s="9"/>
    </row>
    <row r="867" customFormat="false" ht="15.75" hidden="false" customHeight="false" outlineLevel="0" collapsed="false">
      <c r="A867" s="118" t="str">
        <f aca="false">'🤖 Llama-3.1-70b-instruct'!$A$42</f>
        <v>https://www.berria.eus/kultura/mikroipuinak-txikiak-baina-ez-hutsalak_2121931_102.html</v>
      </c>
      <c r="B867" s="9" t="s">
        <v>24</v>
      </c>
      <c r="C867" s="119" t="str">
        <f aca="false">'🤖 Llama-3.1-70b-instruct'!C42</f>
        <v>Base</v>
      </c>
      <c r="D867" s="126" t="n">
        <f aca="false">'🤖 Llama-3.1-70b-instruct'!E42</f>
        <v>0.08131487889</v>
      </c>
      <c r="E867" s="175" t="n">
        <f aca="false">'🤖 Llama-3.1-70b-instruct'!F42</f>
        <v>4</v>
      </c>
      <c r="F867" s="175" t="n">
        <f aca="false">'🤖 Llama-3.1-70b-instruct'!G42</f>
        <v>5</v>
      </c>
      <c r="G867" s="175" t="n">
        <f aca="false">'🤖 Llama-3.1-70b-instruct'!H42</f>
        <v>4</v>
      </c>
      <c r="H867" s="175" t="n">
        <f aca="false">'🤖 Llama-3.1-70b-instruct'!I42</f>
        <v>5</v>
      </c>
      <c r="I867" s="175" t="n">
        <f aca="false">'🤖 Llama-3.1-70b-instruct'!J42</f>
        <v>3</v>
      </c>
    </row>
    <row r="868" customFormat="false" ht="15.75" hidden="false" customHeight="false" outlineLevel="0" collapsed="false">
      <c r="A868" s="118" t="str">
        <f aca="false">'🤖 Llama-3.1-70b-instruct'!$A$42</f>
        <v>https://www.berria.eus/kultura/mikroipuinak-txikiak-baina-ez-hutsalak_2121931_102.html</v>
      </c>
      <c r="B868" s="9" t="s">
        <v>24</v>
      </c>
      <c r="C868" s="119" t="str">
        <f aca="false">'🤖 Llama-3.1-70b-instruct'!C43</f>
        <v>CoT</v>
      </c>
      <c r="D868" s="126" t="n">
        <f aca="false">'🤖 Llama-3.1-70b-instruct'!E43</f>
        <v>0.1470588235</v>
      </c>
      <c r="E868" s="175" t="n">
        <f aca="false">'🤖 Llama-3.1-70b-instruct'!F43</f>
        <v>3</v>
      </c>
      <c r="F868" s="175" t="n">
        <f aca="false">'🤖 Llama-3.1-70b-instruct'!G43</f>
        <v>4</v>
      </c>
      <c r="G868" s="175" t="n">
        <f aca="false">'🤖 Llama-3.1-70b-instruct'!H43</f>
        <v>4</v>
      </c>
      <c r="H868" s="175" t="n">
        <f aca="false">'🤖 Llama-3.1-70b-instruct'!I43</f>
        <v>3</v>
      </c>
      <c r="I868" s="175" t="n">
        <f aca="false">'🤖 Llama-3.1-70b-instruct'!J43</f>
        <v>3</v>
      </c>
    </row>
    <row r="869" customFormat="false" ht="15.75" hidden="false" customHeight="false" outlineLevel="0" collapsed="false">
      <c r="A869" s="118" t="str">
        <f aca="false">'🤖 Llama-3.1-70b-instruct'!$A$42</f>
        <v>https://www.berria.eus/kultura/mikroipuinak-txikiak-baina-ez-hutsalak_2121931_102.html</v>
      </c>
      <c r="B869" s="9" t="s">
        <v>24</v>
      </c>
      <c r="C869" s="119" t="str">
        <f aca="false">'🤖 Llama-3.1-70b-instruct'!C44</f>
        <v>5W1H</v>
      </c>
      <c r="D869" s="172" t="n">
        <f aca="false">'🤖 Llama-3.1-70b-instruct'!E44</f>
        <v>0.1903114187</v>
      </c>
      <c r="E869" s="175" t="n">
        <f aca="false">'🤖 Llama-3.1-70b-instruct'!F44</f>
        <v>3</v>
      </c>
      <c r="F869" s="175" t="n">
        <f aca="false">'🤖 Llama-3.1-70b-instruct'!G44</f>
        <v>5</v>
      </c>
      <c r="G869" s="175" t="n">
        <f aca="false">'🤖 Llama-3.1-70b-instruct'!H44</f>
        <v>4</v>
      </c>
      <c r="H869" s="175" t="n">
        <f aca="false">'🤖 Llama-3.1-70b-instruct'!I44</f>
        <v>4</v>
      </c>
      <c r="I869" s="175" t="n">
        <f aca="false">'🤖 Llama-3.1-70b-instruct'!J44</f>
        <v>4</v>
      </c>
    </row>
    <row r="870" customFormat="false" ht="15.75" hidden="false" customHeight="false" outlineLevel="0" collapsed="false">
      <c r="A870" s="118" t="str">
        <f aca="false">'🤖 Llama-3.1-70b-instruct'!$A$42</f>
        <v>https://www.berria.eus/kultura/mikroipuinak-txikiak-baina-ez-hutsalak_2121931_102.html</v>
      </c>
      <c r="B870" s="9" t="s">
        <v>24</v>
      </c>
      <c r="C870" s="119" t="str">
        <f aca="false">'🤖 Llama-3.1-70b-instruct'!C45</f>
        <v>tldr</v>
      </c>
      <c r="D870" s="142" t="n">
        <f aca="false">'🤖 Llama-3.1-70b-instruct'!E45</f>
        <v>0.09861591696</v>
      </c>
      <c r="E870" s="175" t="n">
        <f aca="false">'🤖 Llama-3.1-70b-instruct'!F45</f>
        <v>5</v>
      </c>
      <c r="F870" s="175" t="n">
        <f aca="false">'🤖 Llama-3.1-70b-instruct'!G45</f>
        <v>5</v>
      </c>
      <c r="G870" s="175" t="n">
        <f aca="false">'🤖 Llama-3.1-70b-instruct'!H45</f>
        <v>4</v>
      </c>
      <c r="H870" s="175" t="n">
        <f aca="false">'🤖 Llama-3.1-70b-instruct'!I45</f>
        <v>5</v>
      </c>
      <c r="I870" s="175" t="n">
        <f aca="false">'🤖 Llama-3.1-70b-instruct'!J45</f>
        <v>3</v>
      </c>
    </row>
    <row r="871" customFormat="false" ht="15.75" hidden="false" customHeight="false" outlineLevel="0" collapsed="false">
      <c r="A871" s="9"/>
      <c r="B871" s="9"/>
      <c r="C871" s="51"/>
      <c r="D871" s="9"/>
      <c r="E871" s="9"/>
      <c r="F871" s="9"/>
      <c r="G871" s="9"/>
      <c r="H871" s="9"/>
      <c r="I871" s="9"/>
    </row>
    <row r="872" customFormat="false" ht="15.75" hidden="false" customHeight="false" outlineLevel="0" collapsed="false">
      <c r="A872" s="118" t="str">
        <f aca="false">'🤖 Llama-3.1-70b-instruct'!$A$47</f>
        <v>https://www.berria.eus/euskal-herria/guardia-zibilak-dio-europako-speed-laborategi-handiena-aurkitu-duela-euskal-herrian_2125543_102.html</v>
      </c>
      <c r="B872" s="9" t="s">
        <v>24</v>
      </c>
      <c r="C872" s="119" t="str">
        <f aca="false">'🤖 Llama-3.1-70b-instruct'!C47</f>
        <v>Base</v>
      </c>
      <c r="D872" s="128" t="n">
        <f aca="false">'🤖 Llama-3.1-70b-instruct'!E47</f>
        <v>0.1904761905</v>
      </c>
      <c r="E872" s="175" t="n">
        <f aca="false">'🤖 Llama-3.1-70b-instruct'!F47</f>
        <v>4</v>
      </c>
      <c r="F872" s="175" t="n">
        <f aca="false">'🤖 Llama-3.1-70b-instruct'!G47</f>
        <v>5</v>
      </c>
      <c r="G872" s="175" t="n">
        <f aca="false">'🤖 Llama-3.1-70b-instruct'!H47</f>
        <v>4</v>
      </c>
      <c r="H872" s="175" t="n">
        <f aca="false">'🤖 Llama-3.1-70b-instruct'!I47</f>
        <v>5</v>
      </c>
      <c r="I872" s="175" t="n">
        <f aca="false">'🤖 Llama-3.1-70b-instruct'!J47</f>
        <v>3</v>
      </c>
    </row>
    <row r="873" customFormat="false" ht="15.75" hidden="false" customHeight="false" outlineLevel="0" collapsed="false">
      <c r="A873" s="118" t="str">
        <f aca="false">'🤖 Llama-3.1-70b-instruct'!$A$47</f>
        <v>https://www.berria.eus/euskal-herria/guardia-zibilak-dio-europako-speed-laborategi-handiena-aurkitu-duela-euskal-herrian_2125543_102.html</v>
      </c>
      <c r="B873" s="9" t="s">
        <v>24</v>
      </c>
      <c r="C873" s="119" t="str">
        <f aca="false">'🤖 Llama-3.1-70b-instruct'!C48</f>
        <v>CoT</v>
      </c>
      <c r="D873" s="159" t="n">
        <f aca="false">'🤖 Llama-3.1-70b-instruct'!E48</f>
        <v>0.3285714286</v>
      </c>
      <c r="E873" s="175" t="n">
        <f aca="false">'🤖 Llama-3.1-70b-instruct'!F48</f>
        <v>3</v>
      </c>
      <c r="F873" s="175" t="n">
        <f aca="false">'🤖 Llama-3.1-70b-instruct'!G48</f>
        <v>5</v>
      </c>
      <c r="G873" s="175" t="n">
        <f aca="false">'🤖 Llama-3.1-70b-instruct'!H48</f>
        <v>3</v>
      </c>
      <c r="H873" s="175" t="n">
        <f aca="false">'🤖 Llama-3.1-70b-instruct'!I48</f>
        <v>4</v>
      </c>
      <c r="I873" s="175" t="n">
        <f aca="false">'🤖 Llama-3.1-70b-instruct'!J48</f>
        <v>3</v>
      </c>
    </row>
    <row r="874" customFormat="false" ht="15.75" hidden="false" customHeight="false" outlineLevel="0" collapsed="false">
      <c r="A874" s="118" t="str">
        <f aca="false">'🤖 Llama-3.1-70b-instruct'!$A$47</f>
        <v>https://www.berria.eus/euskal-herria/guardia-zibilak-dio-europako-speed-laborategi-handiena-aurkitu-duela-euskal-herrian_2125543_102.html</v>
      </c>
      <c r="B874" s="9" t="s">
        <v>24</v>
      </c>
      <c r="C874" s="119" t="str">
        <f aca="false">'🤖 Llama-3.1-70b-instruct'!C49</f>
        <v>5W1H</v>
      </c>
      <c r="D874" s="124" t="n">
        <f aca="false">'🤖 Llama-3.1-70b-instruct'!E49</f>
        <v>0.3571428571</v>
      </c>
      <c r="E874" s="175" t="n">
        <f aca="false">'🤖 Llama-3.1-70b-instruct'!F49</f>
        <v>2</v>
      </c>
      <c r="F874" s="175" t="n">
        <f aca="false">'🤖 Llama-3.1-70b-instruct'!G49</f>
        <v>5</v>
      </c>
      <c r="G874" s="175" t="n">
        <f aca="false">'🤖 Llama-3.1-70b-instruct'!H49</f>
        <v>4</v>
      </c>
      <c r="H874" s="175" t="n">
        <f aca="false">'🤖 Llama-3.1-70b-instruct'!I49</f>
        <v>4</v>
      </c>
      <c r="I874" s="175" t="n">
        <f aca="false">'🤖 Llama-3.1-70b-instruct'!J49</f>
        <v>4</v>
      </c>
    </row>
    <row r="875" customFormat="false" ht="15.75" hidden="false" customHeight="false" outlineLevel="0" collapsed="false">
      <c r="A875" s="118" t="str">
        <f aca="false">'🤖 Llama-3.1-70b-instruct'!$A$47</f>
        <v>https://www.berria.eus/euskal-herria/guardia-zibilak-dio-europako-speed-laborategi-handiena-aurkitu-duela-euskal-herrian_2125543_102.html</v>
      </c>
      <c r="B875" s="9" t="s">
        <v>24</v>
      </c>
      <c r="C875" s="119" t="str">
        <f aca="false">'🤖 Llama-3.1-70b-instruct'!C50</f>
        <v>tldr</v>
      </c>
      <c r="D875" s="143" t="n">
        <f aca="false">'🤖 Llama-3.1-70b-instruct'!E50</f>
        <v>0.2428571429</v>
      </c>
      <c r="E875" s="175" t="n">
        <f aca="false">'🤖 Llama-3.1-70b-instruct'!F50</f>
        <v>4</v>
      </c>
      <c r="F875" s="175" t="n">
        <f aca="false">'🤖 Llama-3.1-70b-instruct'!G50</f>
        <v>5</v>
      </c>
      <c r="G875" s="175" t="n">
        <f aca="false">'🤖 Llama-3.1-70b-instruct'!H50</f>
        <v>5</v>
      </c>
      <c r="H875" s="175" t="n">
        <f aca="false">'🤖 Llama-3.1-70b-instruct'!I50</f>
        <v>5</v>
      </c>
      <c r="I875" s="175" t="n">
        <f aca="false">'🤖 Llama-3.1-70b-instruct'!J50</f>
        <v>3</v>
      </c>
    </row>
    <row r="876" customFormat="false" ht="15.75" hidden="false" customHeight="false" outlineLevel="0" collapsed="false">
      <c r="A876" s="118"/>
      <c r="B876" s="9"/>
      <c r="C876" s="6"/>
      <c r="D876" s="143"/>
      <c r="E876" s="4"/>
      <c r="F876" s="4"/>
      <c r="G876" s="4"/>
      <c r="H876" s="4"/>
      <c r="I876" s="4"/>
    </row>
    <row r="877" customFormat="false" ht="15.75" hidden="false" customHeight="false" outlineLevel="0" collapsed="false">
      <c r="A877" s="118" t="n">
        <f aca="false">'🤖 Llama-3.1-70b-instruct'!$A$52</f>
        <v>0</v>
      </c>
      <c r="B877" s="9" t="s">
        <v>24</v>
      </c>
      <c r="C877" s="119" t="str">
        <f aca="false">'🤖 Llama-3.1-70b-instruct'!C52</f>
        <v>Base</v>
      </c>
      <c r="D877" s="143" t="n">
        <f aca="false">'🤖 Llama-3.1-70b-instruct'!E52</f>
        <v>0.004761904762</v>
      </c>
      <c r="E877" s="175" t="n">
        <f aca="false">'🤖 Llama-3.1-70b-instruct'!F52</f>
        <v>0</v>
      </c>
      <c r="F877" s="175" t="n">
        <f aca="false">'🤖 Llama-3.1-70b-instruct'!G52</f>
        <v>0</v>
      </c>
      <c r="G877" s="175" t="n">
        <f aca="false">'🤖 Llama-3.1-70b-instruct'!H52</f>
        <v>0</v>
      </c>
      <c r="H877" s="175" t="n">
        <f aca="false">'🤖 Llama-3.1-70b-instruct'!I52</f>
        <v>0</v>
      </c>
      <c r="I877" s="175" t="n">
        <f aca="false">'🤖 Llama-3.1-70b-instruct'!J52</f>
        <v>0</v>
      </c>
    </row>
    <row r="878" customFormat="false" ht="15.75" hidden="false" customHeight="false" outlineLevel="0" collapsed="false">
      <c r="A878" s="118" t="n">
        <f aca="false">'🤖 Llama-3.1-70b-instruct'!$A$52</f>
        <v>0</v>
      </c>
      <c r="B878" s="9" t="s">
        <v>24</v>
      </c>
      <c r="C878" s="119" t="str">
        <f aca="false">'🤖 Llama-3.1-70b-instruct'!C53</f>
        <v>CoT</v>
      </c>
      <c r="D878" s="143" t="n">
        <f aca="false">'🤖 Llama-3.1-70b-instruct'!E53</f>
        <v>0.004761904762</v>
      </c>
      <c r="E878" s="175" t="n">
        <f aca="false">'🤖 Llama-3.1-70b-instruct'!F53</f>
        <v>0</v>
      </c>
      <c r="F878" s="175" t="n">
        <f aca="false">'🤖 Llama-3.1-70b-instruct'!G53</f>
        <v>0</v>
      </c>
      <c r="G878" s="175" t="n">
        <f aca="false">'🤖 Llama-3.1-70b-instruct'!H53</f>
        <v>0</v>
      </c>
      <c r="H878" s="175" t="n">
        <f aca="false">'🤖 Llama-3.1-70b-instruct'!I53</f>
        <v>0</v>
      </c>
      <c r="I878" s="175" t="n">
        <f aca="false">'🤖 Llama-3.1-70b-instruct'!J53</f>
        <v>0</v>
      </c>
    </row>
    <row r="879" customFormat="false" ht="15.75" hidden="false" customHeight="false" outlineLevel="0" collapsed="false">
      <c r="A879" s="118" t="n">
        <f aca="false">'🤖 Llama-3.1-70b-instruct'!$A$52</f>
        <v>0</v>
      </c>
      <c r="B879" s="9" t="s">
        <v>24</v>
      </c>
      <c r="C879" s="119" t="str">
        <f aca="false">'🤖 Llama-3.1-70b-instruct'!C54</f>
        <v>5W1H</v>
      </c>
      <c r="D879" s="143" t="n">
        <f aca="false">'🤖 Llama-3.1-70b-instruct'!E54</f>
        <v>0.004761904762</v>
      </c>
      <c r="E879" s="175" t="n">
        <f aca="false">'🤖 Llama-3.1-70b-instruct'!F54</f>
        <v>0</v>
      </c>
      <c r="F879" s="175" t="n">
        <f aca="false">'🤖 Llama-3.1-70b-instruct'!G54</f>
        <v>0</v>
      </c>
      <c r="G879" s="175" t="n">
        <f aca="false">'🤖 Llama-3.1-70b-instruct'!H54</f>
        <v>0</v>
      </c>
      <c r="H879" s="175" t="n">
        <f aca="false">'🤖 Llama-3.1-70b-instruct'!I54</f>
        <v>0</v>
      </c>
      <c r="I879" s="175" t="n">
        <f aca="false">'🤖 Llama-3.1-70b-instruct'!J54</f>
        <v>0</v>
      </c>
    </row>
    <row r="880" customFormat="false" ht="15.75" hidden="false" customHeight="false" outlineLevel="0" collapsed="false">
      <c r="A880" s="118" t="n">
        <f aca="false">'🤖 Llama-3.1-70b-instruct'!$A$52</f>
        <v>0</v>
      </c>
      <c r="B880" s="9" t="s">
        <v>24</v>
      </c>
      <c r="C880" s="119" t="str">
        <f aca="false">'🤖 Llama-3.1-70b-instruct'!C55</f>
        <v>tldr</v>
      </c>
      <c r="D880" s="143" t="n">
        <f aca="false">'🤖 Llama-3.1-70b-instruct'!E55</f>
        <v>0.004761904762</v>
      </c>
      <c r="E880" s="175" t="n">
        <f aca="false">'🤖 Llama-3.1-70b-instruct'!F55</f>
        <v>0</v>
      </c>
      <c r="F880" s="175" t="n">
        <f aca="false">'🤖 Llama-3.1-70b-instruct'!G55</f>
        <v>0</v>
      </c>
      <c r="G880" s="175" t="n">
        <f aca="false">'🤖 Llama-3.1-70b-instruct'!H55</f>
        <v>0</v>
      </c>
      <c r="H880" s="175" t="n">
        <f aca="false">'🤖 Llama-3.1-70b-instruct'!I55</f>
        <v>0</v>
      </c>
      <c r="I880" s="175" t="n">
        <f aca="false">'🤖 Llama-3.1-70b-instruct'!J55</f>
        <v>0</v>
      </c>
    </row>
    <row r="881" customFormat="false" ht="15.75" hidden="false" customHeight="false" outlineLevel="0" collapsed="false">
      <c r="A881" s="118"/>
      <c r="B881" s="9"/>
      <c r="C881" s="6"/>
      <c r="D881" s="143"/>
      <c r="E881" s="4"/>
      <c r="F881" s="4"/>
      <c r="G881" s="4"/>
      <c r="H881" s="4"/>
      <c r="I881" s="4"/>
    </row>
    <row r="882" customFormat="false" ht="15.75" hidden="false" customHeight="false" outlineLevel="0" collapsed="false">
      <c r="A882" s="118" t="n">
        <f aca="false">'🤖 Llama-3.1-70b-instruct'!$A$57</f>
        <v>0</v>
      </c>
      <c r="B882" s="9" t="s">
        <v>24</v>
      </c>
      <c r="C882" s="119" t="str">
        <f aca="false">'🤖 Llama-3.1-70b-instruct'!C57</f>
        <v>Base</v>
      </c>
      <c r="D882" s="143" t="n">
        <f aca="false">'🤖 Llama-3.1-70b-instruct'!E57</f>
        <v>0.004761904762</v>
      </c>
      <c r="E882" s="175" t="n">
        <f aca="false">'🤖 Llama-3.1-70b-instruct'!F57</f>
        <v>0</v>
      </c>
      <c r="F882" s="175" t="n">
        <f aca="false">'🤖 Llama-3.1-70b-instruct'!G57</f>
        <v>0</v>
      </c>
      <c r="G882" s="175" t="n">
        <f aca="false">'🤖 Llama-3.1-70b-instruct'!H57</f>
        <v>0</v>
      </c>
      <c r="H882" s="175" t="n">
        <f aca="false">'🤖 Llama-3.1-70b-instruct'!I57</f>
        <v>0</v>
      </c>
      <c r="I882" s="175" t="n">
        <f aca="false">'🤖 Llama-3.1-70b-instruct'!J57</f>
        <v>0</v>
      </c>
    </row>
    <row r="883" customFormat="false" ht="15.75" hidden="false" customHeight="false" outlineLevel="0" collapsed="false">
      <c r="A883" s="118" t="n">
        <f aca="false">'🤖 Llama-3.1-70b-instruct'!$A$57</f>
        <v>0</v>
      </c>
      <c r="B883" s="9" t="s">
        <v>24</v>
      </c>
      <c r="C883" s="119" t="str">
        <f aca="false">'🤖 Llama-3.1-70b-instruct'!C58</f>
        <v>CoT</v>
      </c>
      <c r="D883" s="143" t="n">
        <f aca="false">'🤖 Llama-3.1-70b-instruct'!E58</f>
        <v>0.004761904762</v>
      </c>
      <c r="E883" s="175" t="n">
        <f aca="false">'🤖 Llama-3.1-70b-instruct'!F58</f>
        <v>0</v>
      </c>
      <c r="F883" s="175" t="n">
        <f aca="false">'🤖 Llama-3.1-70b-instruct'!G58</f>
        <v>0</v>
      </c>
      <c r="G883" s="175" t="n">
        <f aca="false">'🤖 Llama-3.1-70b-instruct'!H58</f>
        <v>0</v>
      </c>
      <c r="H883" s="175" t="n">
        <f aca="false">'🤖 Llama-3.1-70b-instruct'!I58</f>
        <v>0</v>
      </c>
      <c r="I883" s="175" t="n">
        <f aca="false">'🤖 Llama-3.1-70b-instruct'!J58</f>
        <v>0</v>
      </c>
    </row>
    <row r="884" customFormat="false" ht="15.75" hidden="false" customHeight="false" outlineLevel="0" collapsed="false">
      <c r="A884" s="118" t="n">
        <f aca="false">'🤖 Llama-3.1-70b-instruct'!$A$57</f>
        <v>0</v>
      </c>
      <c r="B884" s="9" t="s">
        <v>24</v>
      </c>
      <c r="C884" s="119" t="str">
        <f aca="false">'🤖 Llama-3.1-70b-instruct'!C59</f>
        <v>5W1H</v>
      </c>
      <c r="D884" s="143" t="n">
        <f aca="false">'🤖 Llama-3.1-70b-instruct'!E59</f>
        <v>0.004761904762</v>
      </c>
      <c r="E884" s="175" t="n">
        <f aca="false">'🤖 Llama-3.1-70b-instruct'!F59</f>
        <v>0</v>
      </c>
      <c r="F884" s="175" t="n">
        <f aca="false">'🤖 Llama-3.1-70b-instruct'!G59</f>
        <v>0</v>
      </c>
      <c r="G884" s="175" t="n">
        <f aca="false">'🤖 Llama-3.1-70b-instruct'!H59</f>
        <v>0</v>
      </c>
      <c r="H884" s="175" t="n">
        <f aca="false">'🤖 Llama-3.1-70b-instruct'!I59</f>
        <v>0</v>
      </c>
      <c r="I884" s="175" t="n">
        <f aca="false">'🤖 Llama-3.1-70b-instruct'!J59</f>
        <v>0</v>
      </c>
    </row>
    <row r="885" customFormat="false" ht="15.75" hidden="false" customHeight="false" outlineLevel="0" collapsed="false">
      <c r="A885" s="118" t="n">
        <f aca="false">'🤖 Llama-3.1-70b-instruct'!$A$57</f>
        <v>0</v>
      </c>
      <c r="B885" s="9" t="s">
        <v>24</v>
      </c>
      <c r="C885" s="119" t="str">
        <f aca="false">'🤖 Llama-3.1-70b-instruct'!C60</f>
        <v>tldr</v>
      </c>
      <c r="D885" s="143" t="n">
        <f aca="false">'🤖 Llama-3.1-70b-instruct'!E60</f>
        <v>0.004761904762</v>
      </c>
      <c r="E885" s="175" t="n">
        <f aca="false">'🤖 Llama-3.1-70b-instruct'!F60</f>
        <v>0</v>
      </c>
      <c r="F885" s="175" t="n">
        <f aca="false">'🤖 Llama-3.1-70b-instruct'!G60</f>
        <v>0</v>
      </c>
      <c r="G885" s="175" t="n">
        <f aca="false">'🤖 Llama-3.1-70b-instruct'!H60</f>
        <v>0</v>
      </c>
      <c r="H885" s="175" t="n">
        <f aca="false">'🤖 Llama-3.1-70b-instruct'!I60</f>
        <v>0</v>
      </c>
      <c r="I885" s="175" t="n">
        <f aca="false">'🤖 Llama-3.1-70b-instruct'!J60</f>
        <v>0</v>
      </c>
    </row>
    <row r="886" customFormat="false" ht="15.75" hidden="false" customHeight="false" outlineLevel="0" collapsed="false">
      <c r="A886" s="118"/>
      <c r="B886" s="9"/>
      <c r="C886" s="6"/>
      <c r="D886" s="143"/>
      <c r="E886" s="4"/>
      <c r="F886" s="4"/>
      <c r="G886" s="4"/>
      <c r="H886" s="4"/>
      <c r="I886" s="4"/>
    </row>
    <row r="887" customFormat="false" ht="15.75" hidden="false" customHeight="false" outlineLevel="0" collapsed="false">
      <c r="A887" s="118" t="n">
        <f aca="false">'🤖 Llama-3.1-70b-instruct'!$A$62</f>
        <v>0</v>
      </c>
      <c r="B887" s="9" t="s">
        <v>24</v>
      </c>
      <c r="C887" s="119" t="str">
        <f aca="false">'🤖 Llama-3.1-70b-instruct'!C62</f>
        <v>Base</v>
      </c>
      <c r="D887" s="143" t="n">
        <f aca="false">'🤖 Llama-3.1-70b-instruct'!E62</f>
        <v>0.004761904762</v>
      </c>
      <c r="E887" s="175" t="n">
        <f aca="false">'🤖 Llama-3.1-70b-instruct'!F62</f>
        <v>0</v>
      </c>
      <c r="F887" s="175" t="n">
        <f aca="false">'🤖 Llama-3.1-70b-instruct'!G62</f>
        <v>0</v>
      </c>
      <c r="G887" s="175" t="n">
        <f aca="false">'🤖 Llama-3.1-70b-instruct'!H62</f>
        <v>0</v>
      </c>
      <c r="H887" s="175" t="n">
        <f aca="false">'🤖 Llama-3.1-70b-instruct'!I62</f>
        <v>0</v>
      </c>
      <c r="I887" s="175" t="n">
        <f aca="false">'🤖 Llama-3.1-70b-instruct'!J62</f>
        <v>0</v>
      </c>
    </row>
    <row r="888" customFormat="false" ht="15.75" hidden="false" customHeight="false" outlineLevel="0" collapsed="false">
      <c r="A888" s="118" t="n">
        <f aca="false">'🤖 Llama-3.1-70b-instruct'!$A$62</f>
        <v>0</v>
      </c>
      <c r="B888" s="9" t="s">
        <v>24</v>
      </c>
      <c r="C888" s="119" t="str">
        <f aca="false">'🤖 Llama-3.1-70b-instruct'!C63</f>
        <v>CoT</v>
      </c>
      <c r="D888" s="143" t="n">
        <f aca="false">'🤖 Llama-3.1-70b-instruct'!E63</f>
        <v>0.004761904762</v>
      </c>
      <c r="E888" s="175" t="n">
        <f aca="false">'🤖 Llama-3.1-70b-instruct'!F63</f>
        <v>0</v>
      </c>
      <c r="F888" s="175" t="n">
        <f aca="false">'🤖 Llama-3.1-70b-instruct'!G63</f>
        <v>0</v>
      </c>
      <c r="G888" s="175" t="n">
        <f aca="false">'🤖 Llama-3.1-70b-instruct'!H63</f>
        <v>0</v>
      </c>
      <c r="H888" s="175" t="n">
        <f aca="false">'🤖 Llama-3.1-70b-instruct'!I63</f>
        <v>0</v>
      </c>
      <c r="I888" s="175" t="n">
        <f aca="false">'🤖 Llama-3.1-70b-instruct'!J63</f>
        <v>0</v>
      </c>
    </row>
    <row r="889" customFormat="false" ht="15.75" hidden="false" customHeight="false" outlineLevel="0" collapsed="false">
      <c r="A889" s="118" t="n">
        <f aca="false">'🤖 Llama-3.1-70b-instruct'!$A$62</f>
        <v>0</v>
      </c>
      <c r="B889" s="9" t="s">
        <v>24</v>
      </c>
      <c r="C889" s="119" t="str">
        <f aca="false">'🤖 Llama-3.1-70b-instruct'!C64</f>
        <v>5W1H</v>
      </c>
      <c r="D889" s="143" t="n">
        <f aca="false">'🤖 Llama-3.1-70b-instruct'!E64</f>
        <v>0.004761904762</v>
      </c>
      <c r="E889" s="175" t="n">
        <f aca="false">'🤖 Llama-3.1-70b-instruct'!F64</f>
        <v>0</v>
      </c>
      <c r="F889" s="175" t="n">
        <f aca="false">'🤖 Llama-3.1-70b-instruct'!G64</f>
        <v>0</v>
      </c>
      <c r="G889" s="175" t="n">
        <f aca="false">'🤖 Llama-3.1-70b-instruct'!H64</f>
        <v>0</v>
      </c>
      <c r="H889" s="175" t="n">
        <f aca="false">'🤖 Llama-3.1-70b-instruct'!I64</f>
        <v>0</v>
      </c>
      <c r="I889" s="175" t="n">
        <f aca="false">'🤖 Llama-3.1-70b-instruct'!J64</f>
        <v>0</v>
      </c>
    </row>
    <row r="890" customFormat="false" ht="15.75" hidden="false" customHeight="false" outlineLevel="0" collapsed="false">
      <c r="A890" s="118" t="n">
        <f aca="false">'🤖 Llama-3.1-70b-instruct'!$A$62</f>
        <v>0</v>
      </c>
      <c r="B890" s="9" t="s">
        <v>24</v>
      </c>
      <c r="C890" s="119" t="str">
        <f aca="false">'🤖 Llama-3.1-70b-instruct'!C65</f>
        <v>tldr</v>
      </c>
      <c r="D890" s="143" t="n">
        <f aca="false">'🤖 Llama-3.1-70b-instruct'!E65</f>
        <v>0.004761904762</v>
      </c>
      <c r="E890" s="175" t="n">
        <f aca="false">'🤖 Llama-3.1-70b-instruct'!F65</f>
        <v>0</v>
      </c>
      <c r="F890" s="175" t="n">
        <f aca="false">'🤖 Llama-3.1-70b-instruct'!G65</f>
        <v>0</v>
      </c>
      <c r="G890" s="175" t="n">
        <f aca="false">'🤖 Llama-3.1-70b-instruct'!H65</f>
        <v>0</v>
      </c>
      <c r="H890" s="175" t="n">
        <f aca="false">'🤖 Llama-3.1-70b-instruct'!I65</f>
        <v>0</v>
      </c>
      <c r="I890" s="175" t="n">
        <f aca="false">'🤖 Llama-3.1-70b-instruct'!J65</f>
        <v>0</v>
      </c>
    </row>
    <row r="891" customFormat="false" ht="15.75" hidden="false" customHeight="false" outlineLevel="0" collapsed="false">
      <c r="A891" s="118"/>
      <c r="B891" s="9"/>
      <c r="C891" s="6"/>
      <c r="D891" s="143"/>
      <c r="E891" s="4"/>
      <c r="F891" s="4"/>
      <c r="G891" s="4"/>
      <c r="H891" s="4"/>
      <c r="I891" s="4"/>
    </row>
    <row r="892" customFormat="false" ht="15.75" hidden="false" customHeight="false" outlineLevel="0" collapsed="false">
      <c r="A892" s="118" t="n">
        <f aca="false">'🤖 Llama-3.1-70b-instruct'!$A$67</f>
        <v>0</v>
      </c>
      <c r="B892" s="9" t="s">
        <v>24</v>
      </c>
      <c r="C892" s="119" t="str">
        <f aca="false">'🤖 Llama-3.1-70b-instruct'!C67</f>
        <v>Base</v>
      </c>
      <c r="D892" s="143" t="n">
        <f aca="false">'🤖 Llama-3.1-70b-instruct'!E67</f>
        <v>0.004761904762</v>
      </c>
      <c r="E892" s="175" t="n">
        <f aca="false">'🤖 Llama-3.1-70b-instruct'!F67</f>
        <v>0</v>
      </c>
      <c r="F892" s="175" t="n">
        <f aca="false">'🤖 Llama-3.1-70b-instruct'!G67</f>
        <v>0</v>
      </c>
      <c r="G892" s="175" t="n">
        <f aca="false">'🤖 Llama-3.1-70b-instruct'!H67</f>
        <v>0</v>
      </c>
      <c r="H892" s="175" t="n">
        <f aca="false">'🤖 Llama-3.1-70b-instruct'!I67</f>
        <v>0</v>
      </c>
      <c r="I892" s="175" t="n">
        <f aca="false">'🤖 Llama-3.1-70b-instruct'!J67</f>
        <v>0</v>
      </c>
    </row>
    <row r="893" customFormat="false" ht="15.75" hidden="false" customHeight="false" outlineLevel="0" collapsed="false">
      <c r="A893" s="118" t="n">
        <f aca="false">'🤖 Llama-3.1-70b-instruct'!$A$67</f>
        <v>0</v>
      </c>
      <c r="B893" s="9" t="s">
        <v>24</v>
      </c>
      <c r="C893" s="119" t="str">
        <f aca="false">'🤖 Llama-3.1-70b-instruct'!C68</f>
        <v>CoT</v>
      </c>
      <c r="D893" s="143" t="n">
        <f aca="false">'🤖 Llama-3.1-70b-instruct'!E68</f>
        <v>0.004761904762</v>
      </c>
      <c r="E893" s="175" t="n">
        <f aca="false">'🤖 Llama-3.1-70b-instruct'!F68</f>
        <v>0</v>
      </c>
      <c r="F893" s="175" t="n">
        <f aca="false">'🤖 Llama-3.1-70b-instruct'!G68</f>
        <v>0</v>
      </c>
      <c r="G893" s="175" t="n">
        <f aca="false">'🤖 Llama-3.1-70b-instruct'!H68</f>
        <v>0</v>
      </c>
      <c r="H893" s="175" t="n">
        <f aca="false">'🤖 Llama-3.1-70b-instruct'!I68</f>
        <v>0</v>
      </c>
      <c r="I893" s="175" t="n">
        <f aca="false">'🤖 Llama-3.1-70b-instruct'!J68</f>
        <v>0</v>
      </c>
    </row>
    <row r="894" customFormat="false" ht="15.75" hidden="false" customHeight="false" outlineLevel="0" collapsed="false">
      <c r="A894" s="118" t="n">
        <f aca="false">'🤖 Llama-3.1-70b-instruct'!$A$67</f>
        <v>0</v>
      </c>
      <c r="B894" s="9" t="s">
        <v>24</v>
      </c>
      <c r="C894" s="119" t="str">
        <f aca="false">'🤖 Llama-3.1-70b-instruct'!C69</f>
        <v>5W1H</v>
      </c>
      <c r="D894" s="143" t="n">
        <f aca="false">'🤖 Llama-3.1-70b-instruct'!E69</f>
        <v>0.004761904762</v>
      </c>
      <c r="E894" s="175" t="n">
        <f aca="false">'🤖 Llama-3.1-70b-instruct'!F69</f>
        <v>0</v>
      </c>
      <c r="F894" s="175" t="n">
        <f aca="false">'🤖 Llama-3.1-70b-instruct'!G69</f>
        <v>0</v>
      </c>
      <c r="G894" s="175" t="n">
        <f aca="false">'🤖 Llama-3.1-70b-instruct'!H69</f>
        <v>0</v>
      </c>
      <c r="H894" s="175" t="n">
        <f aca="false">'🤖 Llama-3.1-70b-instruct'!I69</f>
        <v>0</v>
      </c>
      <c r="I894" s="175" t="n">
        <f aca="false">'🤖 Llama-3.1-70b-instruct'!J69</f>
        <v>0</v>
      </c>
    </row>
    <row r="895" customFormat="false" ht="15.75" hidden="false" customHeight="false" outlineLevel="0" collapsed="false">
      <c r="A895" s="118" t="n">
        <f aca="false">'🤖 Llama-3.1-70b-instruct'!$A$67</f>
        <v>0</v>
      </c>
      <c r="B895" s="9" t="s">
        <v>24</v>
      </c>
      <c r="C895" s="119" t="str">
        <f aca="false">'🤖 Llama-3.1-70b-instruct'!C70</f>
        <v>tldr</v>
      </c>
      <c r="D895" s="143" t="n">
        <f aca="false">'🤖 Llama-3.1-70b-instruct'!E70</f>
        <v>0.004761904762</v>
      </c>
      <c r="E895" s="175" t="n">
        <f aca="false">'🤖 Llama-3.1-70b-instruct'!F70</f>
        <v>0</v>
      </c>
      <c r="F895" s="175" t="n">
        <f aca="false">'🤖 Llama-3.1-70b-instruct'!G70</f>
        <v>0</v>
      </c>
      <c r="G895" s="175" t="n">
        <f aca="false">'🤖 Llama-3.1-70b-instruct'!H70</f>
        <v>0</v>
      </c>
      <c r="H895" s="175" t="n">
        <f aca="false">'🤖 Llama-3.1-70b-instruct'!I70</f>
        <v>0</v>
      </c>
      <c r="I895" s="175" t="n">
        <f aca="false">'🤖 Llama-3.1-70b-instruct'!J70</f>
        <v>0</v>
      </c>
    </row>
    <row r="896" customFormat="false" ht="15.75" hidden="false" customHeight="false" outlineLevel="0" collapsed="false">
      <c r="A896" s="118"/>
      <c r="B896" s="9"/>
      <c r="C896" s="6"/>
      <c r="D896" s="143"/>
      <c r="E896" s="4"/>
      <c r="F896" s="4"/>
      <c r="G896" s="4"/>
      <c r="H896" s="4"/>
      <c r="I896" s="4"/>
    </row>
    <row r="897" customFormat="false" ht="15.75" hidden="false" customHeight="false" outlineLevel="0" collapsed="false">
      <c r="A897" s="118" t="n">
        <f aca="false">'🤖 Llama-3.1-70b-instruct'!$A$72</f>
        <v>0</v>
      </c>
      <c r="B897" s="9" t="s">
        <v>24</v>
      </c>
      <c r="C897" s="119" t="str">
        <f aca="false">'🤖 Llama-3.1-70b-instruct'!C72</f>
        <v>Base</v>
      </c>
      <c r="D897" s="143" t="n">
        <f aca="false">'🤖 Llama-3.1-70b-instruct'!E72</f>
        <v>0.004761904762</v>
      </c>
      <c r="E897" s="175" t="n">
        <f aca="false">'🤖 Llama-3.1-70b-instruct'!F72</f>
        <v>0</v>
      </c>
      <c r="F897" s="175" t="n">
        <f aca="false">'🤖 Llama-3.1-70b-instruct'!G72</f>
        <v>0</v>
      </c>
      <c r="G897" s="175" t="n">
        <f aca="false">'🤖 Llama-3.1-70b-instruct'!H72</f>
        <v>0</v>
      </c>
      <c r="H897" s="175" t="n">
        <f aca="false">'🤖 Llama-3.1-70b-instruct'!I72</f>
        <v>0</v>
      </c>
      <c r="I897" s="175" t="n">
        <f aca="false">'🤖 Llama-3.1-70b-instruct'!J72</f>
        <v>0</v>
      </c>
    </row>
    <row r="898" customFormat="false" ht="15.75" hidden="false" customHeight="false" outlineLevel="0" collapsed="false">
      <c r="A898" s="118" t="n">
        <f aca="false">'🤖 Llama-3.1-70b-instruct'!$A$72</f>
        <v>0</v>
      </c>
      <c r="B898" s="9" t="s">
        <v>24</v>
      </c>
      <c r="C898" s="119" t="str">
        <f aca="false">'🤖 Llama-3.1-70b-instruct'!C73</f>
        <v>CoT</v>
      </c>
      <c r="D898" s="143" t="n">
        <f aca="false">'🤖 Llama-3.1-70b-instruct'!E73</f>
        <v>0.004761904762</v>
      </c>
      <c r="E898" s="175" t="n">
        <f aca="false">'🤖 Llama-3.1-70b-instruct'!F73</f>
        <v>0</v>
      </c>
      <c r="F898" s="175" t="n">
        <f aca="false">'🤖 Llama-3.1-70b-instruct'!G73</f>
        <v>0</v>
      </c>
      <c r="G898" s="175" t="n">
        <f aca="false">'🤖 Llama-3.1-70b-instruct'!H73</f>
        <v>0</v>
      </c>
      <c r="H898" s="175" t="n">
        <f aca="false">'🤖 Llama-3.1-70b-instruct'!I73</f>
        <v>0</v>
      </c>
      <c r="I898" s="175" t="n">
        <f aca="false">'🤖 Llama-3.1-70b-instruct'!J73</f>
        <v>0</v>
      </c>
    </row>
    <row r="899" customFormat="false" ht="15.75" hidden="false" customHeight="false" outlineLevel="0" collapsed="false">
      <c r="A899" s="118" t="n">
        <f aca="false">'🤖 Llama-3.1-70b-instruct'!$A$72</f>
        <v>0</v>
      </c>
      <c r="B899" s="9" t="s">
        <v>24</v>
      </c>
      <c r="C899" s="119" t="str">
        <f aca="false">'🤖 Llama-3.1-70b-instruct'!C74</f>
        <v>5W1H</v>
      </c>
      <c r="D899" s="143" t="n">
        <f aca="false">'🤖 Llama-3.1-70b-instruct'!E74</f>
        <v>0.004761904762</v>
      </c>
      <c r="E899" s="175" t="n">
        <f aca="false">'🤖 Llama-3.1-70b-instruct'!F74</f>
        <v>0</v>
      </c>
      <c r="F899" s="175" t="n">
        <f aca="false">'🤖 Llama-3.1-70b-instruct'!G74</f>
        <v>0</v>
      </c>
      <c r="G899" s="175" t="n">
        <f aca="false">'🤖 Llama-3.1-70b-instruct'!H74</f>
        <v>0</v>
      </c>
      <c r="H899" s="175" t="n">
        <f aca="false">'🤖 Llama-3.1-70b-instruct'!I74</f>
        <v>0</v>
      </c>
      <c r="I899" s="175" t="n">
        <f aca="false">'🤖 Llama-3.1-70b-instruct'!J74</f>
        <v>0</v>
      </c>
    </row>
    <row r="900" customFormat="false" ht="15.75" hidden="false" customHeight="false" outlineLevel="0" collapsed="false">
      <c r="A900" s="118" t="n">
        <f aca="false">'🤖 Llama-3.1-70b-instruct'!$A$72</f>
        <v>0</v>
      </c>
      <c r="B900" s="9" t="s">
        <v>24</v>
      </c>
      <c r="C900" s="119" t="str">
        <f aca="false">'🤖 Llama-3.1-70b-instruct'!C75</f>
        <v>tldr</v>
      </c>
      <c r="D900" s="143" t="n">
        <f aca="false">'🤖 Llama-3.1-70b-instruct'!E75</f>
        <v>0.004761904762</v>
      </c>
      <c r="E900" s="175" t="n">
        <f aca="false">'🤖 Llama-3.1-70b-instruct'!F75</f>
        <v>0</v>
      </c>
      <c r="F900" s="175" t="n">
        <f aca="false">'🤖 Llama-3.1-70b-instruct'!G75</f>
        <v>0</v>
      </c>
      <c r="G900" s="175" t="n">
        <f aca="false">'🤖 Llama-3.1-70b-instruct'!H75</f>
        <v>0</v>
      </c>
      <c r="H900" s="175" t="n">
        <f aca="false">'🤖 Llama-3.1-70b-instruct'!I75</f>
        <v>0</v>
      </c>
      <c r="I900" s="175" t="n">
        <f aca="false">'🤖 Llama-3.1-70b-instruct'!J75</f>
        <v>0</v>
      </c>
    </row>
    <row r="901" customFormat="false" ht="15.75" hidden="false" customHeight="false" outlineLevel="0" collapsed="false">
      <c r="A901" s="118"/>
      <c r="B901" s="9"/>
      <c r="C901" s="6"/>
      <c r="D901" s="143"/>
      <c r="E901" s="4"/>
      <c r="F901" s="4"/>
      <c r="G901" s="4"/>
      <c r="H901" s="4"/>
      <c r="I901" s="4"/>
    </row>
    <row r="902" customFormat="false" ht="15.75" hidden="false" customHeight="false" outlineLevel="0" collapsed="false">
      <c r="A902" s="118" t="n">
        <f aca="false">'🤖 Llama-3.1-70b-instruct'!$A$77</f>
        <v>0</v>
      </c>
      <c r="B902" s="9" t="s">
        <v>24</v>
      </c>
      <c r="C902" s="119" t="str">
        <f aca="false">'🤖 Llama-3.1-70b-instruct'!C77</f>
        <v>Base</v>
      </c>
      <c r="D902" s="143" t="n">
        <f aca="false">'🤖 Llama-3.1-70b-instruct'!E77</f>
        <v>0.004761904762</v>
      </c>
      <c r="E902" s="175" t="n">
        <f aca="false">'🤖 Llama-3.1-70b-instruct'!F77</f>
        <v>0</v>
      </c>
      <c r="F902" s="175" t="n">
        <f aca="false">'🤖 Llama-3.1-70b-instruct'!G77</f>
        <v>0</v>
      </c>
      <c r="G902" s="175" t="n">
        <f aca="false">'🤖 Llama-3.1-70b-instruct'!H77</f>
        <v>0</v>
      </c>
      <c r="H902" s="175" t="n">
        <f aca="false">'🤖 Llama-3.1-70b-instruct'!I77</f>
        <v>0</v>
      </c>
      <c r="I902" s="175" t="n">
        <f aca="false">'🤖 Llama-3.1-70b-instruct'!J77</f>
        <v>0</v>
      </c>
    </row>
    <row r="903" customFormat="false" ht="15.75" hidden="false" customHeight="false" outlineLevel="0" collapsed="false">
      <c r="A903" s="118" t="n">
        <f aca="false">'🤖 Llama-3.1-70b-instruct'!$A$77</f>
        <v>0</v>
      </c>
      <c r="B903" s="9" t="s">
        <v>24</v>
      </c>
      <c r="C903" s="119" t="str">
        <f aca="false">'🤖 Llama-3.1-70b-instruct'!C78</f>
        <v>CoT</v>
      </c>
      <c r="D903" s="143" t="n">
        <f aca="false">'🤖 Llama-3.1-70b-instruct'!E78</f>
        <v>0.004761904762</v>
      </c>
      <c r="E903" s="175" t="n">
        <f aca="false">'🤖 Llama-3.1-70b-instruct'!F78</f>
        <v>0</v>
      </c>
      <c r="F903" s="175" t="n">
        <f aca="false">'🤖 Llama-3.1-70b-instruct'!G78</f>
        <v>0</v>
      </c>
      <c r="G903" s="175" t="n">
        <f aca="false">'🤖 Llama-3.1-70b-instruct'!H78</f>
        <v>0</v>
      </c>
      <c r="H903" s="175" t="n">
        <f aca="false">'🤖 Llama-3.1-70b-instruct'!I78</f>
        <v>0</v>
      </c>
      <c r="I903" s="175" t="n">
        <f aca="false">'🤖 Llama-3.1-70b-instruct'!J78</f>
        <v>0</v>
      </c>
    </row>
    <row r="904" customFormat="false" ht="15.75" hidden="false" customHeight="false" outlineLevel="0" collapsed="false">
      <c r="A904" s="118" t="n">
        <f aca="false">'🤖 Llama-3.1-70b-instruct'!$A$77</f>
        <v>0</v>
      </c>
      <c r="B904" s="9" t="s">
        <v>24</v>
      </c>
      <c r="C904" s="119" t="str">
        <f aca="false">'🤖 Llama-3.1-70b-instruct'!C79</f>
        <v>5W1H</v>
      </c>
      <c r="D904" s="143" t="n">
        <f aca="false">'🤖 Llama-3.1-70b-instruct'!E79</f>
        <v>0.004761904762</v>
      </c>
      <c r="E904" s="175" t="n">
        <f aca="false">'🤖 Llama-3.1-70b-instruct'!F79</f>
        <v>0</v>
      </c>
      <c r="F904" s="175" t="n">
        <f aca="false">'🤖 Llama-3.1-70b-instruct'!G79</f>
        <v>0</v>
      </c>
      <c r="G904" s="175" t="n">
        <f aca="false">'🤖 Llama-3.1-70b-instruct'!H79</f>
        <v>0</v>
      </c>
      <c r="H904" s="175" t="n">
        <f aca="false">'🤖 Llama-3.1-70b-instruct'!I79</f>
        <v>0</v>
      </c>
      <c r="I904" s="175" t="n">
        <f aca="false">'🤖 Llama-3.1-70b-instruct'!J79</f>
        <v>0</v>
      </c>
    </row>
    <row r="905" customFormat="false" ht="15.75" hidden="false" customHeight="false" outlineLevel="0" collapsed="false">
      <c r="A905" s="118" t="n">
        <f aca="false">'🤖 Llama-3.1-70b-instruct'!$A$77</f>
        <v>0</v>
      </c>
      <c r="B905" s="9" t="s">
        <v>24</v>
      </c>
      <c r="C905" s="119" t="str">
        <f aca="false">'🤖 Llama-3.1-70b-instruct'!C80</f>
        <v>tldr</v>
      </c>
      <c r="D905" s="143" t="n">
        <f aca="false">'🤖 Llama-3.1-70b-instruct'!E80</f>
        <v>0.004761904762</v>
      </c>
      <c r="E905" s="175" t="n">
        <f aca="false">'🤖 Llama-3.1-70b-instruct'!F80</f>
        <v>0</v>
      </c>
      <c r="F905" s="175" t="n">
        <f aca="false">'🤖 Llama-3.1-70b-instruct'!G80</f>
        <v>0</v>
      </c>
      <c r="G905" s="175" t="n">
        <f aca="false">'🤖 Llama-3.1-70b-instruct'!H80</f>
        <v>0</v>
      </c>
      <c r="H905" s="175" t="n">
        <f aca="false">'🤖 Llama-3.1-70b-instruct'!I80</f>
        <v>0</v>
      </c>
      <c r="I905" s="175" t="n">
        <f aca="false">'🤖 Llama-3.1-70b-instruct'!J80</f>
        <v>0</v>
      </c>
    </row>
    <row r="906" customFormat="false" ht="15.75" hidden="false" customHeight="false" outlineLevel="0" collapsed="false">
      <c r="A906" s="118"/>
      <c r="B906" s="9"/>
      <c r="C906" s="6"/>
      <c r="D906" s="143"/>
      <c r="E906" s="4"/>
      <c r="F906" s="4"/>
      <c r="G906" s="4"/>
      <c r="H906" s="4"/>
      <c r="I906" s="4"/>
    </row>
    <row r="907" customFormat="false" ht="15.75" hidden="false" customHeight="false" outlineLevel="0" collapsed="false">
      <c r="A907" s="118" t="n">
        <f aca="false">'🤖 Llama-3.1-70b-instruct'!$A$82</f>
        <v>0</v>
      </c>
      <c r="B907" s="9" t="s">
        <v>24</v>
      </c>
      <c r="C907" s="119" t="str">
        <f aca="false">'🤖 Llama-3.1-70b-instruct'!C82</f>
        <v>Base</v>
      </c>
      <c r="D907" s="143" t="n">
        <f aca="false">'🤖 Llama-3.1-70b-instruct'!E82</f>
        <v>0.004761904762</v>
      </c>
      <c r="E907" s="175" t="n">
        <f aca="false">'🤖 Llama-3.1-70b-instruct'!F82</f>
        <v>0</v>
      </c>
      <c r="F907" s="175" t="n">
        <f aca="false">'🤖 Llama-3.1-70b-instruct'!G82</f>
        <v>0</v>
      </c>
      <c r="G907" s="175" t="n">
        <f aca="false">'🤖 Llama-3.1-70b-instruct'!H82</f>
        <v>0</v>
      </c>
      <c r="H907" s="175" t="n">
        <f aca="false">'🤖 Llama-3.1-70b-instruct'!I82</f>
        <v>0</v>
      </c>
      <c r="I907" s="175" t="n">
        <f aca="false">'🤖 Llama-3.1-70b-instruct'!J82</f>
        <v>0</v>
      </c>
    </row>
    <row r="908" customFormat="false" ht="15.75" hidden="false" customHeight="false" outlineLevel="0" collapsed="false">
      <c r="A908" s="118" t="n">
        <f aca="false">'🤖 Llama-3.1-70b-instruct'!$A$82</f>
        <v>0</v>
      </c>
      <c r="B908" s="9" t="s">
        <v>24</v>
      </c>
      <c r="C908" s="119" t="str">
        <f aca="false">'🤖 Llama-3.1-70b-instruct'!C83</f>
        <v>CoT</v>
      </c>
      <c r="D908" s="143" t="n">
        <f aca="false">'🤖 Llama-3.1-70b-instruct'!E83</f>
        <v>0.004761904762</v>
      </c>
      <c r="E908" s="175" t="n">
        <f aca="false">'🤖 Llama-3.1-70b-instruct'!F83</f>
        <v>0</v>
      </c>
      <c r="F908" s="175" t="n">
        <f aca="false">'🤖 Llama-3.1-70b-instruct'!G83</f>
        <v>0</v>
      </c>
      <c r="G908" s="175" t="n">
        <f aca="false">'🤖 Llama-3.1-70b-instruct'!H83</f>
        <v>0</v>
      </c>
      <c r="H908" s="175" t="n">
        <f aca="false">'🤖 Llama-3.1-70b-instruct'!I83</f>
        <v>0</v>
      </c>
      <c r="I908" s="175" t="n">
        <f aca="false">'🤖 Llama-3.1-70b-instruct'!J83</f>
        <v>0</v>
      </c>
    </row>
    <row r="909" customFormat="false" ht="15.75" hidden="false" customHeight="false" outlineLevel="0" collapsed="false">
      <c r="A909" s="118" t="n">
        <f aca="false">'🤖 Llama-3.1-70b-instruct'!$A$82</f>
        <v>0</v>
      </c>
      <c r="B909" s="9" t="s">
        <v>24</v>
      </c>
      <c r="C909" s="119" t="str">
        <f aca="false">'🤖 Llama-3.1-70b-instruct'!C84</f>
        <v>5W1H</v>
      </c>
      <c r="D909" s="143" t="n">
        <f aca="false">'🤖 Llama-3.1-70b-instruct'!E84</f>
        <v>0.004761904762</v>
      </c>
      <c r="E909" s="175" t="n">
        <f aca="false">'🤖 Llama-3.1-70b-instruct'!F84</f>
        <v>0</v>
      </c>
      <c r="F909" s="175" t="n">
        <f aca="false">'🤖 Llama-3.1-70b-instruct'!G84</f>
        <v>0</v>
      </c>
      <c r="G909" s="175" t="n">
        <f aca="false">'🤖 Llama-3.1-70b-instruct'!H84</f>
        <v>0</v>
      </c>
      <c r="H909" s="175" t="n">
        <f aca="false">'🤖 Llama-3.1-70b-instruct'!I84</f>
        <v>0</v>
      </c>
      <c r="I909" s="175" t="n">
        <f aca="false">'🤖 Llama-3.1-70b-instruct'!J84</f>
        <v>0</v>
      </c>
    </row>
    <row r="910" customFormat="false" ht="15.75" hidden="false" customHeight="false" outlineLevel="0" collapsed="false">
      <c r="A910" s="118" t="n">
        <f aca="false">'🤖 Llama-3.1-70b-instruct'!$A$82</f>
        <v>0</v>
      </c>
      <c r="B910" s="9" t="s">
        <v>24</v>
      </c>
      <c r="C910" s="119" t="str">
        <f aca="false">'🤖 Llama-3.1-70b-instruct'!C85</f>
        <v>tldr</v>
      </c>
      <c r="D910" s="143" t="n">
        <f aca="false">'🤖 Llama-3.1-70b-instruct'!E85</f>
        <v>0.004761904762</v>
      </c>
      <c r="E910" s="175" t="n">
        <f aca="false">'🤖 Llama-3.1-70b-instruct'!F85</f>
        <v>0</v>
      </c>
      <c r="F910" s="175" t="n">
        <f aca="false">'🤖 Llama-3.1-70b-instruct'!G85</f>
        <v>0</v>
      </c>
      <c r="G910" s="175" t="n">
        <f aca="false">'🤖 Llama-3.1-70b-instruct'!H85</f>
        <v>0</v>
      </c>
      <c r="H910" s="175" t="n">
        <f aca="false">'🤖 Llama-3.1-70b-instruct'!I85</f>
        <v>0</v>
      </c>
      <c r="I910" s="175" t="n">
        <f aca="false">'🤖 Llama-3.1-70b-instruct'!J85</f>
        <v>0</v>
      </c>
    </row>
    <row r="911" customFormat="false" ht="15.75" hidden="false" customHeight="false" outlineLevel="0" collapsed="false">
      <c r="A911" s="118"/>
      <c r="B911" s="9"/>
      <c r="C911" s="6"/>
      <c r="D911" s="143"/>
      <c r="E911" s="4"/>
      <c r="F911" s="4"/>
      <c r="G911" s="4"/>
      <c r="H911" s="4"/>
      <c r="I911" s="4"/>
    </row>
    <row r="912" customFormat="false" ht="15.75" hidden="false" customHeight="false" outlineLevel="0" collapsed="false">
      <c r="A912" s="118" t="n">
        <f aca="false">'🤖 Llama-3.1-70b-instruct'!$A$87</f>
        <v>0</v>
      </c>
      <c r="B912" s="9" t="s">
        <v>24</v>
      </c>
      <c r="C912" s="119" t="str">
        <f aca="false">'🤖 Llama-3.1-70b-instruct'!C87</f>
        <v>Base</v>
      </c>
      <c r="D912" s="143" t="n">
        <f aca="false">'🤖 Llama-3.1-70b-instruct'!E87</f>
        <v>0.004761904762</v>
      </c>
      <c r="E912" s="175" t="n">
        <f aca="false">'🤖 Llama-3.1-70b-instruct'!F87</f>
        <v>0</v>
      </c>
      <c r="F912" s="175" t="n">
        <f aca="false">'🤖 Llama-3.1-70b-instruct'!G87</f>
        <v>0</v>
      </c>
      <c r="G912" s="175" t="n">
        <f aca="false">'🤖 Llama-3.1-70b-instruct'!H87</f>
        <v>0</v>
      </c>
      <c r="H912" s="175" t="n">
        <f aca="false">'🤖 Llama-3.1-70b-instruct'!I87</f>
        <v>0</v>
      </c>
      <c r="I912" s="175" t="n">
        <f aca="false">'🤖 Llama-3.1-70b-instruct'!J87</f>
        <v>0</v>
      </c>
    </row>
    <row r="913" customFormat="false" ht="15.75" hidden="false" customHeight="false" outlineLevel="0" collapsed="false">
      <c r="A913" s="118" t="n">
        <f aca="false">'🤖 Llama-3.1-70b-instruct'!$A$87</f>
        <v>0</v>
      </c>
      <c r="B913" s="9" t="s">
        <v>24</v>
      </c>
      <c r="C913" s="119" t="str">
        <f aca="false">'🤖 Llama-3.1-70b-instruct'!C88</f>
        <v>CoT</v>
      </c>
      <c r="D913" s="143" t="n">
        <f aca="false">'🤖 Llama-3.1-70b-instruct'!E88</f>
        <v>0.004761904762</v>
      </c>
      <c r="E913" s="175" t="n">
        <f aca="false">'🤖 Llama-3.1-70b-instruct'!F88</f>
        <v>0</v>
      </c>
      <c r="F913" s="175" t="n">
        <f aca="false">'🤖 Llama-3.1-70b-instruct'!G88</f>
        <v>0</v>
      </c>
      <c r="G913" s="175" t="n">
        <f aca="false">'🤖 Llama-3.1-70b-instruct'!H88</f>
        <v>0</v>
      </c>
      <c r="H913" s="175" t="n">
        <f aca="false">'🤖 Llama-3.1-70b-instruct'!I88</f>
        <v>0</v>
      </c>
      <c r="I913" s="175" t="n">
        <f aca="false">'🤖 Llama-3.1-70b-instruct'!J88</f>
        <v>0</v>
      </c>
    </row>
    <row r="914" customFormat="false" ht="15.75" hidden="false" customHeight="false" outlineLevel="0" collapsed="false">
      <c r="A914" s="118" t="n">
        <f aca="false">'🤖 Llama-3.1-70b-instruct'!$A$87</f>
        <v>0</v>
      </c>
      <c r="B914" s="9" t="s">
        <v>24</v>
      </c>
      <c r="C914" s="119" t="str">
        <f aca="false">'🤖 Llama-3.1-70b-instruct'!C89</f>
        <v>5W1H</v>
      </c>
      <c r="D914" s="143" t="n">
        <f aca="false">'🤖 Llama-3.1-70b-instruct'!E89</f>
        <v>0.004761904762</v>
      </c>
      <c r="E914" s="175" t="n">
        <f aca="false">'🤖 Llama-3.1-70b-instruct'!F89</f>
        <v>0</v>
      </c>
      <c r="F914" s="175" t="n">
        <f aca="false">'🤖 Llama-3.1-70b-instruct'!G89</f>
        <v>0</v>
      </c>
      <c r="G914" s="175" t="n">
        <f aca="false">'🤖 Llama-3.1-70b-instruct'!H89</f>
        <v>0</v>
      </c>
      <c r="H914" s="175" t="n">
        <f aca="false">'🤖 Llama-3.1-70b-instruct'!I89</f>
        <v>0</v>
      </c>
      <c r="I914" s="175" t="n">
        <f aca="false">'🤖 Llama-3.1-70b-instruct'!J89</f>
        <v>0</v>
      </c>
    </row>
    <row r="915" customFormat="false" ht="15.75" hidden="false" customHeight="false" outlineLevel="0" collapsed="false">
      <c r="A915" s="118" t="n">
        <f aca="false">'🤖 Llama-3.1-70b-instruct'!$A$87</f>
        <v>0</v>
      </c>
      <c r="B915" s="9" t="s">
        <v>24</v>
      </c>
      <c r="C915" s="119" t="str">
        <f aca="false">'🤖 Llama-3.1-70b-instruct'!C90</f>
        <v>tldr</v>
      </c>
      <c r="D915" s="143" t="n">
        <f aca="false">'🤖 Llama-3.1-70b-instruct'!E90</f>
        <v>0.004761904762</v>
      </c>
      <c r="E915" s="175" t="n">
        <f aca="false">'🤖 Llama-3.1-70b-instruct'!F90</f>
        <v>0</v>
      </c>
      <c r="F915" s="175" t="n">
        <f aca="false">'🤖 Llama-3.1-70b-instruct'!G90</f>
        <v>0</v>
      </c>
      <c r="G915" s="175" t="n">
        <f aca="false">'🤖 Llama-3.1-70b-instruct'!H90</f>
        <v>0</v>
      </c>
      <c r="H915" s="175" t="n">
        <f aca="false">'🤖 Llama-3.1-70b-instruct'!I90</f>
        <v>0</v>
      </c>
      <c r="I915" s="175" t="n">
        <f aca="false">'🤖 Llama-3.1-70b-instruct'!J90</f>
        <v>0</v>
      </c>
    </row>
    <row r="916" customFormat="false" ht="15.75" hidden="false" customHeight="false" outlineLevel="0" collapsed="false">
      <c r="A916" s="118"/>
      <c r="B916" s="9"/>
      <c r="C916" s="6"/>
      <c r="D916" s="143"/>
      <c r="E916" s="4"/>
      <c r="F916" s="4"/>
      <c r="G916" s="4"/>
      <c r="H916" s="4"/>
      <c r="I916" s="4"/>
    </row>
    <row r="917" customFormat="false" ht="15.75" hidden="false" customHeight="false" outlineLevel="0" collapsed="false">
      <c r="A917" s="118" t="n">
        <f aca="false">'🤖 Llama-3.1-70b-instruct'!$A$92</f>
        <v>0</v>
      </c>
      <c r="B917" s="9" t="s">
        <v>24</v>
      </c>
      <c r="C917" s="119" t="str">
        <f aca="false">'🤖 Llama-3.1-70b-instruct'!C92</f>
        <v>Base</v>
      </c>
      <c r="D917" s="143" t="n">
        <f aca="false">'🤖 Llama-3.1-70b-instruct'!E92</f>
        <v>0.004761904762</v>
      </c>
      <c r="E917" s="175" t="n">
        <f aca="false">'🤖 Llama-3.1-70b-instruct'!F92</f>
        <v>0</v>
      </c>
      <c r="F917" s="175" t="n">
        <f aca="false">'🤖 Llama-3.1-70b-instruct'!G92</f>
        <v>0</v>
      </c>
      <c r="G917" s="175" t="n">
        <f aca="false">'🤖 Llama-3.1-70b-instruct'!H92</f>
        <v>0</v>
      </c>
      <c r="H917" s="175" t="n">
        <f aca="false">'🤖 Llama-3.1-70b-instruct'!I92</f>
        <v>0</v>
      </c>
      <c r="I917" s="175" t="n">
        <f aca="false">'🤖 Llama-3.1-70b-instruct'!J92</f>
        <v>0</v>
      </c>
    </row>
    <row r="918" customFormat="false" ht="15.75" hidden="false" customHeight="false" outlineLevel="0" collapsed="false">
      <c r="A918" s="118" t="n">
        <f aca="false">'🤖 Llama-3.1-70b-instruct'!$A$92</f>
        <v>0</v>
      </c>
      <c r="B918" s="9" t="s">
        <v>24</v>
      </c>
      <c r="C918" s="119" t="str">
        <f aca="false">'🤖 Llama-3.1-70b-instruct'!C93</f>
        <v>CoT</v>
      </c>
      <c r="D918" s="143" t="n">
        <f aca="false">'🤖 Llama-3.1-70b-instruct'!E93</f>
        <v>0.004761904762</v>
      </c>
      <c r="E918" s="175" t="n">
        <f aca="false">'🤖 Llama-3.1-70b-instruct'!F93</f>
        <v>0</v>
      </c>
      <c r="F918" s="175" t="n">
        <f aca="false">'🤖 Llama-3.1-70b-instruct'!G93</f>
        <v>0</v>
      </c>
      <c r="G918" s="175" t="n">
        <f aca="false">'🤖 Llama-3.1-70b-instruct'!H93</f>
        <v>0</v>
      </c>
      <c r="H918" s="175" t="n">
        <f aca="false">'🤖 Llama-3.1-70b-instruct'!I93</f>
        <v>0</v>
      </c>
      <c r="I918" s="175" t="n">
        <f aca="false">'🤖 Llama-3.1-70b-instruct'!J93</f>
        <v>0</v>
      </c>
    </row>
    <row r="919" customFormat="false" ht="15.75" hidden="false" customHeight="false" outlineLevel="0" collapsed="false">
      <c r="A919" s="118" t="n">
        <f aca="false">'🤖 Llama-3.1-70b-instruct'!$A$92</f>
        <v>0</v>
      </c>
      <c r="B919" s="9" t="s">
        <v>24</v>
      </c>
      <c r="C919" s="119" t="str">
        <f aca="false">'🤖 Llama-3.1-70b-instruct'!C94</f>
        <v>5W1H</v>
      </c>
      <c r="D919" s="143" t="n">
        <f aca="false">'🤖 Llama-3.1-70b-instruct'!E94</f>
        <v>0.004761904762</v>
      </c>
      <c r="E919" s="175" t="n">
        <f aca="false">'🤖 Llama-3.1-70b-instruct'!F94</f>
        <v>0</v>
      </c>
      <c r="F919" s="175" t="n">
        <f aca="false">'🤖 Llama-3.1-70b-instruct'!G94</f>
        <v>0</v>
      </c>
      <c r="G919" s="175" t="n">
        <f aca="false">'🤖 Llama-3.1-70b-instruct'!H94</f>
        <v>0</v>
      </c>
      <c r="H919" s="175" t="n">
        <f aca="false">'🤖 Llama-3.1-70b-instruct'!I94</f>
        <v>0</v>
      </c>
      <c r="I919" s="175" t="n">
        <f aca="false">'🤖 Llama-3.1-70b-instruct'!J94</f>
        <v>0</v>
      </c>
    </row>
    <row r="920" customFormat="false" ht="15.75" hidden="false" customHeight="false" outlineLevel="0" collapsed="false">
      <c r="A920" s="118" t="n">
        <f aca="false">'🤖 Llama-3.1-70b-instruct'!$A$92</f>
        <v>0</v>
      </c>
      <c r="B920" s="9" t="s">
        <v>24</v>
      </c>
      <c r="C920" s="119" t="str">
        <f aca="false">'🤖 Llama-3.1-70b-instruct'!C95</f>
        <v>tldr</v>
      </c>
      <c r="D920" s="143" t="n">
        <f aca="false">'🤖 Llama-3.1-70b-instruct'!E95</f>
        <v>0.004761904762</v>
      </c>
      <c r="E920" s="175" t="n">
        <f aca="false">'🤖 Llama-3.1-70b-instruct'!F95</f>
        <v>0</v>
      </c>
      <c r="F920" s="175" t="n">
        <f aca="false">'🤖 Llama-3.1-70b-instruct'!G95</f>
        <v>0</v>
      </c>
      <c r="G920" s="175" t="n">
        <f aca="false">'🤖 Llama-3.1-70b-instruct'!H95</f>
        <v>0</v>
      </c>
      <c r="H920" s="175" t="n">
        <f aca="false">'🤖 Llama-3.1-70b-instruct'!I95</f>
        <v>0</v>
      </c>
      <c r="I920" s="175" t="n">
        <f aca="false">'🤖 Llama-3.1-70b-instruct'!J95</f>
        <v>0</v>
      </c>
    </row>
    <row r="921" customFormat="false" ht="15.75" hidden="false" customHeight="false" outlineLevel="0" collapsed="false">
      <c r="A921" s="118"/>
      <c r="B921" s="9"/>
      <c r="C921" s="6"/>
      <c r="D921" s="143"/>
      <c r="E921" s="4"/>
      <c r="F921" s="4"/>
      <c r="G921" s="4"/>
      <c r="H921" s="4"/>
      <c r="I921" s="4"/>
    </row>
    <row r="922" customFormat="false" ht="15.75" hidden="false" customHeight="false" outlineLevel="0" collapsed="false">
      <c r="A922" s="118" t="n">
        <f aca="false">'🤖 Llama-3.1-70b-instruct'!$A$97</f>
        <v>0</v>
      </c>
      <c r="B922" s="9" t="s">
        <v>24</v>
      </c>
      <c r="C922" s="119" t="str">
        <f aca="false">'🤖 Llama-3.1-70b-instruct'!C97</f>
        <v>Base</v>
      </c>
      <c r="D922" s="143" t="n">
        <f aca="false">'🤖 Llama-3.1-70b-instruct'!E97</f>
        <v>0.004761904762</v>
      </c>
      <c r="E922" s="175" t="n">
        <f aca="false">'🤖 Llama-3.1-70b-instruct'!F97</f>
        <v>0</v>
      </c>
      <c r="F922" s="175" t="n">
        <f aca="false">'🤖 Llama-3.1-70b-instruct'!G97</f>
        <v>0</v>
      </c>
      <c r="G922" s="175" t="n">
        <f aca="false">'🤖 Llama-3.1-70b-instruct'!H97</f>
        <v>0</v>
      </c>
      <c r="H922" s="175" t="n">
        <f aca="false">'🤖 Llama-3.1-70b-instruct'!I97</f>
        <v>0</v>
      </c>
      <c r="I922" s="175" t="n">
        <f aca="false">'🤖 Llama-3.1-70b-instruct'!J97</f>
        <v>0</v>
      </c>
    </row>
    <row r="923" customFormat="false" ht="15.75" hidden="false" customHeight="false" outlineLevel="0" collapsed="false">
      <c r="A923" s="118" t="n">
        <f aca="false">'🤖 Llama-3.1-70b-instruct'!$A$97</f>
        <v>0</v>
      </c>
      <c r="B923" s="9" t="s">
        <v>24</v>
      </c>
      <c r="C923" s="119" t="str">
        <f aca="false">'🤖 Llama-3.1-70b-instruct'!C98</f>
        <v>CoT</v>
      </c>
      <c r="D923" s="143" t="n">
        <f aca="false">'🤖 Llama-3.1-70b-instruct'!E98</f>
        <v>0.004761904762</v>
      </c>
      <c r="E923" s="175" t="n">
        <f aca="false">'🤖 Llama-3.1-70b-instruct'!F98</f>
        <v>0</v>
      </c>
      <c r="F923" s="175" t="n">
        <f aca="false">'🤖 Llama-3.1-70b-instruct'!G98</f>
        <v>0</v>
      </c>
      <c r="G923" s="175" t="n">
        <f aca="false">'🤖 Llama-3.1-70b-instruct'!H98</f>
        <v>0</v>
      </c>
      <c r="H923" s="175" t="n">
        <f aca="false">'🤖 Llama-3.1-70b-instruct'!I98</f>
        <v>0</v>
      </c>
      <c r="I923" s="175" t="n">
        <f aca="false">'🤖 Llama-3.1-70b-instruct'!J98</f>
        <v>0</v>
      </c>
    </row>
    <row r="924" customFormat="false" ht="15.75" hidden="false" customHeight="false" outlineLevel="0" collapsed="false">
      <c r="A924" s="118" t="n">
        <f aca="false">'🤖 Llama-3.1-70b-instruct'!$A$97</f>
        <v>0</v>
      </c>
      <c r="B924" s="9" t="s">
        <v>24</v>
      </c>
      <c r="C924" s="119" t="str">
        <f aca="false">'🤖 Llama-3.1-70b-instruct'!C99</f>
        <v>5W1H</v>
      </c>
      <c r="D924" s="143" t="n">
        <f aca="false">'🤖 Llama-3.1-70b-instruct'!E99</f>
        <v>0.004761904762</v>
      </c>
      <c r="E924" s="175" t="n">
        <f aca="false">'🤖 Llama-3.1-70b-instruct'!F99</f>
        <v>0</v>
      </c>
      <c r="F924" s="175" t="n">
        <f aca="false">'🤖 Llama-3.1-70b-instruct'!G99</f>
        <v>0</v>
      </c>
      <c r="G924" s="175" t="n">
        <f aca="false">'🤖 Llama-3.1-70b-instruct'!H99</f>
        <v>0</v>
      </c>
      <c r="H924" s="175" t="n">
        <f aca="false">'🤖 Llama-3.1-70b-instruct'!I99</f>
        <v>0</v>
      </c>
      <c r="I924" s="175" t="n">
        <f aca="false">'🤖 Llama-3.1-70b-instruct'!J99</f>
        <v>0</v>
      </c>
    </row>
    <row r="925" customFormat="false" ht="15.75" hidden="false" customHeight="false" outlineLevel="0" collapsed="false">
      <c r="A925" s="118" t="n">
        <f aca="false">'🤖 Llama-3.1-70b-instruct'!$A$97</f>
        <v>0</v>
      </c>
      <c r="B925" s="9" t="s">
        <v>24</v>
      </c>
      <c r="C925" s="119" t="str">
        <f aca="false">'🤖 Llama-3.1-70b-instruct'!C100</f>
        <v>tldr</v>
      </c>
      <c r="D925" s="143" t="n">
        <f aca="false">'🤖 Llama-3.1-70b-instruct'!E100</f>
        <v>0.004761904762</v>
      </c>
      <c r="E925" s="175" t="n">
        <f aca="false">'🤖 Llama-3.1-70b-instruct'!F100</f>
        <v>0</v>
      </c>
      <c r="F925" s="175" t="n">
        <f aca="false">'🤖 Llama-3.1-70b-instruct'!G100</f>
        <v>0</v>
      </c>
      <c r="G925" s="175" t="n">
        <f aca="false">'🤖 Llama-3.1-70b-instruct'!H100</f>
        <v>0</v>
      </c>
      <c r="H925" s="175" t="n">
        <f aca="false">'🤖 Llama-3.1-70b-instruct'!I100</f>
        <v>0</v>
      </c>
      <c r="I925" s="175" t="n">
        <f aca="false">'🤖 Llama-3.1-70b-instruct'!J100</f>
        <v>0</v>
      </c>
    </row>
    <row r="926" customFormat="false" ht="15.75" hidden="false" customHeight="false" outlineLevel="0" collapsed="false">
      <c r="A926" s="118"/>
      <c r="B926" s="9"/>
      <c r="C926" s="6"/>
      <c r="D926" s="143"/>
      <c r="E926" s="4"/>
      <c r="F926" s="4"/>
      <c r="G926" s="4"/>
      <c r="H926" s="4"/>
      <c r="I926" s="4"/>
    </row>
    <row r="927" customFormat="false" ht="15.75" hidden="false" customHeight="false" outlineLevel="0" collapsed="false">
      <c r="A927" s="118" t="n">
        <f aca="false">'🤖 Llama-3.1-70b-instruct'!$A$102</f>
        <v>0</v>
      </c>
      <c r="B927" s="9" t="s">
        <v>24</v>
      </c>
      <c r="C927" s="119" t="str">
        <f aca="false">'🤖 Llama-3.1-70b-instruct'!C102</f>
        <v>Base</v>
      </c>
      <c r="D927" s="143" t="n">
        <f aca="false">'🤖 Llama-3.1-70b-instruct'!E102</f>
        <v>0.004761904762</v>
      </c>
      <c r="E927" s="175" t="n">
        <f aca="false">'🤖 Llama-3.1-70b-instruct'!F102</f>
        <v>0</v>
      </c>
      <c r="F927" s="175" t="n">
        <f aca="false">'🤖 Llama-3.1-70b-instruct'!G102</f>
        <v>0</v>
      </c>
      <c r="G927" s="175" t="n">
        <f aca="false">'🤖 Llama-3.1-70b-instruct'!H102</f>
        <v>0</v>
      </c>
      <c r="H927" s="175" t="n">
        <f aca="false">'🤖 Llama-3.1-70b-instruct'!I102</f>
        <v>0</v>
      </c>
      <c r="I927" s="175" t="n">
        <f aca="false">'🤖 Llama-3.1-70b-instruct'!J102</f>
        <v>0</v>
      </c>
    </row>
    <row r="928" customFormat="false" ht="15.75" hidden="false" customHeight="false" outlineLevel="0" collapsed="false">
      <c r="A928" s="118" t="n">
        <f aca="false">'🤖 Llama-3.1-70b-instruct'!$A$102</f>
        <v>0</v>
      </c>
      <c r="B928" s="9" t="s">
        <v>24</v>
      </c>
      <c r="C928" s="119" t="str">
        <f aca="false">'🤖 Llama-3.1-70b-instruct'!C103</f>
        <v>CoT</v>
      </c>
      <c r="D928" s="143" t="n">
        <f aca="false">'🤖 Llama-3.1-70b-instruct'!E103</f>
        <v>0.004761904762</v>
      </c>
      <c r="E928" s="175" t="n">
        <f aca="false">'🤖 Llama-3.1-70b-instruct'!F103</f>
        <v>0</v>
      </c>
      <c r="F928" s="175" t="n">
        <f aca="false">'🤖 Llama-3.1-70b-instruct'!G103</f>
        <v>0</v>
      </c>
      <c r="G928" s="175" t="n">
        <f aca="false">'🤖 Llama-3.1-70b-instruct'!H103</f>
        <v>0</v>
      </c>
      <c r="H928" s="175" t="n">
        <f aca="false">'🤖 Llama-3.1-70b-instruct'!I103</f>
        <v>0</v>
      </c>
      <c r="I928" s="175" t="n">
        <f aca="false">'🤖 Llama-3.1-70b-instruct'!J103</f>
        <v>0</v>
      </c>
    </row>
    <row r="929" customFormat="false" ht="15.75" hidden="false" customHeight="false" outlineLevel="0" collapsed="false">
      <c r="A929" s="118" t="n">
        <f aca="false">'🤖 Llama-3.1-70b-instruct'!$A$102</f>
        <v>0</v>
      </c>
      <c r="B929" s="9" t="s">
        <v>24</v>
      </c>
      <c r="C929" s="119" t="str">
        <f aca="false">'🤖 Llama-3.1-70b-instruct'!C104</f>
        <v>5W1H</v>
      </c>
      <c r="D929" s="143" t="n">
        <f aca="false">'🤖 Llama-3.1-70b-instruct'!E104</f>
        <v>0.004761904762</v>
      </c>
      <c r="E929" s="175" t="n">
        <f aca="false">'🤖 Llama-3.1-70b-instruct'!F104</f>
        <v>0</v>
      </c>
      <c r="F929" s="175" t="n">
        <f aca="false">'🤖 Llama-3.1-70b-instruct'!G104</f>
        <v>0</v>
      </c>
      <c r="G929" s="175" t="n">
        <f aca="false">'🤖 Llama-3.1-70b-instruct'!H104</f>
        <v>0</v>
      </c>
      <c r="H929" s="175" t="n">
        <f aca="false">'🤖 Llama-3.1-70b-instruct'!I104</f>
        <v>0</v>
      </c>
      <c r="I929" s="175" t="n">
        <f aca="false">'🤖 Llama-3.1-70b-instruct'!J104</f>
        <v>0</v>
      </c>
    </row>
    <row r="930" customFormat="false" ht="15.75" hidden="false" customHeight="false" outlineLevel="0" collapsed="false">
      <c r="A930" s="118" t="n">
        <f aca="false">'🤖 Llama-3.1-70b-instruct'!$A$102</f>
        <v>0</v>
      </c>
      <c r="B930" s="9" t="s">
        <v>24</v>
      </c>
      <c r="C930" s="119" t="str">
        <f aca="false">'🤖 Llama-3.1-70b-instruct'!C105</f>
        <v>tldr</v>
      </c>
      <c r="D930" s="143" t="n">
        <f aca="false">'🤖 Llama-3.1-70b-instruct'!E105</f>
        <v>0.004761904762</v>
      </c>
      <c r="E930" s="175" t="n">
        <f aca="false">'🤖 Llama-3.1-70b-instruct'!F105</f>
        <v>0</v>
      </c>
      <c r="F930" s="175" t="n">
        <f aca="false">'🤖 Llama-3.1-70b-instruct'!G105</f>
        <v>0</v>
      </c>
      <c r="G930" s="175" t="n">
        <f aca="false">'🤖 Llama-3.1-70b-instruct'!H105</f>
        <v>0</v>
      </c>
      <c r="H930" s="175" t="n">
        <f aca="false">'🤖 Llama-3.1-70b-instruct'!I105</f>
        <v>0</v>
      </c>
      <c r="I930" s="175" t="n">
        <f aca="false">'🤖 Llama-3.1-70b-instruct'!J105</f>
        <v>0</v>
      </c>
    </row>
    <row r="931" customFormat="false" ht="15.75" hidden="false" customHeight="false" outlineLevel="0" collapsed="false">
      <c r="A931" s="118"/>
      <c r="B931" s="9"/>
      <c r="C931" s="6"/>
      <c r="D931" s="143"/>
      <c r="E931" s="4"/>
      <c r="F931" s="4"/>
      <c r="G931" s="4"/>
      <c r="H931" s="4"/>
      <c r="I931" s="4"/>
    </row>
    <row r="932" customFormat="false" ht="15.75" hidden="false" customHeight="false" outlineLevel="0" collapsed="false">
      <c r="A932" s="118" t="n">
        <f aca="false">'🤖 Llama-3.1-70b-instruct'!$A$107</f>
        <v>0</v>
      </c>
      <c r="B932" s="9" t="s">
        <v>24</v>
      </c>
      <c r="C932" s="119" t="str">
        <f aca="false">'🤖 Llama-3.1-70b-instruct'!C107</f>
        <v>Base</v>
      </c>
      <c r="D932" s="143" t="n">
        <f aca="false">'🤖 Llama-3.1-70b-instruct'!E107</f>
        <v>0.004761904762</v>
      </c>
      <c r="E932" s="175" t="n">
        <f aca="false">'🤖 Llama-3.1-70b-instruct'!F107</f>
        <v>0</v>
      </c>
      <c r="F932" s="175" t="n">
        <f aca="false">'🤖 Llama-3.1-70b-instruct'!G107</f>
        <v>0</v>
      </c>
      <c r="G932" s="175" t="n">
        <f aca="false">'🤖 Llama-3.1-70b-instruct'!H107</f>
        <v>0</v>
      </c>
      <c r="H932" s="175" t="n">
        <f aca="false">'🤖 Llama-3.1-70b-instruct'!I107</f>
        <v>0</v>
      </c>
      <c r="I932" s="175" t="n">
        <f aca="false">'🤖 Llama-3.1-70b-instruct'!J107</f>
        <v>0</v>
      </c>
    </row>
    <row r="933" customFormat="false" ht="15.75" hidden="false" customHeight="false" outlineLevel="0" collapsed="false">
      <c r="A933" s="118" t="n">
        <f aca="false">'🤖 Llama-3.1-70b-instruct'!$A$107</f>
        <v>0</v>
      </c>
      <c r="B933" s="9" t="s">
        <v>24</v>
      </c>
      <c r="C933" s="119" t="str">
        <f aca="false">'🤖 Llama-3.1-70b-instruct'!C108</f>
        <v>CoT</v>
      </c>
      <c r="D933" s="143" t="n">
        <f aca="false">'🤖 Llama-3.1-70b-instruct'!E108</f>
        <v>0.004761904762</v>
      </c>
      <c r="E933" s="175" t="n">
        <f aca="false">'🤖 Llama-3.1-70b-instruct'!F108</f>
        <v>0</v>
      </c>
      <c r="F933" s="175" t="n">
        <f aca="false">'🤖 Llama-3.1-70b-instruct'!G108</f>
        <v>0</v>
      </c>
      <c r="G933" s="175" t="n">
        <f aca="false">'🤖 Llama-3.1-70b-instruct'!H108</f>
        <v>0</v>
      </c>
      <c r="H933" s="175" t="n">
        <f aca="false">'🤖 Llama-3.1-70b-instruct'!I108</f>
        <v>0</v>
      </c>
      <c r="I933" s="175" t="n">
        <f aca="false">'🤖 Llama-3.1-70b-instruct'!J108</f>
        <v>0</v>
      </c>
    </row>
    <row r="934" customFormat="false" ht="15.75" hidden="false" customHeight="false" outlineLevel="0" collapsed="false">
      <c r="A934" s="118" t="n">
        <f aca="false">'🤖 Llama-3.1-70b-instruct'!$A$107</f>
        <v>0</v>
      </c>
      <c r="B934" s="9" t="s">
        <v>24</v>
      </c>
      <c r="C934" s="119" t="str">
        <f aca="false">'🤖 Llama-3.1-70b-instruct'!C109</f>
        <v>5W1H</v>
      </c>
      <c r="D934" s="143" t="n">
        <f aca="false">'🤖 Llama-3.1-70b-instruct'!E109</f>
        <v>0.004761904762</v>
      </c>
      <c r="E934" s="175" t="n">
        <f aca="false">'🤖 Llama-3.1-70b-instruct'!F109</f>
        <v>0</v>
      </c>
      <c r="F934" s="175" t="n">
        <f aca="false">'🤖 Llama-3.1-70b-instruct'!G109</f>
        <v>0</v>
      </c>
      <c r="G934" s="175" t="n">
        <f aca="false">'🤖 Llama-3.1-70b-instruct'!H109</f>
        <v>0</v>
      </c>
      <c r="H934" s="175" t="n">
        <f aca="false">'🤖 Llama-3.1-70b-instruct'!I109</f>
        <v>0</v>
      </c>
      <c r="I934" s="175" t="n">
        <f aca="false">'🤖 Llama-3.1-70b-instruct'!J109</f>
        <v>0</v>
      </c>
    </row>
    <row r="935" customFormat="false" ht="15.75" hidden="false" customHeight="false" outlineLevel="0" collapsed="false">
      <c r="A935" s="118" t="n">
        <f aca="false">'🤖 Llama-3.1-70b-instruct'!$A$107</f>
        <v>0</v>
      </c>
      <c r="B935" s="9" t="s">
        <v>24</v>
      </c>
      <c r="C935" s="119" t="str">
        <f aca="false">'🤖 Llama-3.1-70b-instruct'!C110</f>
        <v>tldr</v>
      </c>
      <c r="D935" s="143" t="n">
        <f aca="false">'🤖 Llama-3.1-70b-instruct'!E110</f>
        <v>0.004761904762</v>
      </c>
      <c r="E935" s="175" t="n">
        <f aca="false">'🤖 Llama-3.1-70b-instruct'!F110</f>
        <v>0</v>
      </c>
      <c r="F935" s="175" t="n">
        <f aca="false">'🤖 Llama-3.1-70b-instruct'!G110</f>
        <v>0</v>
      </c>
      <c r="G935" s="175" t="n">
        <f aca="false">'🤖 Llama-3.1-70b-instruct'!H110</f>
        <v>0</v>
      </c>
      <c r="H935" s="175" t="n">
        <f aca="false">'🤖 Llama-3.1-70b-instruct'!I110</f>
        <v>0</v>
      </c>
      <c r="I935" s="175" t="n">
        <f aca="false">'🤖 Llama-3.1-70b-instruct'!J110</f>
        <v>0</v>
      </c>
    </row>
    <row r="936" customFormat="false" ht="15.75" hidden="false" customHeight="false" outlineLevel="0" collapsed="false">
      <c r="A936" s="118"/>
      <c r="B936" s="9"/>
      <c r="C936" s="6"/>
      <c r="D936" s="143"/>
      <c r="E936" s="4"/>
      <c r="F936" s="4"/>
      <c r="G936" s="4"/>
      <c r="H936" s="4"/>
      <c r="I936" s="4"/>
    </row>
    <row r="937" customFormat="false" ht="15.75" hidden="false" customHeight="false" outlineLevel="0" collapsed="false">
      <c r="A937" s="118" t="n">
        <f aca="false">'🤖 Llama-3.1-70b-instruct'!$A$112</f>
        <v>0</v>
      </c>
      <c r="B937" s="9" t="s">
        <v>24</v>
      </c>
      <c r="C937" s="119" t="str">
        <f aca="false">'🤖 Llama-3.1-70b-instruct'!C112</f>
        <v>Base</v>
      </c>
      <c r="D937" s="143" t="n">
        <f aca="false">'🤖 Llama-3.1-70b-instruct'!E112</f>
        <v>0.004761904762</v>
      </c>
      <c r="E937" s="175" t="n">
        <f aca="false">'🤖 Llama-3.1-70b-instruct'!F112</f>
        <v>0</v>
      </c>
      <c r="F937" s="175" t="n">
        <f aca="false">'🤖 Llama-3.1-70b-instruct'!G112</f>
        <v>0</v>
      </c>
      <c r="G937" s="175" t="n">
        <f aca="false">'🤖 Llama-3.1-70b-instruct'!H112</f>
        <v>0</v>
      </c>
      <c r="H937" s="175" t="n">
        <f aca="false">'🤖 Llama-3.1-70b-instruct'!I112</f>
        <v>0</v>
      </c>
      <c r="I937" s="175" t="n">
        <f aca="false">'🤖 Llama-3.1-70b-instruct'!J112</f>
        <v>0</v>
      </c>
    </row>
    <row r="938" customFormat="false" ht="15.75" hidden="false" customHeight="false" outlineLevel="0" collapsed="false">
      <c r="A938" s="118" t="n">
        <f aca="false">'🤖 Llama-3.1-70b-instruct'!$A$112</f>
        <v>0</v>
      </c>
      <c r="B938" s="9" t="s">
        <v>24</v>
      </c>
      <c r="C938" s="119" t="str">
        <f aca="false">'🤖 Llama-3.1-70b-instruct'!C113</f>
        <v>CoT</v>
      </c>
      <c r="D938" s="143" t="n">
        <f aca="false">'🤖 Llama-3.1-70b-instruct'!E113</f>
        <v>0.004761904762</v>
      </c>
      <c r="E938" s="175" t="n">
        <f aca="false">'🤖 Llama-3.1-70b-instruct'!F113</f>
        <v>0</v>
      </c>
      <c r="F938" s="175" t="n">
        <f aca="false">'🤖 Llama-3.1-70b-instruct'!G113</f>
        <v>0</v>
      </c>
      <c r="G938" s="175" t="n">
        <f aca="false">'🤖 Llama-3.1-70b-instruct'!H113</f>
        <v>0</v>
      </c>
      <c r="H938" s="175" t="n">
        <f aca="false">'🤖 Llama-3.1-70b-instruct'!I113</f>
        <v>0</v>
      </c>
      <c r="I938" s="175" t="n">
        <f aca="false">'🤖 Llama-3.1-70b-instruct'!J113</f>
        <v>0</v>
      </c>
    </row>
    <row r="939" customFormat="false" ht="15.75" hidden="false" customHeight="false" outlineLevel="0" collapsed="false">
      <c r="A939" s="118" t="n">
        <f aca="false">'🤖 Llama-3.1-70b-instruct'!$A$112</f>
        <v>0</v>
      </c>
      <c r="B939" s="9" t="s">
        <v>24</v>
      </c>
      <c r="C939" s="119" t="str">
        <f aca="false">'🤖 Llama-3.1-70b-instruct'!C114</f>
        <v>5W1H</v>
      </c>
      <c r="D939" s="143" t="n">
        <f aca="false">'🤖 Llama-3.1-70b-instruct'!E114</f>
        <v>0.004761904762</v>
      </c>
      <c r="E939" s="175" t="n">
        <f aca="false">'🤖 Llama-3.1-70b-instruct'!F114</f>
        <v>0</v>
      </c>
      <c r="F939" s="175" t="n">
        <f aca="false">'🤖 Llama-3.1-70b-instruct'!G114</f>
        <v>0</v>
      </c>
      <c r="G939" s="175" t="n">
        <f aca="false">'🤖 Llama-3.1-70b-instruct'!H114</f>
        <v>0</v>
      </c>
      <c r="H939" s="175" t="n">
        <f aca="false">'🤖 Llama-3.1-70b-instruct'!I114</f>
        <v>0</v>
      </c>
      <c r="I939" s="175" t="n">
        <f aca="false">'🤖 Llama-3.1-70b-instruct'!J114</f>
        <v>0</v>
      </c>
    </row>
    <row r="940" customFormat="false" ht="15.75" hidden="false" customHeight="false" outlineLevel="0" collapsed="false">
      <c r="A940" s="118" t="n">
        <f aca="false">'🤖 Llama-3.1-70b-instruct'!$A$112</f>
        <v>0</v>
      </c>
      <c r="B940" s="9" t="s">
        <v>24</v>
      </c>
      <c r="C940" s="119" t="str">
        <f aca="false">'🤖 Llama-3.1-70b-instruct'!C115</f>
        <v>tldr</v>
      </c>
      <c r="D940" s="143" t="n">
        <f aca="false">'🤖 Llama-3.1-70b-instruct'!E115</f>
        <v>0.004761904762</v>
      </c>
      <c r="E940" s="175" t="n">
        <f aca="false">'🤖 Llama-3.1-70b-instruct'!F115</f>
        <v>0</v>
      </c>
      <c r="F940" s="175" t="n">
        <f aca="false">'🤖 Llama-3.1-70b-instruct'!G115</f>
        <v>0</v>
      </c>
      <c r="G940" s="175" t="n">
        <f aca="false">'🤖 Llama-3.1-70b-instruct'!H115</f>
        <v>0</v>
      </c>
      <c r="H940" s="175" t="n">
        <f aca="false">'🤖 Llama-3.1-70b-instruct'!I115</f>
        <v>0</v>
      </c>
      <c r="I940" s="175" t="n">
        <f aca="false">'🤖 Llama-3.1-70b-instruct'!J115</f>
        <v>0</v>
      </c>
    </row>
    <row r="941" customFormat="false" ht="15.75" hidden="false" customHeight="false" outlineLevel="0" collapsed="false">
      <c r="A941" s="118"/>
      <c r="B941" s="9"/>
      <c r="C941" s="6"/>
      <c r="D941" s="143"/>
      <c r="E941" s="4"/>
      <c r="F941" s="4"/>
      <c r="G941" s="4"/>
      <c r="H941" s="4"/>
      <c r="I941" s="4"/>
    </row>
    <row r="942" customFormat="false" ht="15.75" hidden="false" customHeight="false" outlineLevel="0" collapsed="false">
      <c r="A942" s="118" t="n">
        <f aca="false">'🤖 Llama-3.1-70b-instruct'!$A$117</f>
        <v>0</v>
      </c>
      <c r="B942" s="9" t="s">
        <v>24</v>
      </c>
      <c r="C942" s="119" t="str">
        <f aca="false">'🤖 Llama-3.1-70b-instruct'!C117</f>
        <v>Base</v>
      </c>
      <c r="D942" s="143" t="n">
        <f aca="false">'🤖 Llama-3.1-70b-instruct'!E117</f>
        <v>0.004761904762</v>
      </c>
      <c r="E942" s="175" t="n">
        <f aca="false">'🤖 Llama-3.1-70b-instruct'!F117</f>
        <v>0</v>
      </c>
      <c r="F942" s="175" t="n">
        <f aca="false">'🤖 Llama-3.1-70b-instruct'!G117</f>
        <v>0</v>
      </c>
      <c r="G942" s="175" t="n">
        <f aca="false">'🤖 Llama-3.1-70b-instruct'!H117</f>
        <v>0</v>
      </c>
      <c r="H942" s="175" t="n">
        <f aca="false">'🤖 Llama-3.1-70b-instruct'!I117</f>
        <v>0</v>
      </c>
      <c r="I942" s="175" t="n">
        <f aca="false">'🤖 Llama-3.1-70b-instruct'!J117</f>
        <v>0</v>
      </c>
    </row>
    <row r="943" customFormat="false" ht="15.75" hidden="false" customHeight="false" outlineLevel="0" collapsed="false">
      <c r="A943" s="118" t="n">
        <f aca="false">'🤖 Llama-3.1-70b-instruct'!$A$117</f>
        <v>0</v>
      </c>
      <c r="B943" s="9" t="s">
        <v>24</v>
      </c>
      <c r="C943" s="119" t="str">
        <f aca="false">'🤖 Llama-3.1-70b-instruct'!C118</f>
        <v>CoT</v>
      </c>
      <c r="D943" s="143" t="n">
        <f aca="false">'🤖 Llama-3.1-70b-instruct'!E118</f>
        <v>0.004761904762</v>
      </c>
      <c r="E943" s="175" t="n">
        <f aca="false">'🤖 Llama-3.1-70b-instruct'!F118</f>
        <v>0</v>
      </c>
      <c r="F943" s="175" t="n">
        <f aca="false">'🤖 Llama-3.1-70b-instruct'!G118</f>
        <v>0</v>
      </c>
      <c r="G943" s="175" t="n">
        <f aca="false">'🤖 Llama-3.1-70b-instruct'!H118</f>
        <v>0</v>
      </c>
      <c r="H943" s="175" t="n">
        <f aca="false">'🤖 Llama-3.1-70b-instruct'!I118</f>
        <v>0</v>
      </c>
      <c r="I943" s="175" t="n">
        <f aca="false">'🤖 Llama-3.1-70b-instruct'!J118</f>
        <v>0</v>
      </c>
    </row>
    <row r="944" customFormat="false" ht="15.75" hidden="false" customHeight="false" outlineLevel="0" collapsed="false">
      <c r="A944" s="118" t="n">
        <f aca="false">'🤖 Llama-3.1-70b-instruct'!$A$117</f>
        <v>0</v>
      </c>
      <c r="B944" s="9" t="s">
        <v>24</v>
      </c>
      <c r="C944" s="119" t="str">
        <f aca="false">'🤖 Llama-3.1-70b-instruct'!C119</f>
        <v>5W1H</v>
      </c>
      <c r="D944" s="143" t="n">
        <f aca="false">'🤖 Llama-3.1-70b-instruct'!E119</f>
        <v>0.004761904762</v>
      </c>
      <c r="E944" s="175" t="n">
        <f aca="false">'🤖 Llama-3.1-70b-instruct'!F119</f>
        <v>0</v>
      </c>
      <c r="F944" s="175" t="n">
        <f aca="false">'🤖 Llama-3.1-70b-instruct'!G119</f>
        <v>0</v>
      </c>
      <c r="G944" s="175" t="n">
        <f aca="false">'🤖 Llama-3.1-70b-instruct'!H119</f>
        <v>0</v>
      </c>
      <c r="H944" s="175" t="n">
        <f aca="false">'🤖 Llama-3.1-70b-instruct'!I119</f>
        <v>0</v>
      </c>
      <c r="I944" s="175" t="n">
        <f aca="false">'🤖 Llama-3.1-70b-instruct'!J119</f>
        <v>0</v>
      </c>
    </row>
    <row r="945" customFormat="false" ht="15.75" hidden="false" customHeight="false" outlineLevel="0" collapsed="false">
      <c r="A945" s="118" t="n">
        <f aca="false">'🤖 Llama-3.1-70b-instruct'!$A$117</f>
        <v>0</v>
      </c>
      <c r="B945" s="9" t="s">
        <v>24</v>
      </c>
      <c r="C945" s="119" t="str">
        <f aca="false">'🤖 Llama-3.1-70b-instruct'!C120</f>
        <v>tldr</v>
      </c>
      <c r="D945" s="143" t="n">
        <f aca="false">'🤖 Llama-3.1-70b-instruct'!E120</f>
        <v>0.004761904762</v>
      </c>
      <c r="E945" s="175" t="n">
        <f aca="false">'🤖 Llama-3.1-70b-instruct'!F120</f>
        <v>0</v>
      </c>
      <c r="F945" s="175" t="n">
        <f aca="false">'🤖 Llama-3.1-70b-instruct'!G120</f>
        <v>0</v>
      </c>
      <c r="G945" s="175" t="n">
        <f aca="false">'🤖 Llama-3.1-70b-instruct'!H120</f>
        <v>0</v>
      </c>
      <c r="H945" s="175" t="n">
        <f aca="false">'🤖 Llama-3.1-70b-instruct'!I120</f>
        <v>0</v>
      </c>
      <c r="I945" s="175" t="n">
        <f aca="false">'🤖 Llama-3.1-70b-instruct'!J120</f>
        <v>0</v>
      </c>
    </row>
    <row r="946" customFormat="false" ht="15.75" hidden="false" customHeight="false" outlineLevel="0" collapsed="false">
      <c r="A946" s="118"/>
      <c r="B946" s="9"/>
      <c r="C946" s="6"/>
      <c r="D946" s="143"/>
      <c r="E946" s="4"/>
      <c r="F946" s="4"/>
      <c r="G946" s="4"/>
      <c r="H946" s="4"/>
      <c r="I946" s="4"/>
    </row>
    <row r="947" customFormat="false" ht="15.75" hidden="false" customHeight="false" outlineLevel="0" collapsed="false">
      <c r="A947" s="118" t="n">
        <f aca="false">'🤖 Llama-3.1-70b-instruct'!$A$122</f>
        <v>0</v>
      </c>
      <c r="B947" s="9" t="s">
        <v>24</v>
      </c>
      <c r="C947" s="119" t="str">
        <f aca="false">'🤖 Llama-3.1-70b-instruct'!C122</f>
        <v>Base</v>
      </c>
      <c r="D947" s="143" t="n">
        <f aca="false">'🤖 Llama-3.1-70b-instruct'!E122</f>
        <v>0.004761904762</v>
      </c>
      <c r="E947" s="175" t="n">
        <f aca="false">'🤖 Llama-3.1-70b-instruct'!F122</f>
        <v>0</v>
      </c>
      <c r="F947" s="175" t="n">
        <f aca="false">'🤖 Llama-3.1-70b-instruct'!G122</f>
        <v>0</v>
      </c>
      <c r="G947" s="175" t="n">
        <f aca="false">'🤖 Llama-3.1-70b-instruct'!H122</f>
        <v>0</v>
      </c>
      <c r="H947" s="175" t="n">
        <f aca="false">'🤖 Llama-3.1-70b-instruct'!I122</f>
        <v>0</v>
      </c>
      <c r="I947" s="175" t="n">
        <f aca="false">'🤖 Llama-3.1-70b-instruct'!J122</f>
        <v>0</v>
      </c>
    </row>
    <row r="948" customFormat="false" ht="15.75" hidden="false" customHeight="false" outlineLevel="0" collapsed="false">
      <c r="A948" s="118" t="n">
        <f aca="false">'🤖 Llama-3.1-70b-instruct'!$A$122</f>
        <v>0</v>
      </c>
      <c r="B948" s="9" t="s">
        <v>24</v>
      </c>
      <c r="C948" s="119" t="str">
        <f aca="false">'🤖 Llama-3.1-70b-instruct'!C123</f>
        <v>CoT</v>
      </c>
      <c r="D948" s="143" t="n">
        <f aca="false">'🤖 Llama-3.1-70b-instruct'!E123</f>
        <v>0.004761904762</v>
      </c>
      <c r="E948" s="175" t="n">
        <f aca="false">'🤖 Llama-3.1-70b-instruct'!F123</f>
        <v>0</v>
      </c>
      <c r="F948" s="175" t="n">
        <f aca="false">'🤖 Llama-3.1-70b-instruct'!G123</f>
        <v>0</v>
      </c>
      <c r="G948" s="175" t="n">
        <f aca="false">'🤖 Llama-3.1-70b-instruct'!H123</f>
        <v>0</v>
      </c>
      <c r="H948" s="175" t="n">
        <f aca="false">'🤖 Llama-3.1-70b-instruct'!I123</f>
        <v>0</v>
      </c>
      <c r="I948" s="175" t="n">
        <f aca="false">'🤖 Llama-3.1-70b-instruct'!J123</f>
        <v>0</v>
      </c>
    </row>
    <row r="949" customFormat="false" ht="15.75" hidden="false" customHeight="false" outlineLevel="0" collapsed="false">
      <c r="A949" s="118" t="n">
        <f aca="false">'🤖 Llama-3.1-70b-instruct'!$A$122</f>
        <v>0</v>
      </c>
      <c r="B949" s="9" t="s">
        <v>24</v>
      </c>
      <c r="C949" s="119" t="str">
        <f aca="false">'🤖 Llama-3.1-70b-instruct'!C124</f>
        <v>5W1H</v>
      </c>
      <c r="D949" s="143" t="n">
        <f aca="false">'🤖 Llama-3.1-70b-instruct'!E124</f>
        <v>0.004761904762</v>
      </c>
      <c r="E949" s="175" t="n">
        <f aca="false">'🤖 Llama-3.1-70b-instruct'!F124</f>
        <v>0</v>
      </c>
      <c r="F949" s="175" t="n">
        <f aca="false">'🤖 Llama-3.1-70b-instruct'!G124</f>
        <v>0</v>
      </c>
      <c r="G949" s="175" t="n">
        <f aca="false">'🤖 Llama-3.1-70b-instruct'!H124</f>
        <v>0</v>
      </c>
      <c r="H949" s="175" t="n">
        <f aca="false">'🤖 Llama-3.1-70b-instruct'!I124</f>
        <v>0</v>
      </c>
      <c r="I949" s="175" t="n">
        <f aca="false">'🤖 Llama-3.1-70b-instruct'!J124</f>
        <v>0</v>
      </c>
    </row>
    <row r="950" customFormat="false" ht="15.75" hidden="false" customHeight="false" outlineLevel="0" collapsed="false">
      <c r="A950" s="118" t="n">
        <f aca="false">'🤖 Llama-3.1-70b-instruct'!$A$122</f>
        <v>0</v>
      </c>
      <c r="B950" s="9" t="s">
        <v>24</v>
      </c>
      <c r="C950" s="119" t="str">
        <f aca="false">'🤖 Llama-3.1-70b-instruct'!C125</f>
        <v>tldr</v>
      </c>
      <c r="D950" s="143" t="n">
        <f aca="false">'🤖 Llama-3.1-70b-instruct'!E125</f>
        <v>0.004761904762</v>
      </c>
      <c r="E950" s="175" t="n">
        <f aca="false">'🤖 Llama-3.1-70b-instruct'!F125</f>
        <v>0</v>
      </c>
      <c r="F950" s="175" t="n">
        <f aca="false">'🤖 Llama-3.1-70b-instruct'!G125</f>
        <v>0</v>
      </c>
      <c r="G950" s="175" t="n">
        <f aca="false">'🤖 Llama-3.1-70b-instruct'!H125</f>
        <v>0</v>
      </c>
      <c r="H950" s="175" t="n">
        <f aca="false">'🤖 Llama-3.1-70b-instruct'!I125</f>
        <v>0</v>
      </c>
      <c r="I950" s="175" t="n">
        <f aca="false">'🤖 Llama-3.1-70b-instruct'!J125</f>
        <v>0</v>
      </c>
    </row>
    <row r="951" customFormat="false" ht="15.75" hidden="false" customHeight="false" outlineLevel="0" collapsed="false">
      <c r="A951" s="118"/>
      <c r="B951" s="9"/>
      <c r="C951" s="6"/>
      <c r="D951" s="143"/>
      <c r="E951" s="4"/>
      <c r="F951" s="4"/>
      <c r="G951" s="4"/>
      <c r="H951" s="4"/>
      <c r="I951" s="4"/>
    </row>
    <row r="952" customFormat="false" ht="15.75" hidden="false" customHeight="false" outlineLevel="0" collapsed="false">
      <c r="A952" s="118" t="n">
        <f aca="false">'🤖 Llama-3.1-70b-instruct'!$A$127</f>
        <v>0</v>
      </c>
      <c r="B952" s="9" t="s">
        <v>24</v>
      </c>
      <c r="C952" s="119" t="str">
        <f aca="false">'🤖 Llama-3.1-70b-instruct'!C127</f>
        <v>Base</v>
      </c>
      <c r="D952" s="143" t="n">
        <f aca="false">'🤖 Llama-3.1-70b-instruct'!E127</f>
        <v>0.004761904762</v>
      </c>
      <c r="E952" s="175" t="n">
        <f aca="false">'🤖 Llama-3.1-70b-instruct'!F127</f>
        <v>0</v>
      </c>
      <c r="F952" s="175" t="n">
        <f aca="false">'🤖 Llama-3.1-70b-instruct'!G127</f>
        <v>0</v>
      </c>
      <c r="G952" s="175" t="n">
        <f aca="false">'🤖 Llama-3.1-70b-instruct'!H127</f>
        <v>0</v>
      </c>
      <c r="H952" s="175" t="n">
        <f aca="false">'🤖 Llama-3.1-70b-instruct'!I127</f>
        <v>0</v>
      </c>
      <c r="I952" s="175" t="n">
        <f aca="false">'🤖 Llama-3.1-70b-instruct'!J127</f>
        <v>0</v>
      </c>
    </row>
    <row r="953" customFormat="false" ht="15.75" hidden="false" customHeight="false" outlineLevel="0" collapsed="false">
      <c r="A953" s="118" t="n">
        <f aca="false">'🤖 Llama-3.1-70b-instruct'!$A$127</f>
        <v>0</v>
      </c>
      <c r="B953" s="9" t="s">
        <v>24</v>
      </c>
      <c r="C953" s="119" t="str">
        <f aca="false">'🤖 Llama-3.1-70b-instruct'!C128</f>
        <v>CoT</v>
      </c>
      <c r="D953" s="143" t="n">
        <f aca="false">'🤖 Llama-3.1-70b-instruct'!E128</f>
        <v>0.004761904762</v>
      </c>
      <c r="E953" s="175" t="n">
        <f aca="false">'🤖 Llama-3.1-70b-instruct'!F128</f>
        <v>0</v>
      </c>
      <c r="F953" s="175" t="n">
        <f aca="false">'🤖 Llama-3.1-70b-instruct'!G128</f>
        <v>0</v>
      </c>
      <c r="G953" s="175" t="n">
        <f aca="false">'🤖 Llama-3.1-70b-instruct'!H128</f>
        <v>0</v>
      </c>
      <c r="H953" s="175" t="n">
        <f aca="false">'🤖 Llama-3.1-70b-instruct'!I128</f>
        <v>0</v>
      </c>
      <c r="I953" s="175" t="n">
        <f aca="false">'🤖 Llama-3.1-70b-instruct'!J128</f>
        <v>0</v>
      </c>
    </row>
    <row r="954" customFormat="false" ht="15.75" hidden="false" customHeight="false" outlineLevel="0" collapsed="false">
      <c r="A954" s="118" t="n">
        <f aca="false">'🤖 Llama-3.1-70b-instruct'!$A$127</f>
        <v>0</v>
      </c>
      <c r="B954" s="9" t="s">
        <v>24</v>
      </c>
      <c r="C954" s="119" t="str">
        <f aca="false">'🤖 Llama-3.1-70b-instruct'!C129</f>
        <v>5W1H</v>
      </c>
      <c r="D954" s="143" t="n">
        <f aca="false">'🤖 Llama-3.1-70b-instruct'!E129</f>
        <v>0.004761904762</v>
      </c>
      <c r="E954" s="175" t="n">
        <f aca="false">'🤖 Llama-3.1-70b-instruct'!F129</f>
        <v>0</v>
      </c>
      <c r="F954" s="175" t="n">
        <f aca="false">'🤖 Llama-3.1-70b-instruct'!G129</f>
        <v>0</v>
      </c>
      <c r="G954" s="175" t="n">
        <f aca="false">'🤖 Llama-3.1-70b-instruct'!H129</f>
        <v>0</v>
      </c>
      <c r="H954" s="175" t="n">
        <f aca="false">'🤖 Llama-3.1-70b-instruct'!I129</f>
        <v>0</v>
      </c>
      <c r="I954" s="175" t="n">
        <f aca="false">'🤖 Llama-3.1-70b-instruct'!J129</f>
        <v>0</v>
      </c>
    </row>
    <row r="955" customFormat="false" ht="15.75" hidden="false" customHeight="false" outlineLevel="0" collapsed="false">
      <c r="A955" s="118" t="n">
        <f aca="false">'🤖 Llama-3.1-70b-instruct'!$A$127</f>
        <v>0</v>
      </c>
      <c r="B955" s="9" t="s">
        <v>24</v>
      </c>
      <c r="C955" s="119" t="str">
        <f aca="false">'🤖 Llama-3.1-70b-instruct'!C130</f>
        <v>tldr</v>
      </c>
      <c r="D955" s="143" t="n">
        <f aca="false">'🤖 Llama-3.1-70b-instruct'!E130</f>
        <v>0.004761904762</v>
      </c>
      <c r="E955" s="175" t="n">
        <f aca="false">'🤖 Llama-3.1-70b-instruct'!F130</f>
        <v>0</v>
      </c>
      <c r="F955" s="175" t="n">
        <f aca="false">'🤖 Llama-3.1-70b-instruct'!G130</f>
        <v>0</v>
      </c>
      <c r="G955" s="175" t="n">
        <f aca="false">'🤖 Llama-3.1-70b-instruct'!H130</f>
        <v>0</v>
      </c>
      <c r="H955" s="175" t="n">
        <f aca="false">'🤖 Llama-3.1-70b-instruct'!I130</f>
        <v>0</v>
      </c>
      <c r="I955" s="175" t="n">
        <f aca="false">'🤖 Llama-3.1-70b-instruct'!J130</f>
        <v>0</v>
      </c>
    </row>
    <row r="956" customFormat="false" ht="15.75" hidden="false" customHeight="false" outlineLevel="0" collapsed="false">
      <c r="A956" s="118"/>
      <c r="B956" s="9"/>
      <c r="C956" s="6"/>
      <c r="D956" s="143"/>
      <c r="E956" s="4"/>
      <c r="F956" s="4"/>
      <c r="G956" s="4"/>
      <c r="H956" s="4"/>
      <c r="I956" s="4"/>
    </row>
    <row r="957" customFormat="false" ht="15.75" hidden="false" customHeight="false" outlineLevel="0" collapsed="false">
      <c r="A957" s="118" t="n">
        <f aca="false">'🤖 Llama-3.1-70b-instruct'!$A$132</f>
        <v>0</v>
      </c>
      <c r="B957" s="9" t="s">
        <v>24</v>
      </c>
      <c r="C957" s="119" t="str">
        <f aca="false">'🤖 Llama-3.1-70b-instruct'!C132</f>
        <v>Base</v>
      </c>
      <c r="D957" s="143" t="n">
        <f aca="false">'🤖 Llama-3.1-70b-instruct'!E132</f>
        <v>0.004761904762</v>
      </c>
      <c r="E957" s="175" t="n">
        <f aca="false">'🤖 Llama-3.1-70b-instruct'!F132</f>
        <v>0</v>
      </c>
      <c r="F957" s="175" t="n">
        <f aca="false">'🤖 Llama-3.1-70b-instruct'!G132</f>
        <v>0</v>
      </c>
      <c r="G957" s="175" t="n">
        <f aca="false">'🤖 Llama-3.1-70b-instruct'!H132</f>
        <v>0</v>
      </c>
      <c r="H957" s="175" t="n">
        <f aca="false">'🤖 Llama-3.1-70b-instruct'!I132</f>
        <v>0</v>
      </c>
      <c r="I957" s="175" t="n">
        <f aca="false">'🤖 Llama-3.1-70b-instruct'!J132</f>
        <v>0</v>
      </c>
    </row>
    <row r="958" customFormat="false" ht="15.75" hidden="false" customHeight="false" outlineLevel="0" collapsed="false">
      <c r="A958" s="118" t="n">
        <f aca="false">'🤖 Llama-3.1-70b-instruct'!$A$132</f>
        <v>0</v>
      </c>
      <c r="B958" s="9" t="s">
        <v>24</v>
      </c>
      <c r="C958" s="119" t="str">
        <f aca="false">'🤖 Llama-3.1-70b-instruct'!C133</f>
        <v>CoT</v>
      </c>
      <c r="D958" s="143" t="n">
        <f aca="false">'🤖 Llama-3.1-70b-instruct'!E133</f>
        <v>0.004761904762</v>
      </c>
      <c r="E958" s="175" t="n">
        <f aca="false">'🤖 Llama-3.1-70b-instruct'!F133</f>
        <v>0</v>
      </c>
      <c r="F958" s="175" t="n">
        <f aca="false">'🤖 Llama-3.1-70b-instruct'!G133</f>
        <v>0</v>
      </c>
      <c r="G958" s="175" t="n">
        <f aca="false">'🤖 Llama-3.1-70b-instruct'!H133</f>
        <v>0</v>
      </c>
      <c r="H958" s="175" t="n">
        <f aca="false">'🤖 Llama-3.1-70b-instruct'!I133</f>
        <v>0</v>
      </c>
      <c r="I958" s="175" t="n">
        <f aca="false">'🤖 Llama-3.1-70b-instruct'!J133</f>
        <v>0</v>
      </c>
    </row>
    <row r="959" customFormat="false" ht="15.75" hidden="false" customHeight="false" outlineLevel="0" collapsed="false">
      <c r="A959" s="118" t="n">
        <f aca="false">'🤖 Llama-3.1-70b-instruct'!$A$132</f>
        <v>0</v>
      </c>
      <c r="B959" s="9" t="s">
        <v>24</v>
      </c>
      <c r="C959" s="119" t="str">
        <f aca="false">'🤖 Llama-3.1-70b-instruct'!C134</f>
        <v>5W1H</v>
      </c>
      <c r="D959" s="143" t="n">
        <f aca="false">'🤖 Llama-3.1-70b-instruct'!E134</f>
        <v>0.004761904762</v>
      </c>
      <c r="E959" s="175" t="n">
        <f aca="false">'🤖 Llama-3.1-70b-instruct'!F134</f>
        <v>0</v>
      </c>
      <c r="F959" s="175" t="n">
        <f aca="false">'🤖 Llama-3.1-70b-instruct'!G134</f>
        <v>0</v>
      </c>
      <c r="G959" s="175" t="n">
        <f aca="false">'🤖 Llama-3.1-70b-instruct'!H134</f>
        <v>0</v>
      </c>
      <c r="H959" s="175" t="n">
        <f aca="false">'🤖 Llama-3.1-70b-instruct'!I134</f>
        <v>0</v>
      </c>
      <c r="I959" s="175" t="n">
        <f aca="false">'🤖 Llama-3.1-70b-instruct'!J134</f>
        <v>0</v>
      </c>
    </row>
    <row r="960" customFormat="false" ht="15.75" hidden="false" customHeight="false" outlineLevel="0" collapsed="false">
      <c r="A960" s="118" t="n">
        <f aca="false">'🤖 Llama-3.1-70b-instruct'!$A$132</f>
        <v>0</v>
      </c>
      <c r="B960" s="9" t="s">
        <v>24</v>
      </c>
      <c r="C960" s="119" t="str">
        <f aca="false">'🤖 Llama-3.1-70b-instruct'!C135</f>
        <v>tldr</v>
      </c>
      <c r="D960" s="143" t="n">
        <f aca="false">'🤖 Llama-3.1-70b-instruct'!E135</f>
        <v>0.004761904762</v>
      </c>
      <c r="E960" s="175" t="n">
        <f aca="false">'🤖 Llama-3.1-70b-instruct'!F135</f>
        <v>0</v>
      </c>
      <c r="F960" s="175" t="n">
        <f aca="false">'🤖 Llama-3.1-70b-instruct'!G135</f>
        <v>0</v>
      </c>
      <c r="G960" s="175" t="n">
        <f aca="false">'🤖 Llama-3.1-70b-instruct'!H135</f>
        <v>0</v>
      </c>
      <c r="H960" s="175" t="n">
        <f aca="false">'🤖 Llama-3.1-70b-instruct'!I135</f>
        <v>0</v>
      </c>
      <c r="I960" s="175" t="n">
        <f aca="false">'🤖 Llama-3.1-70b-instruct'!J135</f>
        <v>0</v>
      </c>
    </row>
    <row r="961" customFormat="false" ht="15.75" hidden="false" customHeight="false" outlineLevel="0" collapsed="false">
      <c r="A961" s="118"/>
      <c r="B961" s="9"/>
      <c r="C961" s="6"/>
      <c r="D961" s="143"/>
      <c r="E961" s="4"/>
      <c r="F961" s="4"/>
      <c r="G961" s="4"/>
      <c r="H961" s="4"/>
      <c r="I961" s="4"/>
    </row>
    <row r="962" customFormat="false" ht="15.75" hidden="false" customHeight="false" outlineLevel="0" collapsed="false">
      <c r="A962" s="118" t="n">
        <f aca="false">'🤖 Llama-3.1-70b-instruct'!$A$137</f>
        <v>0</v>
      </c>
      <c r="B962" s="9" t="s">
        <v>24</v>
      </c>
      <c r="C962" s="119" t="str">
        <f aca="false">'🤖 Llama-3.1-70b-instruct'!C137</f>
        <v>Base</v>
      </c>
      <c r="D962" s="143" t="n">
        <f aca="false">'🤖 Llama-3.1-70b-instruct'!E137</f>
        <v>0.004761904762</v>
      </c>
      <c r="E962" s="175" t="n">
        <f aca="false">'🤖 Llama-3.1-70b-instruct'!F137</f>
        <v>0</v>
      </c>
      <c r="F962" s="175" t="n">
        <f aca="false">'🤖 Llama-3.1-70b-instruct'!G137</f>
        <v>0</v>
      </c>
      <c r="G962" s="175" t="n">
        <f aca="false">'🤖 Llama-3.1-70b-instruct'!H137</f>
        <v>0</v>
      </c>
      <c r="H962" s="175" t="n">
        <f aca="false">'🤖 Llama-3.1-70b-instruct'!I137</f>
        <v>0</v>
      </c>
      <c r="I962" s="175" t="n">
        <f aca="false">'🤖 Llama-3.1-70b-instruct'!J137</f>
        <v>0</v>
      </c>
    </row>
    <row r="963" customFormat="false" ht="15.75" hidden="false" customHeight="false" outlineLevel="0" collapsed="false">
      <c r="A963" s="118" t="n">
        <f aca="false">'🤖 Llama-3.1-70b-instruct'!$A$137</f>
        <v>0</v>
      </c>
      <c r="B963" s="9" t="s">
        <v>24</v>
      </c>
      <c r="C963" s="119" t="str">
        <f aca="false">'🤖 Llama-3.1-70b-instruct'!C138</f>
        <v>CoT</v>
      </c>
      <c r="D963" s="143" t="n">
        <f aca="false">'🤖 Llama-3.1-70b-instruct'!E138</f>
        <v>0.004761904762</v>
      </c>
      <c r="E963" s="175" t="n">
        <f aca="false">'🤖 Llama-3.1-70b-instruct'!F138</f>
        <v>0</v>
      </c>
      <c r="F963" s="175" t="n">
        <f aca="false">'🤖 Llama-3.1-70b-instruct'!G138</f>
        <v>0</v>
      </c>
      <c r="G963" s="175" t="n">
        <f aca="false">'🤖 Llama-3.1-70b-instruct'!H138</f>
        <v>0</v>
      </c>
      <c r="H963" s="175" t="n">
        <f aca="false">'🤖 Llama-3.1-70b-instruct'!I138</f>
        <v>0</v>
      </c>
      <c r="I963" s="175" t="n">
        <f aca="false">'🤖 Llama-3.1-70b-instruct'!J138</f>
        <v>0</v>
      </c>
    </row>
    <row r="964" customFormat="false" ht="15.75" hidden="false" customHeight="false" outlineLevel="0" collapsed="false">
      <c r="A964" s="118" t="n">
        <f aca="false">'🤖 Llama-3.1-70b-instruct'!$A$137</f>
        <v>0</v>
      </c>
      <c r="B964" s="9" t="s">
        <v>24</v>
      </c>
      <c r="C964" s="119" t="str">
        <f aca="false">'🤖 Llama-3.1-70b-instruct'!C139</f>
        <v>5W1H</v>
      </c>
      <c r="D964" s="143" t="n">
        <f aca="false">'🤖 Llama-3.1-70b-instruct'!E139</f>
        <v>0.004761904762</v>
      </c>
      <c r="E964" s="175" t="n">
        <f aca="false">'🤖 Llama-3.1-70b-instruct'!F139</f>
        <v>0</v>
      </c>
      <c r="F964" s="175" t="n">
        <f aca="false">'🤖 Llama-3.1-70b-instruct'!G139</f>
        <v>0</v>
      </c>
      <c r="G964" s="175" t="n">
        <f aca="false">'🤖 Llama-3.1-70b-instruct'!H139</f>
        <v>0</v>
      </c>
      <c r="H964" s="175" t="n">
        <f aca="false">'🤖 Llama-3.1-70b-instruct'!I139</f>
        <v>0</v>
      </c>
      <c r="I964" s="175" t="n">
        <f aca="false">'🤖 Llama-3.1-70b-instruct'!J139</f>
        <v>0</v>
      </c>
    </row>
    <row r="965" customFormat="false" ht="15.75" hidden="false" customHeight="false" outlineLevel="0" collapsed="false">
      <c r="A965" s="118" t="n">
        <f aca="false">'🤖 Llama-3.1-70b-instruct'!$A$137</f>
        <v>0</v>
      </c>
      <c r="B965" s="9" t="s">
        <v>24</v>
      </c>
      <c r="C965" s="119" t="str">
        <f aca="false">'🤖 Llama-3.1-70b-instruct'!C140</f>
        <v>tldr</v>
      </c>
      <c r="D965" s="143" t="n">
        <f aca="false">'🤖 Llama-3.1-70b-instruct'!E140</f>
        <v>0.004761904762</v>
      </c>
      <c r="E965" s="175" t="n">
        <f aca="false">'🤖 Llama-3.1-70b-instruct'!F140</f>
        <v>0</v>
      </c>
      <c r="F965" s="175" t="n">
        <f aca="false">'🤖 Llama-3.1-70b-instruct'!G140</f>
        <v>0</v>
      </c>
      <c r="G965" s="175" t="n">
        <f aca="false">'🤖 Llama-3.1-70b-instruct'!H140</f>
        <v>0</v>
      </c>
      <c r="H965" s="175" t="n">
        <f aca="false">'🤖 Llama-3.1-70b-instruct'!I140</f>
        <v>0</v>
      </c>
      <c r="I965" s="175" t="n">
        <f aca="false">'🤖 Llama-3.1-70b-instruct'!J140</f>
        <v>0</v>
      </c>
    </row>
    <row r="966" customFormat="false" ht="15.75" hidden="false" customHeight="false" outlineLevel="0" collapsed="false">
      <c r="A966" s="118"/>
      <c r="B966" s="9"/>
      <c r="C966" s="6"/>
      <c r="D966" s="143"/>
      <c r="E966" s="4"/>
      <c r="F966" s="4"/>
      <c r="G966" s="4"/>
      <c r="H966" s="4"/>
      <c r="I966" s="4"/>
    </row>
    <row r="967" customFormat="false" ht="15.75" hidden="false" customHeight="false" outlineLevel="0" collapsed="false">
      <c r="A967" s="118" t="n">
        <f aca="false">'🤖 Llama-3.1-70b-instruct'!$A$142</f>
        <v>0</v>
      </c>
      <c r="B967" s="9" t="s">
        <v>24</v>
      </c>
      <c r="C967" s="119" t="str">
        <f aca="false">'🤖 Llama-3.1-70b-instruct'!C142</f>
        <v>Base</v>
      </c>
      <c r="D967" s="143" t="n">
        <f aca="false">'🤖 Llama-3.1-70b-instruct'!E142</f>
        <v>0.004761904762</v>
      </c>
      <c r="E967" s="175" t="n">
        <f aca="false">'🤖 Llama-3.1-70b-instruct'!F142</f>
        <v>0</v>
      </c>
      <c r="F967" s="175" t="n">
        <f aca="false">'🤖 Llama-3.1-70b-instruct'!G142</f>
        <v>0</v>
      </c>
      <c r="G967" s="175" t="n">
        <f aca="false">'🤖 Llama-3.1-70b-instruct'!H142</f>
        <v>0</v>
      </c>
      <c r="H967" s="175" t="n">
        <f aca="false">'🤖 Llama-3.1-70b-instruct'!I142</f>
        <v>0</v>
      </c>
      <c r="I967" s="175" t="n">
        <f aca="false">'🤖 Llama-3.1-70b-instruct'!J142</f>
        <v>0</v>
      </c>
    </row>
    <row r="968" customFormat="false" ht="15.75" hidden="false" customHeight="false" outlineLevel="0" collapsed="false">
      <c r="A968" s="118" t="n">
        <f aca="false">'🤖 Llama-3.1-70b-instruct'!$A$142</f>
        <v>0</v>
      </c>
      <c r="B968" s="9" t="s">
        <v>24</v>
      </c>
      <c r="C968" s="119" t="str">
        <f aca="false">'🤖 Llama-3.1-70b-instruct'!C143</f>
        <v>CoT</v>
      </c>
      <c r="D968" s="143" t="n">
        <f aca="false">'🤖 Llama-3.1-70b-instruct'!E143</f>
        <v>0.004761904762</v>
      </c>
      <c r="E968" s="175" t="n">
        <f aca="false">'🤖 Llama-3.1-70b-instruct'!F143</f>
        <v>0</v>
      </c>
      <c r="F968" s="175" t="n">
        <f aca="false">'🤖 Llama-3.1-70b-instruct'!G143</f>
        <v>0</v>
      </c>
      <c r="G968" s="175" t="n">
        <f aca="false">'🤖 Llama-3.1-70b-instruct'!H143</f>
        <v>0</v>
      </c>
      <c r="H968" s="175" t="n">
        <f aca="false">'🤖 Llama-3.1-70b-instruct'!I143</f>
        <v>0</v>
      </c>
      <c r="I968" s="175" t="n">
        <f aca="false">'🤖 Llama-3.1-70b-instruct'!J143</f>
        <v>0</v>
      </c>
    </row>
    <row r="969" customFormat="false" ht="15.75" hidden="false" customHeight="false" outlineLevel="0" collapsed="false">
      <c r="A969" s="118" t="n">
        <f aca="false">'🤖 Llama-3.1-70b-instruct'!$A$142</f>
        <v>0</v>
      </c>
      <c r="B969" s="9" t="s">
        <v>24</v>
      </c>
      <c r="C969" s="119" t="str">
        <f aca="false">'🤖 Llama-3.1-70b-instruct'!C144</f>
        <v>5W1H</v>
      </c>
      <c r="D969" s="143" t="n">
        <f aca="false">'🤖 Llama-3.1-70b-instruct'!E144</f>
        <v>0.004761904762</v>
      </c>
      <c r="E969" s="175" t="n">
        <f aca="false">'🤖 Llama-3.1-70b-instruct'!F144</f>
        <v>0</v>
      </c>
      <c r="F969" s="175" t="n">
        <f aca="false">'🤖 Llama-3.1-70b-instruct'!G144</f>
        <v>0</v>
      </c>
      <c r="G969" s="175" t="n">
        <f aca="false">'🤖 Llama-3.1-70b-instruct'!H144</f>
        <v>0</v>
      </c>
      <c r="H969" s="175" t="n">
        <f aca="false">'🤖 Llama-3.1-70b-instruct'!I144</f>
        <v>0</v>
      </c>
      <c r="I969" s="175" t="n">
        <f aca="false">'🤖 Llama-3.1-70b-instruct'!J144</f>
        <v>0</v>
      </c>
    </row>
    <row r="970" customFormat="false" ht="15.75" hidden="false" customHeight="false" outlineLevel="0" collapsed="false">
      <c r="A970" s="118" t="n">
        <f aca="false">'🤖 Llama-3.1-70b-instruct'!$A$142</f>
        <v>0</v>
      </c>
      <c r="B970" s="9" t="s">
        <v>24</v>
      </c>
      <c r="C970" s="119" t="str">
        <f aca="false">'🤖 Llama-3.1-70b-instruct'!C145</f>
        <v>tldr</v>
      </c>
      <c r="D970" s="143" t="n">
        <f aca="false">'🤖 Llama-3.1-70b-instruct'!E145</f>
        <v>0.004761904762</v>
      </c>
      <c r="E970" s="175" t="n">
        <f aca="false">'🤖 Llama-3.1-70b-instruct'!F145</f>
        <v>0</v>
      </c>
      <c r="F970" s="175" t="n">
        <f aca="false">'🤖 Llama-3.1-70b-instruct'!G145</f>
        <v>0</v>
      </c>
      <c r="G970" s="175" t="n">
        <f aca="false">'🤖 Llama-3.1-70b-instruct'!H145</f>
        <v>0</v>
      </c>
      <c r="H970" s="175" t="n">
        <f aca="false">'🤖 Llama-3.1-70b-instruct'!I145</f>
        <v>0</v>
      </c>
      <c r="I970" s="175" t="n">
        <f aca="false">'🤖 Llama-3.1-70b-instruct'!J145</f>
        <v>0</v>
      </c>
    </row>
    <row r="971" customFormat="false" ht="15.75" hidden="false" customHeight="false" outlineLevel="0" collapsed="false">
      <c r="A971" s="118"/>
      <c r="B971" s="9"/>
      <c r="C971" s="6"/>
      <c r="D971" s="143"/>
      <c r="E971" s="4"/>
      <c r="F971" s="4"/>
      <c r="G971" s="4"/>
      <c r="H971" s="4"/>
      <c r="I971" s="4"/>
    </row>
    <row r="972" customFormat="false" ht="15.75" hidden="false" customHeight="false" outlineLevel="0" collapsed="false">
      <c r="A972" s="118" t="n">
        <f aca="false">'🤖 Llama-3.1-70b-instruct'!$A$147</f>
        <v>0</v>
      </c>
      <c r="B972" s="9" t="s">
        <v>24</v>
      </c>
      <c r="C972" s="119" t="str">
        <f aca="false">'🤖 Llama-3.1-70b-instruct'!C147</f>
        <v>Base</v>
      </c>
      <c r="D972" s="143" t="n">
        <f aca="false">'🤖 Llama-3.1-70b-instruct'!E147</f>
        <v>0.004761904762</v>
      </c>
      <c r="E972" s="175" t="n">
        <f aca="false">'🤖 Llama-3.1-70b-instruct'!F147</f>
        <v>0</v>
      </c>
      <c r="F972" s="175" t="n">
        <f aca="false">'🤖 Llama-3.1-70b-instruct'!G147</f>
        <v>0</v>
      </c>
      <c r="G972" s="175" t="n">
        <f aca="false">'🤖 Llama-3.1-70b-instruct'!H147</f>
        <v>0</v>
      </c>
      <c r="H972" s="175" t="n">
        <f aca="false">'🤖 Llama-3.1-70b-instruct'!I147</f>
        <v>0</v>
      </c>
      <c r="I972" s="175" t="n">
        <f aca="false">'🤖 Llama-3.1-70b-instruct'!J147</f>
        <v>0</v>
      </c>
    </row>
    <row r="973" customFormat="false" ht="15.75" hidden="false" customHeight="false" outlineLevel="0" collapsed="false">
      <c r="A973" s="118" t="n">
        <f aca="false">'🤖 Llama-3.1-70b-instruct'!$A$147</f>
        <v>0</v>
      </c>
      <c r="B973" s="9" t="s">
        <v>24</v>
      </c>
      <c r="C973" s="119" t="str">
        <f aca="false">'🤖 Llama-3.1-70b-instruct'!C148</f>
        <v>CoT</v>
      </c>
      <c r="D973" s="143" t="n">
        <f aca="false">'🤖 Llama-3.1-70b-instruct'!E148</f>
        <v>0.004761904762</v>
      </c>
      <c r="E973" s="175" t="n">
        <f aca="false">'🤖 Llama-3.1-70b-instruct'!F148</f>
        <v>0</v>
      </c>
      <c r="F973" s="175" t="n">
        <f aca="false">'🤖 Llama-3.1-70b-instruct'!G148</f>
        <v>0</v>
      </c>
      <c r="G973" s="175" t="n">
        <f aca="false">'🤖 Llama-3.1-70b-instruct'!H148</f>
        <v>0</v>
      </c>
      <c r="H973" s="175" t="n">
        <f aca="false">'🤖 Llama-3.1-70b-instruct'!I148</f>
        <v>0</v>
      </c>
      <c r="I973" s="175" t="n">
        <f aca="false">'🤖 Llama-3.1-70b-instruct'!J148</f>
        <v>0</v>
      </c>
    </row>
    <row r="974" customFormat="false" ht="15.75" hidden="false" customHeight="false" outlineLevel="0" collapsed="false">
      <c r="A974" s="118" t="n">
        <f aca="false">'🤖 Llama-3.1-70b-instruct'!$A$147</f>
        <v>0</v>
      </c>
      <c r="B974" s="9" t="s">
        <v>24</v>
      </c>
      <c r="C974" s="119" t="str">
        <f aca="false">'🤖 Llama-3.1-70b-instruct'!C149</f>
        <v>5W1H</v>
      </c>
      <c r="D974" s="143" t="n">
        <f aca="false">'🤖 Llama-3.1-70b-instruct'!E149</f>
        <v>0.004761904762</v>
      </c>
      <c r="E974" s="175" t="n">
        <f aca="false">'🤖 Llama-3.1-70b-instruct'!F149</f>
        <v>0</v>
      </c>
      <c r="F974" s="175" t="n">
        <f aca="false">'🤖 Llama-3.1-70b-instruct'!G149</f>
        <v>0</v>
      </c>
      <c r="G974" s="175" t="n">
        <f aca="false">'🤖 Llama-3.1-70b-instruct'!H149</f>
        <v>0</v>
      </c>
      <c r="H974" s="175" t="n">
        <f aca="false">'🤖 Llama-3.1-70b-instruct'!I149</f>
        <v>0</v>
      </c>
      <c r="I974" s="175" t="n">
        <f aca="false">'🤖 Llama-3.1-70b-instruct'!J149</f>
        <v>0</v>
      </c>
    </row>
    <row r="975" customFormat="false" ht="15.75" hidden="false" customHeight="false" outlineLevel="0" collapsed="false">
      <c r="A975" s="118" t="n">
        <f aca="false">'🤖 Llama-3.1-70b-instruct'!$A$147</f>
        <v>0</v>
      </c>
      <c r="B975" s="9" t="s">
        <v>24</v>
      </c>
      <c r="C975" s="119" t="str">
        <f aca="false">'🤖 Llama-3.1-70b-instruct'!C150</f>
        <v>tldr</v>
      </c>
      <c r="D975" s="143" t="n">
        <f aca="false">'🤖 Llama-3.1-70b-instruct'!E150</f>
        <v>0.004761904762</v>
      </c>
      <c r="E975" s="175" t="n">
        <f aca="false">'🤖 Llama-3.1-70b-instruct'!F150</f>
        <v>0</v>
      </c>
      <c r="F975" s="175" t="n">
        <f aca="false">'🤖 Llama-3.1-70b-instruct'!G150</f>
        <v>0</v>
      </c>
      <c r="G975" s="175" t="n">
        <f aca="false">'🤖 Llama-3.1-70b-instruct'!H150</f>
        <v>0</v>
      </c>
      <c r="H975" s="175" t="n">
        <f aca="false">'🤖 Llama-3.1-70b-instruct'!I150</f>
        <v>0</v>
      </c>
      <c r="I975" s="175" t="n">
        <f aca="false">'🤖 Llama-3.1-70b-instruct'!J150</f>
        <v>0</v>
      </c>
    </row>
    <row r="976" customFormat="false" ht="15.75" hidden="false" customHeight="false" outlineLevel="0" collapsed="false">
      <c r="A976" s="118"/>
      <c r="B976" s="9"/>
      <c r="C976" s="6"/>
      <c r="D976" s="143"/>
      <c r="E976" s="4"/>
      <c r="F976" s="4"/>
      <c r="G976" s="4"/>
      <c r="H976" s="4"/>
      <c r="I976" s="4"/>
    </row>
    <row r="977" customFormat="false" ht="15.75" hidden="false" customHeight="false" outlineLevel="0" collapsed="false">
      <c r="A977" s="118" t="n">
        <f aca="false">'🤖 Llama-3.1-70b-instruct'!$A$152</f>
        <v>0</v>
      </c>
      <c r="B977" s="9" t="s">
        <v>24</v>
      </c>
      <c r="C977" s="119" t="str">
        <f aca="false">'🤖 Llama-3.1-70b-instruct'!C152</f>
        <v>Base</v>
      </c>
      <c r="D977" s="143" t="n">
        <f aca="false">'🤖 Llama-3.1-70b-instruct'!E152</f>
        <v>0.004761904762</v>
      </c>
      <c r="E977" s="175" t="n">
        <f aca="false">'🤖 Llama-3.1-70b-instruct'!F152</f>
        <v>0</v>
      </c>
      <c r="F977" s="175" t="n">
        <f aca="false">'🤖 Llama-3.1-70b-instruct'!G152</f>
        <v>0</v>
      </c>
      <c r="G977" s="175" t="n">
        <f aca="false">'🤖 Llama-3.1-70b-instruct'!H152</f>
        <v>0</v>
      </c>
      <c r="H977" s="175" t="n">
        <f aca="false">'🤖 Llama-3.1-70b-instruct'!I152</f>
        <v>0</v>
      </c>
      <c r="I977" s="175" t="n">
        <f aca="false">'🤖 Llama-3.1-70b-instruct'!J152</f>
        <v>0</v>
      </c>
    </row>
    <row r="978" customFormat="false" ht="15.75" hidden="false" customHeight="false" outlineLevel="0" collapsed="false">
      <c r="A978" s="118" t="n">
        <f aca="false">'🤖 Llama-3.1-70b-instruct'!$A$152</f>
        <v>0</v>
      </c>
      <c r="B978" s="9" t="s">
        <v>24</v>
      </c>
      <c r="C978" s="119" t="str">
        <f aca="false">'🤖 Llama-3.1-70b-instruct'!C153</f>
        <v>CoT</v>
      </c>
      <c r="D978" s="143" t="n">
        <f aca="false">'🤖 Llama-3.1-70b-instruct'!E153</f>
        <v>0.004761904762</v>
      </c>
      <c r="E978" s="175" t="n">
        <f aca="false">'🤖 Llama-3.1-70b-instruct'!F153</f>
        <v>0</v>
      </c>
      <c r="F978" s="175" t="n">
        <f aca="false">'🤖 Llama-3.1-70b-instruct'!G153</f>
        <v>0</v>
      </c>
      <c r="G978" s="175" t="n">
        <f aca="false">'🤖 Llama-3.1-70b-instruct'!H153</f>
        <v>0</v>
      </c>
      <c r="H978" s="175" t="n">
        <f aca="false">'🤖 Llama-3.1-70b-instruct'!I153</f>
        <v>0</v>
      </c>
      <c r="I978" s="175" t="n">
        <f aca="false">'🤖 Llama-3.1-70b-instruct'!J153</f>
        <v>0</v>
      </c>
    </row>
    <row r="979" customFormat="false" ht="15.75" hidden="false" customHeight="false" outlineLevel="0" collapsed="false">
      <c r="A979" s="118" t="n">
        <f aca="false">'🤖 Llama-3.1-70b-instruct'!$A$152</f>
        <v>0</v>
      </c>
      <c r="B979" s="9" t="s">
        <v>24</v>
      </c>
      <c r="C979" s="119" t="str">
        <f aca="false">'🤖 Llama-3.1-70b-instruct'!C154</f>
        <v>5W1H</v>
      </c>
      <c r="D979" s="143" t="n">
        <f aca="false">'🤖 Llama-3.1-70b-instruct'!E154</f>
        <v>0.004761904762</v>
      </c>
      <c r="E979" s="175" t="n">
        <f aca="false">'🤖 Llama-3.1-70b-instruct'!F154</f>
        <v>0</v>
      </c>
      <c r="F979" s="175" t="n">
        <f aca="false">'🤖 Llama-3.1-70b-instruct'!G154</f>
        <v>0</v>
      </c>
      <c r="G979" s="175" t="n">
        <f aca="false">'🤖 Llama-3.1-70b-instruct'!H154</f>
        <v>0</v>
      </c>
      <c r="H979" s="175" t="n">
        <f aca="false">'🤖 Llama-3.1-70b-instruct'!I154</f>
        <v>0</v>
      </c>
      <c r="I979" s="175" t="n">
        <f aca="false">'🤖 Llama-3.1-70b-instruct'!J154</f>
        <v>0</v>
      </c>
    </row>
    <row r="980" customFormat="false" ht="15.75" hidden="false" customHeight="false" outlineLevel="0" collapsed="false">
      <c r="A980" s="118" t="n">
        <f aca="false">'🤖 Llama-3.1-70b-instruct'!$A$152</f>
        <v>0</v>
      </c>
      <c r="B980" s="9" t="s">
        <v>24</v>
      </c>
      <c r="C980" s="119" t="str">
        <f aca="false">'🤖 Llama-3.1-70b-instruct'!C155</f>
        <v>tldr</v>
      </c>
      <c r="D980" s="143" t="n">
        <f aca="false">'🤖 Llama-3.1-70b-instruct'!E155</f>
        <v>0.004761904762</v>
      </c>
      <c r="E980" s="175" t="n">
        <f aca="false">'🤖 Llama-3.1-70b-instruct'!F155</f>
        <v>0</v>
      </c>
      <c r="F980" s="175" t="n">
        <f aca="false">'🤖 Llama-3.1-70b-instruct'!G155</f>
        <v>0</v>
      </c>
      <c r="G980" s="175" t="n">
        <f aca="false">'🤖 Llama-3.1-70b-instruct'!H155</f>
        <v>0</v>
      </c>
      <c r="H980" s="175" t="n">
        <f aca="false">'🤖 Llama-3.1-70b-instruct'!I155</f>
        <v>0</v>
      </c>
      <c r="I980" s="175" t="n">
        <f aca="false">'🤖 Llama-3.1-70b-instruct'!J155</f>
        <v>0</v>
      </c>
    </row>
    <row r="981" customFormat="false" ht="15.75" hidden="false" customHeight="false" outlineLevel="0" collapsed="false">
      <c r="A981" s="118"/>
      <c r="B981" s="9"/>
      <c r="C981" s="6"/>
      <c r="D981" s="143"/>
      <c r="E981" s="4"/>
      <c r="F981" s="4"/>
      <c r="G981" s="4"/>
      <c r="H981" s="4"/>
      <c r="I981" s="4"/>
    </row>
    <row r="982" customFormat="false" ht="15.75" hidden="false" customHeight="false" outlineLevel="0" collapsed="false">
      <c r="A982" s="118" t="n">
        <f aca="false">'🤖 Llama-3.1-70b-instruct'!$A$157</f>
        <v>0</v>
      </c>
      <c r="B982" s="9" t="s">
        <v>24</v>
      </c>
      <c r="C982" s="119" t="str">
        <f aca="false">'🤖 Llama-3.1-70b-instruct'!C157</f>
        <v>Base</v>
      </c>
      <c r="D982" s="143" t="n">
        <f aca="false">'🤖 Llama-3.1-70b-instruct'!E157</f>
        <v>0.004761904762</v>
      </c>
      <c r="E982" s="175" t="n">
        <f aca="false">'🤖 Llama-3.1-70b-instruct'!F157</f>
        <v>0</v>
      </c>
      <c r="F982" s="175" t="n">
        <f aca="false">'🤖 Llama-3.1-70b-instruct'!G157</f>
        <v>0</v>
      </c>
      <c r="G982" s="175" t="n">
        <f aca="false">'🤖 Llama-3.1-70b-instruct'!H157</f>
        <v>0</v>
      </c>
      <c r="H982" s="175" t="n">
        <f aca="false">'🤖 Llama-3.1-70b-instruct'!I157</f>
        <v>0</v>
      </c>
      <c r="I982" s="175" t="n">
        <f aca="false">'🤖 Llama-3.1-70b-instruct'!J157</f>
        <v>0</v>
      </c>
    </row>
    <row r="983" customFormat="false" ht="15.75" hidden="false" customHeight="false" outlineLevel="0" collapsed="false">
      <c r="A983" s="118" t="n">
        <f aca="false">'🤖 Llama-3.1-70b-instruct'!$A$157</f>
        <v>0</v>
      </c>
      <c r="B983" s="9" t="s">
        <v>24</v>
      </c>
      <c r="C983" s="119" t="str">
        <f aca="false">'🤖 Llama-3.1-70b-instruct'!C158</f>
        <v>CoT</v>
      </c>
      <c r="D983" s="143" t="n">
        <f aca="false">'🤖 Llama-3.1-70b-instruct'!E158</f>
        <v>0.004761904762</v>
      </c>
      <c r="E983" s="175" t="n">
        <f aca="false">'🤖 Llama-3.1-70b-instruct'!F158</f>
        <v>0</v>
      </c>
      <c r="F983" s="175" t="n">
        <f aca="false">'🤖 Llama-3.1-70b-instruct'!G158</f>
        <v>0</v>
      </c>
      <c r="G983" s="175" t="n">
        <f aca="false">'🤖 Llama-3.1-70b-instruct'!H158</f>
        <v>0</v>
      </c>
      <c r="H983" s="175" t="n">
        <f aca="false">'🤖 Llama-3.1-70b-instruct'!I158</f>
        <v>0</v>
      </c>
      <c r="I983" s="175" t="n">
        <f aca="false">'🤖 Llama-3.1-70b-instruct'!J158</f>
        <v>0</v>
      </c>
    </row>
    <row r="984" customFormat="false" ht="15.75" hidden="false" customHeight="false" outlineLevel="0" collapsed="false">
      <c r="A984" s="118" t="n">
        <f aca="false">'🤖 Llama-3.1-70b-instruct'!$A$157</f>
        <v>0</v>
      </c>
      <c r="B984" s="9" t="s">
        <v>24</v>
      </c>
      <c r="C984" s="119" t="str">
        <f aca="false">'🤖 Llama-3.1-70b-instruct'!C159</f>
        <v>5W1H</v>
      </c>
      <c r="D984" s="143" t="n">
        <f aca="false">'🤖 Llama-3.1-70b-instruct'!E159</f>
        <v>0.004761904762</v>
      </c>
      <c r="E984" s="175" t="n">
        <f aca="false">'🤖 Llama-3.1-70b-instruct'!F159</f>
        <v>0</v>
      </c>
      <c r="F984" s="175" t="n">
        <f aca="false">'🤖 Llama-3.1-70b-instruct'!G159</f>
        <v>0</v>
      </c>
      <c r="G984" s="175" t="n">
        <f aca="false">'🤖 Llama-3.1-70b-instruct'!H159</f>
        <v>0</v>
      </c>
      <c r="H984" s="175" t="n">
        <f aca="false">'🤖 Llama-3.1-70b-instruct'!I159</f>
        <v>0</v>
      </c>
      <c r="I984" s="175" t="n">
        <f aca="false">'🤖 Llama-3.1-70b-instruct'!J159</f>
        <v>0</v>
      </c>
    </row>
    <row r="985" customFormat="false" ht="15.75" hidden="false" customHeight="false" outlineLevel="0" collapsed="false">
      <c r="A985" s="118" t="n">
        <f aca="false">'🤖 Llama-3.1-70b-instruct'!$A$157</f>
        <v>0</v>
      </c>
      <c r="B985" s="9" t="s">
        <v>24</v>
      </c>
      <c r="C985" s="119" t="str">
        <f aca="false">'🤖 Llama-3.1-70b-instruct'!C160</f>
        <v>tldr</v>
      </c>
      <c r="D985" s="143" t="n">
        <f aca="false">'🤖 Llama-3.1-70b-instruct'!E160</f>
        <v>0.004761904762</v>
      </c>
      <c r="E985" s="175" t="n">
        <f aca="false">'🤖 Llama-3.1-70b-instruct'!F160</f>
        <v>0</v>
      </c>
      <c r="F985" s="175" t="n">
        <f aca="false">'🤖 Llama-3.1-70b-instruct'!G160</f>
        <v>0</v>
      </c>
      <c r="G985" s="175" t="n">
        <f aca="false">'🤖 Llama-3.1-70b-instruct'!H160</f>
        <v>0</v>
      </c>
      <c r="H985" s="175" t="n">
        <f aca="false">'🤖 Llama-3.1-70b-instruct'!I160</f>
        <v>0</v>
      </c>
      <c r="I985" s="175" t="n">
        <f aca="false">'🤖 Llama-3.1-70b-instruct'!J160</f>
        <v>0</v>
      </c>
    </row>
    <row r="986" customFormat="false" ht="15.75" hidden="false" customHeight="false" outlineLevel="0" collapsed="false">
      <c r="A986" s="118"/>
      <c r="B986" s="9"/>
      <c r="C986" s="6"/>
      <c r="D986" s="143"/>
      <c r="E986" s="4"/>
      <c r="F986" s="4"/>
      <c r="G986" s="4"/>
      <c r="H986" s="4"/>
      <c r="I986" s="4"/>
    </row>
    <row r="987" customFormat="false" ht="15.75" hidden="false" customHeight="false" outlineLevel="0" collapsed="false">
      <c r="A987" s="118" t="n">
        <f aca="false">'🤖 Llama-3.1-70b-instruct'!$A$162</f>
        <v>0</v>
      </c>
      <c r="B987" s="9" t="s">
        <v>24</v>
      </c>
      <c r="C987" s="119" t="str">
        <f aca="false">'🤖 Llama-3.1-70b-instruct'!C162</f>
        <v>Base</v>
      </c>
      <c r="D987" s="143" t="n">
        <f aca="false">'🤖 Llama-3.1-70b-instruct'!E162</f>
        <v>0.004761904762</v>
      </c>
      <c r="E987" s="175" t="n">
        <f aca="false">'🤖 Llama-3.1-70b-instruct'!F162</f>
        <v>0</v>
      </c>
      <c r="F987" s="175" t="n">
        <f aca="false">'🤖 Llama-3.1-70b-instruct'!G162</f>
        <v>0</v>
      </c>
      <c r="G987" s="175" t="n">
        <f aca="false">'🤖 Llama-3.1-70b-instruct'!H162</f>
        <v>0</v>
      </c>
      <c r="H987" s="175" t="n">
        <f aca="false">'🤖 Llama-3.1-70b-instruct'!I162</f>
        <v>0</v>
      </c>
      <c r="I987" s="175" t="n">
        <f aca="false">'🤖 Llama-3.1-70b-instruct'!J162</f>
        <v>0</v>
      </c>
    </row>
    <row r="988" customFormat="false" ht="15.75" hidden="false" customHeight="false" outlineLevel="0" collapsed="false">
      <c r="A988" s="118" t="n">
        <f aca="false">'🤖 Llama-3.1-70b-instruct'!$A$162</f>
        <v>0</v>
      </c>
      <c r="B988" s="9" t="s">
        <v>24</v>
      </c>
      <c r="C988" s="119" t="str">
        <f aca="false">'🤖 Llama-3.1-70b-instruct'!C163</f>
        <v>CoT</v>
      </c>
      <c r="D988" s="143" t="n">
        <f aca="false">'🤖 Llama-3.1-70b-instruct'!E163</f>
        <v>0.004761904762</v>
      </c>
      <c r="E988" s="175" t="n">
        <f aca="false">'🤖 Llama-3.1-70b-instruct'!F163</f>
        <v>0</v>
      </c>
      <c r="F988" s="175" t="n">
        <f aca="false">'🤖 Llama-3.1-70b-instruct'!G163</f>
        <v>0</v>
      </c>
      <c r="G988" s="175" t="n">
        <f aca="false">'🤖 Llama-3.1-70b-instruct'!H163</f>
        <v>0</v>
      </c>
      <c r="H988" s="175" t="n">
        <f aca="false">'🤖 Llama-3.1-70b-instruct'!I163</f>
        <v>0</v>
      </c>
      <c r="I988" s="175" t="n">
        <f aca="false">'🤖 Llama-3.1-70b-instruct'!J163</f>
        <v>0</v>
      </c>
    </row>
    <row r="989" customFormat="false" ht="15.75" hidden="false" customHeight="false" outlineLevel="0" collapsed="false">
      <c r="A989" s="118" t="n">
        <f aca="false">'🤖 Llama-3.1-70b-instruct'!$A$162</f>
        <v>0</v>
      </c>
      <c r="B989" s="9" t="s">
        <v>24</v>
      </c>
      <c r="C989" s="119" t="str">
        <f aca="false">'🤖 Llama-3.1-70b-instruct'!C164</f>
        <v>5W1H</v>
      </c>
      <c r="D989" s="143" t="n">
        <f aca="false">'🤖 Llama-3.1-70b-instruct'!E164</f>
        <v>0.004761904762</v>
      </c>
      <c r="E989" s="175" t="n">
        <f aca="false">'🤖 Llama-3.1-70b-instruct'!F164</f>
        <v>0</v>
      </c>
      <c r="F989" s="175" t="n">
        <f aca="false">'🤖 Llama-3.1-70b-instruct'!G164</f>
        <v>0</v>
      </c>
      <c r="G989" s="175" t="n">
        <f aca="false">'🤖 Llama-3.1-70b-instruct'!H164</f>
        <v>0</v>
      </c>
      <c r="H989" s="175" t="n">
        <f aca="false">'🤖 Llama-3.1-70b-instruct'!I164</f>
        <v>0</v>
      </c>
      <c r="I989" s="175" t="n">
        <f aca="false">'🤖 Llama-3.1-70b-instruct'!J164</f>
        <v>0</v>
      </c>
    </row>
    <row r="990" customFormat="false" ht="15.75" hidden="false" customHeight="false" outlineLevel="0" collapsed="false">
      <c r="A990" s="118" t="n">
        <f aca="false">'🤖 Llama-3.1-70b-instruct'!$A$162</f>
        <v>0</v>
      </c>
      <c r="B990" s="9" t="s">
        <v>24</v>
      </c>
      <c r="C990" s="119" t="str">
        <f aca="false">'🤖 Llama-3.1-70b-instruct'!C165</f>
        <v>tldr</v>
      </c>
      <c r="D990" s="143" t="n">
        <f aca="false">'🤖 Llama-3.1-70b-instruct'!E165</f>
        <v>0.004761904762</v>
      </c>
      <c r="E990" s="175" t="n">
        <f aca="false">'🤖 Llama-3.1-70b-instruct'!F165</f>
        <v>0</v>
      </c>
      <c r="F990" s="175" t="n">
        <f aca="false">'🤖 Llama-3.1-70b-instruct'!G165</f>
        <v>0</v>
      </c>
      <c r="G990" s="175" t="n">
        <f aca="false">'🤖 Llama-3.1-70b-instruct'!H165</f>
        <v>0</v>
      </c>
      <c r="H990" s="175" t="n">
        <f aca="false">'🤖 Llama-3.1-70b-instruct'!I165</f>
        <v>0</v>
      </c>
      <c r="I990" s="175" t="n">
        <f aca="false">'🤖 Llama-3.1-70b-instruct'!J165</f>
        <v>0</v>
      </c>
    </row>
    <row r="991" customFormat="false" ht="15.75" hidden="false" customHeight="false" outlineLevel="0" collapsed="false">
      <c r="A991" s="9"/>
      <c r="B991" s="9"/>
      <c r="C991" s="9"/>
      <c r="D991" s="9"/>
      <c r="E991" s="9"/>
      <c r="F991" s="9"/>
      <c r="G991" s="9"/>
      <c r="H991" s="9"/>
      <c r="I991" s="9"/>
    </row>
    <row r="992" customFormat="false" ht="15.75" hidden="false" customHeight="false" outlineLevel="0" collapsed="false">
      <c r="A992" s="9"/>
      <c r="B992" s="9"/>
      <c r="C992" s="9"/>
      <c r="D992" s="9"/>
      <c r="E992" s="9"/>
      <c r="F992" s="9"/>
      <c r="G992" s="9"/>
      <c r="H992" s="9"/>
      <c r="I992" s="9"/>
    </row>
    <row r="993" customFormat="false" ht="15.75" hidden="false" customHeight="false" outlineLevel="0" collapsed="false">
      <c r="A993" s="9"/>
      <c r="B993" s="9"/>
      <c r="C993" s="9"/>
      <c r="D993" s="9"/>
      <c r="E993" s="9"/>
      <c r="F993" s="9"/>
      <c r="G993" s="9"/>
      <c r="H993" s="9"/>
      <c r="I993" s="9"/>
    </row>
    <row r="994" customFormat="false" ht="15.75" hidden="false" customHeight="false" outlineLevel="0" collapsed="false">
      <c r="A994" s="9"/>
      <c r="B994" s="9"/>
      <c r="C994" s="9"/>
      <c r="D994" s="9"/>
      <c r="E994" s="9"/>
      <c r="F994" s="9"/>
      <c r="G994" s="9"/>
      <c r="H994" s="9"/>
      <c r="I994" s="9"/>
    </row>
    <row r="995" customFormat="false" ht="15.75" hidden="false" customHeight="false" outlineLevel="0" collapsed="false">
      <c r="A995" s="9"/>
      <c r="B995" s="9"/>
      <c r="C995" s="9"/>
      <c r="D995" s="9"/>
      <c r="E995" s="9"/>
      <c r="F995" s="9"/>
      <c r="G995" s="9"/>
      <c r="H995" s="9"/>
      <c r="I995" s="9"/>
    </row>
    <row r="996" customFormat="false" ht="15.75" hidden="false" customHeight="false" outlineLevel="0" collapsed="false">
      <c r="A996" s="9"/>
      <c r="B996" s="9"/>
      <c r="C996" s="9"/>
      <c r="D996" s="9"/>
      <c r="E996" s="9"/>
      <c r="F996" s="9"/>
      <c r="G996" s="9"/>
      <c r="H996" s="9"/>
      <c r="I996" s="9"/>
    </row>
    <row r="997" customFormat="false" ht="15.75" hidden="false" customHeight="false" outlineLevel="0" collapsed="false">
      <c r="A997" s="9"/>
      <c r="B997" s="9"/>
      <c r="C997" s="9"/>
      <c r="D997" s="9"/>
      <c r="E997" s="9"/>
      <c r="F997" s="9"/>
      <c r="G997" s="9"/>
      <c r="H997" s="9"/>
      <c r="I997" s="9"/>
    </row>
    <row r="998" customFormat="false" ht="15.75" hidden="false" customHeight="false" outlineLevel="0" collapsed="false">
      <c r="A998" s="9"/>
      <c r="B998" s="9"/>
      <c r="C998" s="9"/>
      <c r="D998" s="9"/>
      <c r="E998" s="9"/>
      <c r="F998" s="9"/>
      <c r="G998" s="9"/>
      <c r="H998" s="9"/>
      <c r="I998" s="9"/>
    </row>
    <row r="999" customFormat="false" ht="15.75" hidden="false" customHeight="false" outlineLevel="0" collapsed="false">
      <c r="A999" s="9"/>
      <c r="B999" s="9"/>
      <c r="C999" s="9"/>
      <c r="D999" s="9"/>
      <c r="E999" s="9"/>
      <c r="F999" s="9"/>
      <c r="G999" s="9"/>
      <c r="H999" s="9"/>
      <c r="I999" s="9"/>
    </row>
    <row r="1000" customFormat="false" ht="15.75" hidden="false" customHeight="false" outlineLevel="0" collapsed="false">
      <c r="A1000" s="9"/>
      <c r="B1000" s="9"/>
      <c r="C1000" s="9"/>
      <c r="D1000" s="9"/>
      <c r="E1000" s="9"/>
      <c r="F1000" s="9"/>
      <c r="G1000" s="9"/>
      <c r="H1000" s="9"/>
      <c r="I1000" s="9"/>
    </row>
    <row r="1001" customFormat="false" ht="15.75" hidden="false" customHeight="false" outlineLevel="0" collapsed="false">
      <c r="A1001" s="9"/>
      <c r="B1001" s="9"/>
      <c r="C1001" s="9"/>
      <c r="D1001" s="9"/>
      <c r="E1001" s="9"/>
      <c r="F1001" s="9"/>
      <c r="G1001" s="9"/>
      <c r="H1001" s="9"/>
      <c r="I1001" s="9"/>
    </row>
    <row r="1002" customFormat="false" ht="15.75" hidden="false" customHeight="false" outlineLevel="0" collapsed="false">
      <c r="A1002" s="9"/>
      <c r="B1002" s="9"/>
      <c r="C1002" s="9"/>
      <c r="D1002" s="9"/>
      <c r="E1002" s="9"/>
      <c r="F1002" s="9"/>
      <c r="G1002" s="9"/>
      <c r="H1002" s="9"/>
      <c r="I1002" s="9"/>
    </row>
    <row r="1003" customFormat="false" ht="15.75" hidden="false" customHeight="false" outlineLevel="0" collapsed="false">
      <c r="A1003" s="9"/>
      <c r="B1003" s="9"/>
      <c r="C1003" s="9"/>
      <c r="D1003" s="9"/>
      <c r="E1003" s="9"/>
      <c r="F1003" s="9"/>
      <c r="G1003" s="9"/>
      <c r="H1003" s="9"/>
      <c r="I1003" s="9"/>
    </row>
    <row r="1004" customFormat="false" ht="15.75" hidden="false" customHeight="false" outlineLevel="0" collapsed="false">
      <c r="A1004" s="9"/>
      <c r="B1004" s="9"/>
      <c r="C1004" s="9"/>
      <c r="D1004" s="9"/>
      <c r="E1004" s="9"/>
      <c r="F1004" s="9"/>
      <c r="G1004" s="9"/>
      <c r="H1004" s="9"/>
      <c r="I1004" s="9"/>
    </row>
    <row r="1005" customFormat="false" ht="15.75" hidden="false" customHeight="false" outlineLevel="0" collapsed="false">
      <c r="A1005" s="9"/>
      <c r="B1005" s="9"/>
      <c r="C1005" s="9"/>
      <c r="D1005" s="9"/>
      <c r="E1005" s="9"/>
      <c r="F1005" s="9"/>
      <c r="G1005" s="9"/>
      <c r="H1005" s="9"/>
      <c r="I1005" s="9"/>
    </row>
    <row r="1006" customFormat="false" ht="15.75" hidden="false" customHeight="false" outlineLevel="0" collapsed="false">
      <c r="A1006" s="9"/>
      <c r="B1006" s="9"/>
      <c r="C1006" s="9"/>
      <c r="D1006" s="9"/>
      <c r="E1006" s="9"/>
      <c r="F1006" s="9"/>
      <c r="G1006" s="9"/>
      <c r="H1006" s="9"/>
      <c r="I1006" s="9"/>
    </row>
    <row r="1007" customFormat="false" ht="15.75" hidden="false" customHeight="false" outlineLevel="0" collapsed="false">
      <c r="A1007" s="9"/>
      <c r="B1007" s="9"/>
      <c r="C1007" s="9"/>
      <c r="D1007" s="9"/>
      <c r="E1007" s="9"/>
      <c r="F1007" s="9"/>
      <c r="G1007" s="9"/>
      <c r="H1007" s="9"/>
      <c r="I1007" s="9"/>
    </row>
    <row r="1008" customFormat="false" ht="15.75" hidden="false" customHeight="false" outlineLevel="0" collapsed="false">
      <c r="A1008" s="9"/>
      <c r="B1008" s="9"/>
      <c r="C1008" s="9"/>
      <c r="D1008" s="9"/>
      <c r="E1008" s="9"/>
      <c r="F1008" s="9"/>
      <c r="G1008" s="9"/>
      <c r="H1008" s="9"/>
      <c r="I1008" s="9"/>
    </row>
    <row r="1009" customFormat="false" ht="15.75" hidden="false" customHeight="false" outlineLevel="0" collapsed="false">
      <c r="A1009" s="9"/>
      <c r="B1009" s="9"/>
      <c r="C1009" s="9"/>
      <c r="D1009" s="9"/>
      <c r="E1009" s="9"/>
      <c r="F1009" s="9"/>
      <c r="G1009" s="9"/>
      <c r="H1009" s="9"/>
      <c r="I1009" s="9"/>
    </row>
    <row r="1010" customFormat="false" ht="15.75" hidden="false" customHeight="false" outlineLevel="0" collapsed="false">
      <c r="A1010" s="9"/>
      <c r="B1010" s="9"/>
      <c r="C1010" s="9"/>
      <c r="D1010" s="9"/>
      <c r="E1010" s="9"/>
      <c r="F1010" s="9"/>
      <c r="G1010" s="9"/>
      <c r="H1010" s="9"/>
      <c r="I1010" s="9"/>
    </row>
    <row r="1011" customFormat="false" ht="15.75" hidden="false" customHeight="false" outlineLevel="0" collapsed="false">
      <c r="A1011" s="9"/>
      <c r="B1011" s="9"/>
      <c r="C1011" s="9"/>
      <c r="D1011" s="9"/>
      <c r="E1011" s="9"/>
      <c r="F1011" s="9"/>
      <c r="G1011" s="9"/>
      <c r="H1011" s="9"/>
      <c r="I1011" s="9"/>
    </row>
    <row r="1012" customFormat="false" ht="15.75" hidden="false" customHeight="false" outlineLevel="0" collapsed="false">
      <c r="A1012" s="9"/>
      <c r="B1012" s="9"/>
      <c r="C1012" s="9"/>
      <c r="D1012" s="9"/>
      <c r="E1012" s="9"/>
      <c r="F1012" s="9"/>
      <c r="G1012" s="9"/>
      <c r="H1012" s="9"/>
      <c r="I1012" s="9"/>
    </row>
    <row r="1013" customFormat="false" ht="15.75" hidden="false" customHeight="false" outlineLevel="0" collapsed="false">
      <c r="A1013" s="9"/>
      <c r="B1013" s="9"/>
      <c r="C1013" s="9"/>
      <c r="D1013" s="9"/>
      <c r="E1013" s="9"/>
      <c r="F1013" s="9"/>
      <c r="G1013" s="9"/>
      <c r="H1013" s="9"/>
      <c r="I1013" s="9"/>
    </row>
    <row r="1014" customFormat="false" ht="15.75" hidden="false" customHeight="false" outlineLevel="0" collapsed="false">
      <c r="A1014" s="9"/>
      <c r="B1014" s="9"/>
      <c r="C1014" s="9"/>
      <c r="D1014" s="9"/>
      <c r="E1014" s="9"/>
      <c r="F1014" s="9"/>
      <c r="G1014" s="9"/>
      <c r="H1014" s="9"/>
      <c r="I1014" s="9"/>
    </row>
    <row r="1015" customFormat="false" ht="15.75" hidden="false" customHeight="false" outlineLevel="0" collapsed="false">
      <c r="A1015" s="9"/>
      <c r="B1015" s="9"/>
      <c r="C1015" s="9"/>
      <c r="D1015" s="9"/>
      <c r="E1015" s="9"/>
      <c r="F1015" s="9"/>
      <c r="G1015" s="9"/>
      <c r="H1015" s="9"/>
      <c r="I1015" s="9"/>
    </row>
    <row r="1016" customFormat="false" ht="15.75" hidden="false" customHeight="false" outlineLevel="0" collapsed="false">
      <c r="A1016" s="9"/>
      <c r="B1016" s="9"/>
      <c r="C1016" s="9"/>
      <c r="D1016" s="9"/>
      <c r="E1016" s="9"/>
      <c r="F1016" s="9"/>
      <c r="G1016" s="9"/>
      <c r="H1016" s="9"/>
      <c r="I1016" s="9"/>
    </row>
    <row r="1017" customFormat="false" ht="15.75" hidden="false" customHeight="false" outlineLevel="0" collapsed="false">
      <c r="A1017" s="9"/>
      <c r="B1017" s="9"/>
      <c r="C1017" s="9"/>
      <c r="D1017" s="9"/>
      <c r="E1017" s="9"/>
      <c r="F1017" s="9"/>
      <c r="G1017" s="9"/>
      <c r="H1017" s="9"/>
      <c r="I1017" s="9"/>
    </row>
    <row r="1018" customFormat="false" ht="15.75" hidden="false" customHeight="false" outlineLevel="0" collapsed="false">
      <c r="A1018" s="9"/>
      <c r="B1018" s="9"/>
      <c r="C1018" s="9"/>
      <c r="D1018" s="9"/>
      <c r="E1018" s="9"/>
      <c r="F1018" s="9"/>
      <c r="G1018" s="9"/>
      <c r="H1018" s="9"/>
      <c r="I1018" s="9"/>
    </row>
    <row r="1019" customFormat="false" ht="15.75" hidden="false" customHeight="false" outlineLevel="0" collapsed="false">
      <c r="A1019" s="9"/>
      <c r="B1019" s="9"/>
      <c r="C1019" s="9"/>
      <c r="D1019" s="9"/>
      <c r="E1019" s="9"/>
      <c r="F1019" s="9"/>
      <c r="G1019" s="9"/>
      <c r="H1019" s="9"/>
      <c r="I1019" s="9"/>
    </row>
    <row r="1020" customFormat="false" ht="15.75" hidden="false" customHeight="false" outlineLevel="0" collapsed="false">
      <c r="A1020" s="9"/>
      <c r="B1020" s="9"/>
      <c r="C1020" s="9"/>
      <c r="D1020" s="9"/>
      <c r="E1020" s="9"/>
      <c r="F1020" s="9"/>
      <c r="G1020" s="9"/>
      <c r="H1020" s="9"/>
      <c r="I1020" s="9"/>
    </row>
    <row r="1021" customFormat="false" ht="15.75" hidden="false" customHeight="false" outlineLevel="0" collapsed="false">
      <c r="A1021" s="9"/>
      <c r="B1021" s="9"/>
      <c r="C1021" s="9"/>
      <c r="D1021" s="9"/>
      <c r="E1021" s="9"/>
      <c r="F1021" s="9"/>
      <c r="G1021" s="9"/>
      <c r="H1021" s="9"/>
      <c r="I1021" s="9"/>
    </row>
    <row r="1022" customFormat="false" ht="15.75" hidden="false" customHeight="false" outlineLevel="0" collapsed="false">
      <c r="A1022" s="9"/>
      <c r="B1022" s="9"/>
      <c r="C1022" s="9"/>
      <c r="D1022" s="9"/>
      <c r="E1022" s="9"/>
      <c r="F1022" s="9"/>
      <c r="G1022" s="9"/>
      <c r="H1022" s="9"/>
      <c r="I1022" s="9"/>
    </row>
    <row r="1023" customFormat="false" ht="15.75" hidden="false" customHeight="false" outlineLevel="0" collapsed="false">
      <c r="A1023" s="9"/>
      <c r="B1023" s="9"/>
      <c r="C1023" s="9"/>
      <c r="D1023" s="9"/>
      <c r="E1023" s="9"/>
      <c r="F1023" s="9"/>
      <c r="G1023" s="9"/>
      <c r="H1023" s="9"/>
      <c r="I1023" s="9"/>
    </row>
    <row r="1024" customFormat="false" ht="15.75" hidden="false" customHeight="false" outlineLevel="0" collapsed="false">
      <c r="A1024" s="9"/>
      <c r="B1024" s="9"/>
      <c r="C1024" s="9"/>
      <c r="D1024" s="9"/>
      <c r="E1024" s="9"/>
      <c r="F1024" s="9"/>
      <c r="G1024" s="9"/>
      <c r="H1024" s="9"/>
      <c r="I1024" s="9"/>
    </row>
    <row r="1025" customFormat="false" ht="15.75" hidden="false" customHeight="false" outlineLevel="0" collapsed="false">
      <c r="A1025" s="9"/>
      <c r="B1025" s="9"/>
      <c r="C1025" s="9"/>
      <c r="D1025" s="9"/>
      <c r="E1025" s="9"/>
      <c r="F1025" s="9"/>
      <c r="G1025" s="9"/>
      <c r="H1025" s="9"/>
      <c r="I1025" s="9"/>
    </row>
    <row r="1026" customFormat="false" ht="15.75" hidden="false" customHeight="false" outlineLevel="0" collapsed="false">
      <c r="A1026" s="9"/>
      <c r="B1026" s="9"/>
      <c r="C1026" s="9"/>
      <c r="D1026" s="9"/>
      <c r="E1026" s="9"/>
      <c r="F1026" s="9"/>
      <c r="G1026" s="9"/>
      <c r="H1026" s="9"/>
      <c r="I1026" s="9"/>
    </row>
    <row r="1027" customFormat="false" ht="15.75" hidden="false" customHeight="false" outlineLevel="0" collapsed="false">
      <c r="A1027" s="9"/>
      <c r="B1027" s="9"/>
      <c r="C1027" s="9"/>
      <c r="D1027" s="9"/>
      <c r="E1027" s="9"/>
      <c r="F1027" s="9"/>
      <c r="G1027" s="9"/>
      <c r="H1027" s="9"/>
      <c r="I1027" s="9"/>
    </row>
    <row r="1028" customFormat="false" ht="15.75" hidden="false" customHeight="false" outlineLevel="0" collapsed="false">
      <c r="A1028" s="9"/>
      <c r="B1028" s="9"/>
      <c r="C1028" s="9"/>
      <c r="D1028" s="9"/>
      <c r="E1028" s="9"/>
      <c r="F1028" s="9"/>
      <c r="G1028" s="9"/>
      <c r="H1028" s="9"/>
      <c r="I1028" s="9"/>
    </row>
    <row r="1029" customFormat="false" ht="15.75" hidden="false" customHeight="false" outlineLevel="0" collapsed="false">
      <c r="A1029" s="9"/>
      <c r="B1029" s="9"/>
      <c r="C1029" s="9"/>
      <c r="D1029" s="9"/>
      <c r="E1029" s="9"/>
      <c r="F1029" s="9"/>
      <c r="G1029" s="9"/>
      <c r="H1029" s="9"/>
      <c r="I1029" s="9"/>
    </row>
    <row r="1030" customFormat="false" ht="15.75" hidden="false" customHeight="false" outlineLevel="0" collapsed="false">
      <c r="A1030" s="9"/>
      <c r="B1030" s="9"/>
      <c r="C1030" s="9"/>
      <c r="D1030" s="9"/>
      <c r="E1030" s="9"/>
      <c r="F1030" s="9"/>
      <c r="G1030" s="9"/>
      <c r="H1030" s="9"/>
      <c r="I1030" s="9"/>
    </row>
    <row r="1031" customFormat="false" ht="15.75" hidden="false" customHeight="false" outlineLevel="0" collapsed="false">
      <c r="A1031" s="9"/>
      <c r="B1031" s="9"/>
      <c r="C1031" s="9"/>
      <c r="D1031" s="9"/>
      <c r="E1031" s="9"/>
      <c r="F1031" s="9"/>
      <c r="G1031" s="9"/>
      <c r="H1031" s="9"/>
      <c r="I1031" s="9"/>
    </row>
    <row r="1032" customFormat="false" ht="15.75" hidden="false" customHeight="false" outlineLevel="0" collapsed="false">
      <c r="A1032" s="9"/>
      <c r="B1032" s="9"/>
      <c r="C1032" s="9"/>
      <c r="D1032" s="9"/>
      <c r="E1032" s="9"/>
      <c r="F1032" s="9"/>
      <c r="G1032" s="9"/>
      <c r="H1032" s="9"/>
      <c r="I1032" s="9"/>
    </row>
    <row r="1033" customFormat="false" ht="15.75" hidden="false" customHeight="false" outlineLevel="0" collapsed="false">
      <c r="A1033" s="9"/>
      <c r="B1033" s="9"/>
      <c r="C1033" s="9"/>
      <c r="D1033" s="9"/>
      <c r="E1033" s="9"/>
      <c r="F1033" s="9"/>
      <c r="G1033" s="9"/>
      <c r="H1033" s="9"/>
      <c r="I1033" s="9"/>
    </row>
    <row r="1034" customFormat="false" ht="15.75" hidden="false" customHeight="false" outlineLevel="0" collapsed="false">
      <c r="A1034" s="9"/>
      <c r="B1034" s="9"/>
      <c r="C1034" s="9"/>
      <c r="D1034" s="9"/>
      <c r="E1034" s="9"/>
      <c r="F1034" s="9"/>
      <c r="G1034" s="9"/>
      <c r="H1034" s="9"/>
      <c r="I1034" s="9"/>
    </row>
    <row r="1035" customFormat="false" ht="15.75" hidden="false" customHeight="false" outlineLevel="0" collapsed="false">
      <c r="A1035" s="9"/>
      <c r="B1035" s="9"/>
      <c r="C1035" s="9"/>
      <c r="D1035" s="9"/>
      <c r="E1035" s="9"/>
      <c r="F1035" s="9"/>
      <c r="G1035" s="9"/>
      <c r="H1035" s="9"/>
      <c r="I1035" s="9"/>
    </row>
    <row r="1036" customFormat="false" ht="15.75" hidden="false" customHeight="false" outlineLevel="0" collapsed="false">
      <c r="A1036" s="9"/>
      <c r="B1036" s="9"/>
      <c r="C1036" s="9"/>
      <c r="D1036" s="9"/>
      <c r="E1036" s="9"/>
      <c r="F1036" s="9"/>
      <c r="G1036" s="9"/>
      <c r="H1036" s="9"/>
      <c r="I1036" s="9"/>
    </row>
    <row r="1037" customFormat="false" ht="15.75" hidden="false" customHeight="false" outlineLevel="0" collapsed="false">
      <c r="A1037" s="9"/>
      <c r="B1037" s="9"/>
      <c r="C1037" s="9"/>
      <c r="D1037" s="9"/>
      <c r="E1037" s="9"/>
      <c r="F1037" s="9"/>
      <c r="G1037" s="9"/>
      <c r="H1037" s="9"/>
      <c r="I1037" s="9"/>
    </row>
    <row r="1038" customFormat="false" ht="15.75" hidden="false" customHeight="false" outlineLevel="0" collapsed="false">
      <c r="A1038" s="9"/>
      <c r="B1038" s="9"/>
      <c r="C1038" s="9"/>
      <c r="D1038" s="9"/>
      <c r="E1038" s="9"/>
      <c r="F1038" s="9"/>
      <c r="G1038" s="9"/>
      <c r="H1038" s="9"/>
      <c r="I1038" s="9"/>
    </row>
    <row r="1039" customFormat="false" ht="15.75" hidden="false" customHeight="false" outlineLevel="0" collapsed="false">
      <c r="A1039" s="9"/>
      <c r="B1039" s="9"/>
      <c r="C1039" s="9"/>
      <c r="D1039" s="9"/>
      <c r="E1039" s="9"/>
      <c r="F1039" s="9"/>
      <c r="G1039" s="9"/>
      <c r="H1039" s="9"/>
      <c r="I1039" s="9"/>
    </row>
    <row r="1040" customFormat="false" ht="15.75" hidden="false" customHeight="false" outlineLevel="0" collapsed="false">
      <c r="A1040" s="9"/>
      <c r="B1040" s="9"/>
      <c r="C1040" s="9"/>
      <c r="D1040" s="9"/>
      <c r="E1040" s="9"/>
      <c r="F1040" s="9"/>
      <c r="G1040" s="9"/>
      <c r="H1040" s="9"/>
      <c r="I1040" s="9"/>
    </row>
    <row r="1041" customFormat="false" ht="15.75" hidden="false" customHeight="false" outlineLevel="0" collapsed="false">
      <c r="A1041" s="9"/>
      <c r="B1041" s="9"/>
      <c r="C1041" s="9"/>
      <c r="D1041" s="9"/>
      <c r="E1041" s="9"/>
      <c r="F1041" s="9"/>
      <c r="G1041" s="9"/>
      <c r="H1041" s="9"/>
      <c r="I1041" s="9"/>
    </row>
    <row r="1042" customFormat="false" ht="15.75" hidden="false" customHeight="false" outlineLevel="0" collapsed="false">
      <c r="A1042" s="9"/>
      <c r="B1042" s="9"/>
      <c r="C1042" s="9"/>
      <c r="D1042" s="9"/>
      <c r="E1042" s="9"/>
      <c r="F1042" s="9"/>
      <c r="G1042" s="9"/>
      <c r="H1042" s="9"/>
      <c r="I1042" s="9"/>
    </row>
    <row r="1043" customFormat="false" ht="15.75" hidden="false" customHeight="false" outlineLevel="0" collapsed="false">
      <c r="A1043" s="9"/>
      <c r="B1043" s="9"/>
      <c r="C1043" s="9"/>
      <c r="D1043" s="9"/>
      <c r="E1043" s="9"/>
      <c r="F1043" s="9"/>
      <c r="G1043" s="9"/>
      <c r="H1043" s="9"/>
      <c r="I1043" s="9"/>
    </row>
    <row r="1044" customFormat="false" ht="15.75" hidden="false" customHeight="false" outlineLevel="0" collapsed="false">
      <c r="A1044" s="9"/>
      <c r="B1044" s="9"/>
      <c r="C1044" s="9"/>
      <c r="D1044" s="9"/>
      <c r="E1044" s="9"/>
      <c r="F1044" s="9"/>
      <c r="G1044" s="9"/>
      <c r="H1044" s="9"/>
      <c r="I1044" s="9"/>
    </row>
    <row r="1045" customFormat="false" ht="15.75" hidden="false" customHeight="false" outlineLevel="0" collapsed="false">
      <c r="A1045" s="9"/>
      <c r="B1045" s="9"/>
      <c r="C1045" s="9"/>
      <c r="D1045" s="9"/>
      <c r="E1045" s="9"/>
      <c r="F1045" s="9"/>
      <c r="G1045" s="9"/>
      <c r="H1045" s="9"/>
      <c r="I1045" s="9"/>
    </row>
    <row r="1046" customFormat="false" ht="15.75" hidden="false" customHeight="false" outlineLevel="0" collapsed="false">
      <c r="A1046" s="9"/>
      <c r="B1046" s="9"/>
      <c r="C1046" s="9"/>
      <c r="D1046" s="9"/>
      <c r="E1046" s="9"/>
      <c r="F1046" s="9"/>
      <c r="G1046" s="9"/>
      <c r="H1046" s="9"/>
      <c r="I1046" s="9"/>
    </row>
    <row r="1047" customFormat="false" ht="15.75" hidden="false" customHeight="false" outlineLevel="0" collapsed="false">
      <c r="A1047" s="9"/>
      <c r="B1047" s="9"/>
      <c r="C1047" s="9"/>
      <c r="D1047" s="9"/>
      <c r="E1047" s="9"/>
      <c r="F1047" s="9"/>
      <c r="G1047" s="9"/>
      <c r="H1047" s="9"/>
      <c r="I1047" s="9"/>
    </row>
    <row r="1048" customFormat="false" ht="15.75" hidden="false" customHeight="false" outlineLevel="0" collapsed="false">
      <c r="A1048" s="9"/>
      <c r="B1048" s="9"/>
      <c r="C1048" s="9"/>
      <c r="D1048" s="9"/>
      <c r="E1048" s="9"/>
      <c r="F1048" s="9"/>
      <c r="G1048" s="9"/>
      <c r="H1048" s="9"/>
      <c r="I1048" s="9"/>
    </row>
    <row r="1049" customFormat="false" ht="15.75" hidden="false" customHeight="false" outlineLevel="0" collapsed="false">
      <c r="A1049" s="9"/>
      <c r="B1049" s="9"/>
      <c r="C1049" s="9"/>
      <c r="D1049" s="9"/>
      <c r="E1049" s="9"/>
      <c r="F1049" s="9"/>
      <c r="G1049" s="9"/>
      <c r="H1049" s="9"/>
      <c r="I1049" s="9"/>
    </row>
    <row r="1050" customFormat="false" ht="15.75" hidden="false" customHeight="false" outlineLevel="0" collapsed="false">
      <c r="A1050" s="9"/>
      <c r="B1050" s="9"/>
      <c r="C1050" s="9"/>
      <c r="D1050" s="9"/>
      <c r="E1050" s="9"/>
      <c r="F1050" s="9"/>
      <c r="G1050" s="9"/>
      <c r="H1050" s="9"/>
      <c r="I1050" s="9"/>
    </row>
    <row r="1051" customFormat="false" ht="15.75" hidden="false" customHeight="false" outlineLevel="0" collapsed="false">
      <c r="A1051" s="9"/>
      <c r="B1051" s="9"/>
      <c r="C1051" s="9"/>
      <c r="D1051" s="9"/>
      <c r="E1051" s="9"/>
      <c r="F1051" s="9"/>
      <c r="G1051" s="9"/>
      <c r="H1051" s="9"/>
      <c r="I1051" s="9"/>
    </row>
    <row r="1052" customFormat="false" ht="15.75" hidden="false" customHeight="false" outlineLevel="0" collapsed="false">
      <c r="A1052" s="9"/>
      <c r="B1052" s="9"/>
      <c r="C1052" s="9"/>
      <c r="D1052" s="9"/>
      <c r="E1052" s="9"/>
      <c r="F1052" s="9"/>
      <c r="G1052" s="9"/>
      <c r="H1052" s="9"/>
      <c r="I1052" s="9"/>
    </row>
    <row r="1053" customFormat="false" ht="15.75" hidden="false" customHeight="false" outlineLevel="0" collapsed="false">
      <c r="A1053" s="9"/>
      <c r="B1053" s="9"/>
      <c r="C1053" s="9"/>
      <c r="D1053" s="9"/>
      <c r="E1053" s="9"/>
      <c r="F1053" s="9"/>
      <c r="G1053" s="9"/>
      <c r="H1053" s="9"/>
      <c r="I1053" s="9"/>
    </row>
    <row r="1054" customFormat="false" ht="15.75" hidden="false" customHeight="false" outlineLevel="0" collapsed="false">
      <c r="A1054" s="9"/>
      <c r="B1054" s="9"/>
      <c r="C1054" s="9"/>
      <c r="D1054" s="9"/>
      <c r="E1054" s="9"/>
      <c r="F1054" s="9"/>
      <c r="G1054" s="9"/>
      <c r="H1054" s="9"/>
      <c r="I1054" s="9"/>
    </row>
    <row r="1055" customFormat="false" ht="15.75" hidden="false" customHeight="false" outlineLevel="0" collapsed="false">
      <c r="A1055" s="9"/>
      <c r="B1055" s="9"/>
      <c r="C1055" s="9"/>
      <c r="D1055" s="9"/>
      <c r="E1055" s="9"/>
      <c r="F1055" s="9"/>
      <c r="G1055" s="9"/>
      <c r="H1055" s="9"/>
      <c r="I1055" s="9"/>
    </row>
    <row r="1056" customFormat="false" ht="15.75" hidden="false" customHeight="false" outlineLevel="0" collapsed="false">
      <c r="A1056" s="9"/>
      <c r="B1056" s="9"/>
      <c r="C1056" s="9"/>
      <c r="D1056" s="9"/>
      <c r="E1056" s="9"/>
      <c r="F1056" s="9"/>
      <c r="G1056" s="9"/>
      <c r="H1056" s="9"/>
      <c r="I1056" s="9"/>
    </row>
    <row r="1057" customFormat="false" ht="15.75" hidden="false" customHeight="false" outlineLevel="0" collapsed="false">
      <c r="A1057" s="9"/>
      <c r="B1057" s="9"/>
      <c r="C1057" s="9"/>
      <c r="D1057" s="9"/>
      <c r="E1057" s="9"/>
      <c r="F1057" s="9"/>
      <c r="G1057" s="9"/>
      <c r="H1057" s="9"/>
      <c r="I1057" s="9"/>
    </row>
    <row r="1058" customFormat="false" ht="15.75" hidden="false" customHeight="false" outlineLevel="0" collapsed="false">
      <c r="A1058" s="9"/>
      <c r="B1058" s="9"/>
      <c r="C1058" s="9"/>
      <c r="D1058" s="9"/>
      <c r="E1058" s="9"/>
      <c r="F1058" s="9"/>
      <c r="G1058" s="9"/>
      <c r="H1058" s="9"/>
      <c r="I1058" s="9"/>
    </row>
    <row r="1059" customFormat="false" ht="15.75" hidden="false" customHeight="false" outlineLevel="0" collapsed="false">
      <c r="A1059" s="9"/>
      <c r="B1059" s="9"/>
      <c r="C1059" s="9"/>
      <c r="D1059" s="9"/>
      <c r="E1059" s="9"/>
      <c r="F1059" s="9"/>
      <c r="G1059" s="9"/>
      <c r="H1059" s="9"/>
      <c r="I1059" s="9"/>
    </row>
    <row r="1060" customFormat="false" ht="15.75" hidden="false" customHeight="false" outlineLevel="0" collapsed="false">
      <c r="A1060" s="9"/>
      <c r="B1060" s="9"/>
      <c r="C1060" s="9"/>
      <c r="D1060" s="9"/>
      <c r="E1060" s="9"/>
      <c r="F1060" s="9"/>
      <c r="G1060" s="9"/>
      <c r="H1060" s="9"/>
      <c r="I1060" s="9"/>
    </row>
    <row r="1061" customFormat="false" ht="15.75" hidden="false" customHeight="false" outlineLevel="0" collapsed="false">
      <c r="A1061" s="9"/>
      <c r="B1061" s="9"/>
      <c r="C1061" s="9"/>
      <c r="D1061" s="9"/>
      <c r="E1061" s="9"/>
      <c r="F1061" s="9"/>
      <c r="G1061" s="9"/>
      <c r="H1061" s="9"/>
      <c r="I1061" s="9"/>
    </row>
    <row r="1062" customFormat="false" ht="15.75" hidden="false" customHeight="false" outlineLevel="0" collapsed="false">
      <c r="A1062" s="9"/>
      <c r="B1062" s="9"/>
      <c r="C1062" s="9"/>
      <c r="D1062" s="9"/>
      <c r="E1062" s="9"/>
      <c r="F1062" s="9"/>
      <c r="G1062" s="9"/>
      <c r="H1062" s="9"/>
      <c r="I1062" s="9"/>
    </row>
    <row r="1063" customFormat="false" ht="15.75" hidden="false" customHeight="false" outlineLevel="0" collapsed="false">
      <c r="A1063" s="9"/>
      <c r="B1063" s="9"/>
      <c r="C1063" s="9"/>
      <c r="D1063" s="9"/>
      <c r="E1063" s="9"/>
      <c r="F1063" s="9"/>
      <c r="G1063" s="9"/>
      <c r="H1063" s="9"/>
      <c r="I1063" s="9"/>
    </row>
    <row r="1064" customFormat="false" ht="15.75" hidden="false" customHeight="false" outlineLevel="0" collapsed="false">
      <c r="A1064" s="9"/>
      <c r="B1064" s="9"/>
      <c r="C1064" s="9"/>
      <c r="D1064" s="9"/>
      <c r="E1064" s="9"/>
      <c r="F1064" s="9"/>
      <c r="G1064" s="9"/>
      <c r="H1064" s="9"/>
      <c r="I1064" s="9"/>
    </row>
    <row r="1065" customFormat="false" ht="15.75" hidden="false" customHeight="false" outlineLevel="0" collapsed="false">
      <c r="A1065" s="9"/>
      <c r="B1065" s="9"/>
      <c r="C1065" s="9"/>
      <c r="D1065" s="9"/>
      <c r="E1065" s="9"/>
      <c r="F1065" s="9"/>
      <c r="G1065" s="9"/>
      <c r="H1065" s="9"/>
      <c r="I1065" s="9"/>
    </row>
    <row r="1066" customFormat="false" ht="15.75" hidden="false" customHeight="false" outlineLevel="0" collapsed="false">
      <c r="A1066" s="9"/>
      <c r="B1066" s="9"/>
      <c r="C1066" s="9"/>
      <c r="D1066" s="9"/>
      <c r="E1066" s="9"/>
      <c r="F1066" s="9"/>
      <c r="G1066" s="9"/>
      <c r="H1066" s="9"/>
      <c r="I1066" s="9"/>
    </row>
    <row r="1067" customFormat="false" ht="15.75" hidden="false" customHeight="false" outlineLevel="0" collapsed="false">
      <c r="A1067" s="9"/>
      <c r="B1067" s="9"/>
      <c r="C1067" s="9"/>
      <c r="D1067" s="9"/>
      <c r="E1067" s="9"/>
      <c r="F1067" s="9"/>
      <c r="G1067" s="9"/>
      <c r="H1067" s="9"/>
      <c r="I1067" s="9"/>
    </row>
    <row r="1068" customFormat="false" ht="15.75" hidden="false" customHeight="false" outlineLevel="0" collapsed="false">
      <c r="A1068" s="9"/>
      <c r="B1068" s="9"/>
      <c r="C1068" s="9"/>
      <c r="D1068" s="9"/>
      <c r="E1068" s="9"/>
      <c r="F1068" s="9"/>
      <c r="G1068" s="9"/>
      <c r="H1068" s="9"/>
      <c r="I1068" s="9"/>
    </row>
    <row r="1069" customFormat="false" ht="15.75" hidden="false" customHeight="false" outlineLevel="0" collapsed="false">
      <c r="A1069" s="9"/>
      <c r="B1069" s="9"/>
      <c r="C1069" s="9"/>
      <c r="D1069" s="9"/>
      <c r="E1069" s="9"/>
      <c r="F1069" s="9"/>
      <c r="G1069" s="9"/>
      <c r="H1069" s="9"/>
      <c r="I1069" s="9"/>
    </row>
    <row r="1070" customFormat="false" ht="15.75" hidden="false" customHeight="false" outlineLevel="0" collapsed="false">
      <c r="A1070" s="9"/>
      <c r="B1070" s="9"/>
      <c r="C1070" s="9"/>
      <c r="D1070" s="9"/>
      <c r="E1070" s="9"/>
      <c r="F1070" s="9"/>
      <c r="G1070" s="9"/>
      <c r="H1070" s="9"/>
      <c r="I1070" s="9"/>
    </row>
    <row r="1071" customFormat="false" ht="15.75" hidden="false" customHeight="false" outlineLevel="0" collapsed="false">
      <c r="A1071" s="9"/>
      <c r="B1071" s="9"/>
      <c r="C1071" s="9"/>
      <c r="D1071" s="9"/>
      <c r="E1071" s="9"/>
      <c r="F1071" s="9"/>
      <c r="G1071" s="9"/>
      <c r="H1071" s="9"/>
      <c r="I1071" s="9"/>
    </row>
    <row r="1072" customFormat="false" ht="15.75" hidden="false" customHeight="false" outlineLevel="0" collapsed="false">
      <c r="A1072" s="9"/>
      <c r="B1072" s="9"/>
      <c r="C1072" s="9"/>
      <c r="D1072" s="9"/>
      <c r="E1072" s="9"/>
      <c r="F1072" s="9"/>
      <c r="G1072" s="9"/>
      <c r="H1072" s="9"/>
      <c r="I1072" s="9"/>
    </row>
    <row r="1073" customFormat="false" ht="15.75" hidden="false" customHeight="false" outlineLevel="0" collapsed="false">
      <c r="A1073" s="9"/>
      <c r="B1073" s="9"/>
      <c r="C1073" s="9"/>
      <c r="D1073" s="9"/>
      <c r="E1073" s="9"/>
      <c r="F1073" s="9"/>
      <c r="G1073" s="9"/>
      <c r="H1073" s="9"/>
      <c r="I1073" s="9"/>
    </row>
    <row r="1074" customFormat="false" ht="15.75" hidden="false" customHeight="false" outlineLevel="0" collapsed="false">
      <c r="A1074" s="9"/>
      <c r="B1074" s="9"/>
      <c r="C1074" s="9"/>
      <c r="D1074" s="9"/>
      <c r="E1074" s="9"/>
      <c r="F1074" s="9"/>
      <c r="G1074" s="9"/>
      <c r="H1074" s="9"/>
      <c r="I1074" s="9"/>
    </row>
    <row r="1075" customFormat="false" ht="15.75" hidden="false" customHeight="false" outlineLevel="0" collapsed="false">
      <c r="A1075" s="9"/>
      <c r="B1075" s="9"/>
      <c r="C1075" s="9"/>
      <c r="D1075" s="9"/>
      <c r="E1075" s="9"/>
      <c r="F1075" s="9"/>
      <c r="G1075" s="9"/>
      <c r="H1075" s="9"/>
      <c r="I1075" s="9"/>
    </row>
    <row r="1076" customFormat="false" ht="15.75" hidden="false" customHeight="false" outlineLevel="0" collapsed="false">
      <c r="A1076" s="9"/>
      <c r="B1076" s="9"/>
      <c r="C1076" s="9"/>
      <c r="D1076" s="9"/>
      <c r="E1076" s="9"/>
      <c r="F1076" s="9"/>
      <c r="G1076" s="9"/>
      <c r="H1076" s="9"/>
      <c r="I1076" s="9"/>
    </row>
    <row r="1077" customFormat="false" ht="15.75" hidden="false" customHeight="false" outlineLevel="0" collapsed="false">
      <c r="A1077" s="9"/>
      <c r="B1077" s="9"/>
      <c r="C1077" s="9"/>
      <c r="D1077" s="9"/>
      <c r="E1077" s="9"/>
      <c r="F1077" s="9"/>
      <c r="G1077" s="9"/>
      <c r="H1077" s="9"/>
      <c r="I1077" s="9"/>
    </row>
    <row r="1078" customFormat="false" ht="15.75" hidden="false" customHeight="false" outlineLevel="0" collapsed="false">
      <c r="A1078" s="9"/>
      <c r="B1078" s="9"/>
      <c r="C1078" s="9"/>
      <c r="D1078" s="9"/>
      <c r="E1078" s="9"/>
      <c r="F1078" s="9"/>
      <c r="G1078" s="9"/>
      <c r="H1078" s="9"/>
      <c r="I1078" s="9"/>
    </row>
    <row r="1079" customFormat="false" ht="15.75" hidden="false" customHeight="false" outlineLevel="0" collapsed="false">
      <c r="A1079" s="9"/>
      <c r="B1079" s="9"/>
      <c r="C1079" s="9"/>
      <c r="D1079" s="9"/>
      <c r="E1079" s="9"/>
      <c r="F1079" s="9"/>
      <c r="G1079" s="9"/>
      <c r="H1079" s="9"/>
      <c r="I1079" s="9"/>
    </row>
    <row r="1080" customFormat="false" ht="15.75" hidden="false" customHeight="false" outlineLevel="0" collapsed="false">
      <c r="A1080" s="9"/>
      <c r="B1080" s="9"/>
      <c r="C1080" s="9"/>
      <c r="D1080" s="9"/>
      <c r="E1080" s="9"/>
      <c r="F1080" s="9"/>
      <c r="G1080" s="9"/>
      <c r="H1080" s="9"/>
      <c r="I1080" s="9"/>
    </row>
    <row r="1081" customFormat="false" ht="15.75" hidden="false" customHeight="false" outlineLevel="0" collapsed="false">
      <c r="A1081" s="9"/>
      <c r="B1081" s="9"/>
      <c r="C1081" s="9"/>
      <c r="D1081" s="9"/>
      <c r="E1081" s="9"/>
      <c r="F1081" s="9"/>
      <c r="G1081" s="9"/>
      <c r="H1081" s="9"/>
      <c r="I1081" s="9"/>
    </row>
    <row r="1082" customFormat="false" ht="15.75" hidden="false" customHeight="false" outlineLevel="0" collapsed="false">
      <c r="A1082" s="9"/>
      <c r="B1082" s="9"/>
      <c r="C1082" s="9"/>
      <c r="D1082" s="9"/>
      <c r="E1082" s="9"/>
      <c r="F1082" s="9"/>
      <c r="G1082" s="9"/>
      <c r="H1082" s="9"/>
      <c r="I1082" s="9"/>
    </row>
    <row r="1083" customFormat="false" ht="15.75" hidden="false" customHeight="false" outlineLevel="0" collapsed="false">
      <c r="A1083" s="9"/>
      <c r="B1083" s="9"/>
      <c r="C1083" s="9"/>
      <c r="D1083" s="9"/>
      <c r="E1083" s="9"/>
      <c r="F1083" s="9"/>
      <c r="G1083" s="9"/>
      <c r="H1083" s="9"/>
      <c r="I1083" s="9"/>
    </row>
    <row r="1084" customFormat="false" ht="15.75" hidden="false" customHeight="false" outlineLevel="0" collapsed="false">
      <c r="A1084" s="9"/>
      <c r="B1084" s="9"/>
      <c r="C1084" s="9"/>
      <c r="D1084" s="9"/>
      <c r="E1084" s="9"/>
      <c r="F1084" s="9"/>
      <c r="G1084" s="9"/>
      <c r="H1084" s="9"/>
      <c r="I1084" s="9"/>
    </row>
    <row r="1085" customFormat="false" ht="15.75" hidden="false" customHeight="false" outlineLevel="0" collapsed="false">
      <c r="A1085" s="9"/>
      <c r="B1085" s="9"/>
      <c r="C1085" s="9"/>
      <c r="D1085" s="9"/>
      <c r="E1085" s="9"/>
      <c r="F1085" s="9"/>
      <c r="G1085" s="9"/>
      <c r="H1085" s="9"/>
      <c r="I1085" s="9"/>
    </row>
    <row r="1086" customFormat="false" ht="15.75" hidden="false" customHeight="false" outlineLevel="0" collapsed="false">
      <c r="A1086" s="9"/>
      <c r="B1086" s="9"/>
      <c r="C1086" s="9"/>
      <c r="D1086" s="9"/>
      <c r="E1086" s="9"/>
      <c r="F1086" s="9"/>
      <c r="G1086" s="9"/>
      <c r="H1086" s="9"/>
      <c r="I1086" s="9"/>
    </row>
    <row r="1087" customFormat="false" ht="15.75" hidden="false" customHeight="false" outlineLevel="0" collapsed="false">
      <c r="A1087" s="9"/>
      <c r="B1087" s="9"/>
      <c r="C1087" s="9"/>
      <c r="D1087" s="9"/>
      <c r="E1087" s="9"/>
      <c r="F1087" s="9"/>
      <c r="G1087" s="9"/>
      <c r="H1087" s="9"/>
      <c r="I1087" s="9"/>
    </row>
    <row r="1088" customFormat="false" ht="15.75" hidden="false" customHeight="false" outlineLevel="0" collapsed="false">
      <c r="A1088" s="9"/>
      <c r="B1088" s="9"/>
      <c r="C1088" s="9"/>
      <c r="D1088" s="9"/>
      <c r="E1088" s="9"/>
      <c r="F1088" s="9"/>
      <c r="G1088" s="9"/>
      <c r="H1088" s="9"/>
      <c r="I1088" s="9"/>
    </row>
    <row r="1089" customFormat="false" ht="15.75" hidden="false" customHeight="false" outlineLevel="0" collapsed="false">
      <c r="A1089" s="9"/>
      <c r="B1089" s="9"/>
      <c r="C1089" s="9"/>
      <c r="D1089" s="9"/>
      <c r="E1089" s="9"/>
      <c r="F1089" s="9"/>
      <c r="G1089" s="9"/>
      <c r="H1089" s="9"/>
      <c r="I1089" s="9"/>
    </row>
    <row r="1090" customFormat="false" ht="15.75" hidden="false" customHeight="false" outlineLevel="0" collapsed="false">
      <c r="A1090" s="9"/>
      <c r="B1090" s="9"/>
      <c r="C1090" s="9"/>
      <c r="D1090" s="9"/>
      <c r="E1090" s="9"/>
      <c r="F1090" s="9"/>
      <c r="G1090" s="9"/>
      <c r="H1090" s="9"/>
      <c r="I1090" s="9"/>
    </row>
    <row r="1091" customFormat="false" ht="15.75" hidden="false" customHeight="false" outlineLevel="0" collapsed="false">
      <c r="A1091" s="9"/>
      <c r="B1091" s="9"/>
      <c r="C1091" s="9"/>
      <c r="D1091" s="9"/>
      <c r="E1091" s="9"/>
      <c r="F1091" s="9"/>
      <c r="G1091" s="9"/>
      <c r="H1091" s="9"/>
      <c r="I1091" s="9"/>
    </row>
    <row r="1092" customFormat="false" ht="15.75" hidden="false" customHeight="false" outlineLevel="0" collapsed="false">
      <c r="A1092" s="9"/>
      <c r="B1092" s="9"/>
      <c r="C1092" s="9"/>
      <c r="D1092" s="9"/>
      <c r="E1092" s="9"/>
      <c r="F1092" s="9"/>
      <c r="G1092" s="9"/>
      <c r="H1092" s="9"/>
      <c r="I1092" s="9"/>
    </row>
    <row r="1093" customFormat="false" ht="15.75" hidden="false" customHeight="false" outlineLevel="0" collapsed="false">
      <c r="A1093" s="9"/>
      <c r="B1093" s="9"/>
      <c r="C1093" s="9"/>
      <c r="D1093" s="9"/>
      <c r="E1093" s="9"/>
      <c r="F1093" s="9"/>
      <c r="G1093" s="9"/>
      <c r="H1093" s="9"/>
      <c r="I1093" s="9"/>
    </row>
    <row r="1094" customFormat="false" ht="15.75" hidden="false" customHeight="false" outlineLevel="0" collapsed="false">
      <c r="A1094" s="9"/>
      <c r="B1094" s="9"/>
      <c r="C1094" s="9"/>
      <c r="D1094" s="9"/>
      <c r="E1094" s="9"/>
      <c r="F1094" s="9"/>
      <c r="G1094" s="9"/>
      <c r="H1094" s="9"/>
      <c r="I1094" s="9"/>
    </row>
    <row r="1095" customFormat="false" ht="15.75" hidden="false" customHeight="false" outlineLevel="0" collapsed="false">
      <c r="A1095" s="9"/>
      <c r="B1095" s="9"/>
      <c r="C1095" s="9"/>
      <c r="D1095" s="9"/>
      <c r="E1095" s="9"/>
      <c r="F1095" s="9"/>
      <c r="G1095" s="9"/>
      <c r="H1095" s="9"/>
      <c r="I1095" s="9"/>
    </row>
    <row r="1096" customFormat="false" ht="15.75" hidden="false" customHeight="false" outlineLevel="0" collapsed="false">
      <c r="A1096" s="9"/>
      <c r="B1096" s="9"/>
      <c r="C1096" s="9"/>
      <c r="D1096" s="9"/>
      <c r="E1096" s="9"/>
      <c r="F1096" s="9"/>
      <c r="G1096" s="9"/>
      <c r="H1096" s="9"/>
      <c r="I1096" s="9"/>
    </row>
    <row r="1097" customFormat="false" ht="15.75" hidden="false" customHeight="false" outlineLevel="0" collapsed="false">
      <c r="A1097" s="9"/>
      <c r="B1097" s="9"/>
      <c r="C1097" s="9"/>
      <c r="D1097" s="9"/>
      <c r="E1097" s="9"/>
      <c r="F1097" s="9"/>
      <c r="G1097" s="9"/>
      <c r="H1097" s="9"/>
      <c r="I1097" s="9"/>
    </row>
    <row r="1098" customFormat="false" ht="15.75" hidden="false" customHeight="false" outlineLevel="0" collapsed="false">
      <c r="A1098" s="9"/>
      <c r="B1098" s="9"/>
      <c r="C1098" s="9"/>
      <c r="D1098" s="9"/>
      <c r="E1098" s="9"/>
      <c r="F1098" s="9"/>
      <c r="G1098" s="9"/>
      <c r="H1098" s="9"/>
      <c r="I1098" s="9"/>
    </row>
    <row r="1099" customFormat="false" ht="15.75" hidden="false" customHeight="false" outlineLevel="0" collapsed="false">
      <c r="A1099" s="9"/>
      <c r="B1099" s="9"/>
      <c r="C1099" s="9"/>
      <c r="D1099" s="9"/>
      <c r="E1099" s="9"/>
      <c r="F1099" s="9"/>
      <c r="G1099" s="9"/>
      <c r="H1099" s="9"/>
      <c r="I1099" s="9"/>
    </row>
    <row r="1100" customFormat="false" ht="15.75" hidden="false" customHeight="false" outlineLevel="0" collapsed="false">
      <c r="A1100" s="9"/>
      <c r="B1100" s="9"/>
      <c r="C1100" s="9"/>
      <c r="D1100" s="9"/>
      <c r="E1100" s="9"/>
      <c r="F1100" s="9"/>
      <c r="G1100" s="9"/>
      <c r="H1100" s="9"/>
      <c r="I1100" s="9"/>
    </row>
    <row r="1101" customFormat="false" ht="15.75" hidden="false" customHeight="false" outlineLevel="0" collapsed="false">
      <c r="A1101" s="9"/>
      <c r="B1101" s="9"/>
      <c r="C1101" s="9"/>
      <c r="D1101" s="9"/>
      <c r="E1101" s="9"/>
      <c r="F1101" s="9"/>
      <c r="G1101" s="9"/>
      <c r="H1101" s="9"/>
      <c r="I1101" s="9"/>
    </row>
    <row r="1102" customFormat="false" ht="15.75" hidden="false" customHeight="false" outlineLevel="0" collapsed="false">
      <c r="A1102" s="9"/>
      <c r="B1102" s="9"/>
      <c r="C1102" s="9"/>
      <c r="D1102" s="9"/>
      <c r="E1102" s="9"/>
      <c r="F1102" s="9"/>
      <c r="G1102" s="9"/>
      <c r="H1102" s="9"/>
      <c r="I1102" s="9"/>
    </row>
    <row r="1103" customFormat="false" ht="15.75" hidden="false" customHeight="false" outlineLevel="0" collapsed="false">
      <c r="A1103" s="9"/>
      <c r="B1103" s="9"/>
      <c r="C1103" s="9"/>
      <c r="D1103" s="9"/>
      <c r="E1103" s="9"/>
      <c r="F1103" s="9"/>
      <c r="G1103" s="9"/>
      <c r="H1103" s="9"/>
      <c r="I1103" s="9"/>
    </row>
    <row r="1104" customFormat="false" ht="15.75" hidden="false" customHeight="false" outlineLevel="0" collapsed="false">
      <c r="A1104" s="9"/>
      <c r="B1104" s="9"/>
      <c r="C1104" s="9"/>
      <c r="D1104" s="9"/>
      <c r="E1104" s="9"/>
      <c r="F1104" s="9"/>
      <c r="G1104" s="9"/>
      <c r="H1104" s="9"/>
      <c r="I1104" s="9"/>
    </row>
    <row r="1105" customFormat="false" ht="15.75" hidden="false" customHeight="false" outlineLevel="0" collapsed="false">
      <c r="A1105" s="9"/>
      <c r="B1105" s="9"/>
      <c r="C1105" s="9"/>
      <c r="D1105" s="9"/>
      <c r="E1105" s="9"/>
      <c r="F1105" s="9"/>
      <c r="G1105" s="9"/>
      <c r="H1105" s="9"/>
      <c r="I1105" s="9"/>
    </row>
    <row r="1106" customFormat="false" ht="15.75" hidden="false" customHeight="false" outlineLevel="0" collapsed="false">
      <c r="A1106" s="9"/>
      <c r="B1106" s="9"/>
      <c r="C1106" s="9"/>
      <c r="D1106" s="9"/>
      <c r="E1106" s="9"/>
      <c r="F1106" s="9"/>
      <c r="G1106" s="9"/>
      <c r="H1106" s="9"/>
      <c r="I1106" s="9"/>
    </row>
    <row r="1107" customFormat="false" ht="15.75" hidden="false" customHeight="false" outlineLevel="0" collapsed="false">
      <c r="A1107" s="9"/>
      <c r="B1107" s="9"/>
      <c r="C1107" s="9"/>
      <c r="D1107" s="9"/>
      <c r="E1107" s="9"/>
      <c r="F1107" s="9"/>
      <c r="G1107" s="9"/>
      <c r="H1107" s="9"/>
      <c r="I1107" s="9"/>
    </row>
    <row r="1108" customFormat="false" ht="15.75" hidden="false" customHeight="false" outlineLevel="0" collapsed="false">
      <c r="A1108" s="9"/>
      <c r="B1108" s="9"/>
      <c r="C1108" s="9"/>
      <c r="D1108" s="9"/>
      <c r="E1108" s="9"/>
      <c r="F1108" s="9"/>
      <c r="G1108" s="9"/>
      <c r="H1108" s="9"/>
      <c r="I1108" s="9"/>
    </row>
    <row r="1109" customFormat="false" ht="15.75" hidden="false" customHeight="false" outlineLevel="0" collapsed="false">
      <c r="A1109" s="9"/>
      <c r="B1109" s="9"/>
      <c r="C1109" s="9"/>
      <c r="D1109" s="9"/>
      <c r="E1109" s="9"/>
      <c r="F1109" s="9"/>
      <c r="G1109" s="9"/>
      <c r="H1109" s="9"/>
      <c r="I1109" s="9"/>
    </row>
    <row r="1110" customFormat="false" ht="15.75" hidden="false" customHeight="false" outlineLevel="0" collapsed="false">
      <c r="A1110" s="9"/>
      <c r="B1110" s="9"/>
      <c r="C1110" s="9"/>
      <c r="D1110" s="9"/>
      <c r="E1110" s="9"/>
      <c r="F1110" s="9"/>
      <c r="G1110" s="9"/>
      <c r="H1110" s="9"/>
      <c r="I1110" s="9"/>
    </row>
    <row r="1111" customFormat="false" ht="15.75" hidden="false" customHeight="false" outlineLevel="0" collapsed="false">
      <c r="A1111" s="9"/>
      <c r="B1111" s="9"/>
      <c r="C1111" s="9"/>
      <c r="D1111" s="9"/>
      <c r="E1111" s="9"/>
      <c r="F1111" s="9"/>
      <c r="G1111" s="9"/>
      <c r="H1111" s="9"/>
      <c r="I1111" s="9"/>
    </row>
    <row r="1112" customFormat="false" ht="15.75" hidden="false" customHeight="false" outlineLevel="0" collapsed="false">
      <c r="A1112" s="9"/>
      <c r="B1112" s="9"/>
      <c r="C1112" s="9"/>
      <c r="D1112" s="9"/>
      <c r="E1112" s="9"/>
      <c r="F1112" s="9"/>
      <c r="G1112" s="9"/>
      <c r="H1112" s="9"/>
      <c r="I1112" s="9"/>
    </row>
    <row r="1113" customFormat="false" ht="15.75" hidden="false" customHeight="false" outlineLevel="0" collapsed="false">
      <c r="A1113" s="9"/>
      <c r="B1113" s="9"/>
      <c r="C1113" s="9"/>
      <c r="D1113" s="9"/>
      <c r="E1113" s="9"/>
      <c r="F1113" s="9"/>
      <c r="G1113" s="9"/>
      <c r="H1113" s="9"/>
      <c r="I1113" s="9"/>
    </row>
    <row r="1114" customFormat="false" ht="15.75" hidden="false" customHeight="false" outlineLevel="0" collapsed="false">
      <c r="A1114" s="9"/>
      <c r="B1114" s="9"/>
      <c r="C1114" s="9"/>
      <c r="D1114" s="9"/>
      <c r="E1114" s="9"/>
      <c r="F1114" s="9"/>
      <c r="G1114" s="9"/>
      <c r="H1114" s="9"/>
      <c r="I1114" s="9"/>
    </row>
    <row r="1115" customFormat="false" ht="15.75" hidden="false" customHeight="false" outlineLevel="0" collapsed="false">
      <c r="A1115" s="9"/>
      <c r="B1115" s="9"/>
      <c r="C1115" s="9"/>
      <c r="D1115" s="9"/>
      <c r="E1115" s="9"/>
      <c r="F1115" s="9"/>
      <c r="G1115" s="9"/>
      <c r="H1115" s="9"/>
      <c r="I1115" s="9"/>
    </row>
    <row r="1116" customFormat="false" ht="15.75" hidden="false" customHeight="false" outlineLevel="0" collapsed="false">
      <c r="A1116" s="9"/>
      <c r="B1116" s="9"/>
      <c r="C1116" s="9"/>
      <c r="D1116" s="9"/>
      <c r="E1116" s="9"/>
      <c r="F1116" s="9"/>
      <c r="G1116" s="9"/>
      <c r="H1116" s="9"/>
      <c r="I1116" s="9"/>
    </row>
    <row r="1117" customFormat="false" ht="15.75" hidden="false" customHeight="false" outlineLevel="0" collapsed="false">
      <c r="A1117" s="9"/>
      <c r="B1117" s="9"/>
      <c r="C1117" s="9"/>
      <c r="D1117" s="9"/>
      <c r="E1117" s="9"/>
      <c r="F1117" s="9"/>
      <c r="G1117" s="9"/>
      <c r="H1117" s="9"/>
      <c r="I1117" s="9"/>
    </row>
    <row r="1118" customFormat="false" ht="15.75" hidden="false" customHeight="false" outlineLevel="0" collapsed="false">
      <c r="A1118" s="9"/>
      <c r="B1118" s="9"/>
      <c r="C1118" s="9"/>
      <c r="D1118" s="9"/>
      <c r="E1118" s="9"/>
      <c r="F1118" s="9"/>
      <c r="G1118" s="9"/>
      <c r="H1118" s="9"/>
      <c r="I1118" s="9"/>
    </row>
    <row r="1119" customFormat="false" ht="15.75" hidden="false" customHeight="false" outlineLevel="0" collapsed="false">
      <c r="A1119" s="9"/>
      <c r="B1119" s="9"/>
      <c r="C1119" s="9"/>
      <c r="D1119" s="9"/>
      <c r="E1119" s="9"/>
      <c r="F1119" s="9"/>
      <c r="G1119" s="9"/>
      <c r="H1119" s="9"/>
      <c r="I1119" s="9"/>
    </row>
    <row r="1120" customFormat="false" ht="15.75" hidden="false" customHeight="false" outlineLevel="0" collapsed="false">
      <c r="A1120" s="9"/>
      <c r="B1120" s="9"/>
      <c r="C1120" s="9"/>
      <c r="D1120" s="9"/>
      <c r="E1120" s="9"/>
      <c r="F1120" s="9"/>
      <c r="G1120" s="9"/>
      <c r="H1120" s="9"/>
      <c r="I1120" s="9"/>
    </row>
    <row r="1121" customFormat="false" ht="15.75" hidden="false" customHeight="false" outlineLevel="0" collapsed="false">
      <c r="A1121" s="9"/>
      <c r="B1121" s="9"/>
      <c r="C1121" s="9"/>
      <c r="D1121" s="9"/>
      <c r="E1121" s="9"/>
      <c r="F1121" s="9"/>
      <c r="G1121" s="9"/>
      <c r="H1121" s="9"/>
      <c r="I1121" s="9"/>
    </row>
    <row r="1122" customFormat="false" ht="15.75" hidden="false" customHeight="false" outlineLevel="0" collapsed="false">
      <c r="A1122" s="9"/>
      <c r="B1122" s="9"/>
      <c r="C1122" s="9"/>
      <c r="D1122" s="9"/>
      <c r="E1122" s="9"/>
      <c r="F1122" s="9"/>
      <c r="G1122" s="9"/>
      <c r="H1122" s="9"/>
      <c r="I1122" s="9"/>
    </row>
    <row r="1123" customFormat="false" ht="15.75" hidden="false" customHeight="false" outlineLevel="0" collapsed="false">
      <c r="A1123" s="9"/>
      <c r="B1123" s="9"/>
      <c r="C1123" s="9"/>
      <c r="D1123" s="9"/>
      <c r="E1123" s="9"/>
      <c r="F1123" s="9"/>
      <c r="G1123" s="9"/>
      <c r="H1123" s="9"/>
      <c r="I1123" s="9"/>
    </row>
    <row r="1124" customFormat="false" ht="15.75" hidden="false" customHeight="false" outlineLevel="0" collapsed="false">
      <c r="A1124" s="9"/>
      <c r="B1124" s="9"/>
      <c r="C1124" s="9"/>
      <c r="D1124" s="9"/>
      <c r="E1124" s="9"/>
      <c r="F1124" s="9"/>
      <c r="G1124" s="9"/>
      <c r="H1124" s="9"/>
      <c r="I1124" s="9"/>
    </row>
    <row r="1125" customFormat="false" ht="15.75" hidden="false" customHeight="false" outlineLevel="0" collapsed="false">
      <c r="A1125" s="9"/>
      <c r="B1125" s="9"/>
      <c r="C1125" s="9"/>
      <c r="D1125" s="9"/>
      <c r="E1125" s="9"/>
      <c r="F1125" s="9"/>
      <c r="G1125" s="9"/>
      <c r="H1125" s="9"/>
      <c r="I1125" s="9"/>
    </row>
    <row r="1126" customFormat="false" ht="15.75" hidden="false" customHeight="false" outlineLevel="0" collapsed="false">
      <c r="A1126" s="9"/>
      <c r="B1126" s="9"/>
      <c r="C1126" s="9"/>
      <c r="D1126" s="9"/>
      <c r="E1126" s="9"/>
      <c r="F1126" s="9"/>
      <c r="G1126" s="9"/>
      <c r="H1126" s="9"/>
      <c r="I1126" s="9"/>
    </row>
    <row r="1127" customFormat="false" ht="15.75" hidden="false" customHeight="false" outlineLevel="0" collapsed="false">
      <c r="A1127" s="9"/>
      <c r="B1127" s="9"/>
      <c r="C1127" s="9"/>
      <c r="D1127" s="9"/>
      <c r="E1127" s="9"/>
      <c r="F1127" s="9"/>
      <c r="G1127" s="9"/>
      <c r="H1127" s="9"/>
      <c r="I1127" s="9"/>
    </row>
    <row r="1128" customFormat="false" ht="15.75" hidden="false" customHeight="false" outlineLevel="0" collapsed="false">
      <c r="A1128" s="9"/>
      <c r="B1128" s="9"/>
      <c r="C1128" s="9"/>
      <c r="D1128" s="9"/>
      <c r="E1128" s="9"/>
      <c r="F1128" s="9"/>
      <c r="G1128" s="9"/>
      <c r="H1128" s="9"/>
      <c r="I1128" s="9"/>
    </row>
    <row r="1129" customFormat="false" ht="15.75" hidden="false" customHeight="false" outlineLevel="0" collapsed="false">
      <c r="A1129" s="9"/>
      <c r="B1129" s="9"/>
      <c r="C1129" s="9"/>
      <c r="D1129" s="9"/>
      <c r="E1129" s="9"/>
      <c r="F1129" s="9"/>
      <c r="G1129" s="9"/>
      <c r="H1129" s="9"/>
      <c r="I1129" s="9"/>
    </row>
    <row r="1130" customFormat="false" ht="15.75" hidden="false" customHeight="false" outlineLevel="0" collapsed="false">
      <c r="A1130" s="9"/>
      <c r="B1130" s="9"/>
      <c r="C1130" s="9"/>
      <c r="D1130" s="9"/>
      <c r="E1130" s="9"/>
      <c r="F1130" s="9"/>
      <c r="G1130" s="9"/>
      <c r="H1130" s="9"/>
      <c r="I1130" s="9"/>
    </row>
    <row r="1131" customFormat="false" ht="15.75" hidden="false" customHeight="false" outlineLevel="0" collapsed="false">
      <c r="A1131" s="9"/>
      <c r="B1131" s="9"/>
      <c r="C1131" s="9"/>
      <c r="D1131" s="9"/>
      <c r="E1131" s="9"/>
      <c r="F1131" s="9"/>
      <c r="G1131" s="9"/>
      <c r="H1131" s="9"/>
      <c r="I1131" s="9"/>
    </row>
    <row r="1132" customFormat="false" ht="15.75" hidden="false" customHeight="false" outlineLevel="0" collapsed="false">
      <c r="A1132" s="9"/>
      <c r="B1132" s="9"/>
      <c r="C1132" s="9"/>
      <c r="D1132" s="9"/>
      <c r="E1132" s="9"/>
      <c r="F1132" s="9"/>
      <c r="G1132" s="9"/>
      <c r="H1132" s="9"/>
      <c r="I1132" s="9"/>
    </row>
    <row r="1133" customFormat="false" ht="15.75" hidden="false" customHeight="false" outlineLevel="0" collapsed="false">
      <c r="A1133" s="9"/>
      <c r="B1133" s="9"/>
      <c r="C1133" s="9"/>
      <c r="D1133" s="9"/>
      <c r="E1133" s="9"/>
      <c r="F1133" s="9"/>
      <c r="G1133" s="9"/>
      <c r="H1133" s="9"/>
      <c r="I1133" s="9"/>
    </row>
    <row r="1134" customFormat="false" ht="15.75" hidden="false" customHeight="false" outlineLevel="0" collapsed="false">
      <c r="A1134" s="9"/>
      <c r="B1134" s="9"/>
      <c r="C1134" s="9"/>
      <c r="D1134" s="9"/>
      <c r="E1134" s="9"/>
      <c r="F1134" s="9"/>
      <c r="G1134" s="9"/>
      <c r="H1134" s="9"/>
      <c r="I1134" s="9"/>
    </row>
    <row r="1135" customFormat="false" ht="15.75" hidden="false" customHeight="false" outlineLevel="0" collapsed="false">
      <c r="A1135" s="9"/>
      <c r="B1135" s="9"/>
      <c r="C1135" s="9"/>
      <c r="D1135" s="9"/>
      <c r="E1135" s="9"/>
      <c r="F1135" s="9"/>
      <c r="G1135" s="9"/>
      <c r="H1135" s="9"/>
      <c r="I1135" s="9"/>
    </row>
    <row r="1136" customFormat="false" ht="15.75" hidden="false" customHeight="false" outlineLevel="0" collapsed="false">
      <c r="A1136" s="9"/>
      <c r="B1136" s="9"/>
      <c r="C1136" s="9"/>
      <c r="D1136" s="9"/>
      <c r="E1136" s="9"/>
      <c r="F1136" s="9"/>
      <c r="G1136" s="9"/>
      <c r="H1136" s="9"/>
      <c r="I1136" s="9"/>
    </row>
    <row r="1137" customFormat="false" ht="15.75" hidden="false" customHeight="false" outlineLevel="0" collapsed="false">
      <c r="A1137" s="9"/>
      <c r="B1137" s="9"/>
      <c r="C1137" s="9"/>
      <c r="D1137" s="9"/>
      <c r="E1137" s="9"/>
      <c r="F1137" s="9"/>
      <c r="G1137" s="9"/>
      <c r="H1137" s="9"/>
      <c r="I1137" s="9"/>
    </row>
    <row r="1138" customFormat="false" ht="15.75" hidden="false" customHeight="false" outlineLevel="0" collapsed="false">
      <c r="A1138" s="9"/>
      <c r="B1138" s="9"/>
      <c r="C1138" s="9"/>
      <c r="D1138" s="9"/>
      <c r="E1138" s="9"/>
      <c r="F1138" s="9"/>
      <c r="G1138" s="9"/>
      <c r="H1138" s="9"/>
      <c r="I1138" s="9"/>
    </row>
    <row r="1139" customFormat="false" ht="15.75" hidden="false" customHeight="false" outlineLevel="0" collapsed="false">
      <c r="A1139" s="9"/>
      <c r="B1139" s="9"/>
      <c r="C1139" s="9"/>
      <c r="D1139" s="9"/>
      <c r="E1139" s="9"/>
      <c r="F1139" s="9"/>
      <c r="G1139" s="9"/>
      <c r="H1139" s="9"/>
      <c r="I1139" s="9"/>
    </row>
    <row r="1140" customFormat="false" ht="15.75" hidden="false" customHeight="false" outlineLevel="0" collapsed="false">
      <c r="A1140" s="9"/>
      <c r="B1140" s="9"/>
      <c r="C1140" s="9"/>
      <c r="D1140" s="9"/>
      <c r="E1140" s="9"/>
      <c r="F1140" s="9"/>
      <c r="G1140" s="9"/>
      <c r="H1140" s="9"/>
      <c r="I1140" s="9"/>
    </row>
    <row r="1141" customFormat="false" ht="15.75" hidden="false" customHeight="false" outlineLevel="0" collapsed="false">
      <c r="A1141" s="9"/>
      <c r="B1141" s="9"/>
      <c r="C1141" s="9"/>
      <c r="D1141" s="9"/>
      <c r="E1141" s="9"/>
      <c r="F1141" s="9"/>
      <c r="G1141" s="9"/>
      <c r="H1141" s="9"/>
      <c r="I1141" s="9"/>
    </row>
    <row r="1142" customFormat="false" ht="15.75" hidden="false" customHeight="false" outlineLevel="0" collapsed="false">
      <c r="A1142" s="9"/>
      <c r="B1142" s="9"/>
      <c r="C1142" s="9"/>
      <c r="D1142" s="9"/>
      <c r="E1142" s="9"/>
      <c r="F1142" s="9"/>
      <c r="G1142" s="9"/>
      <c r="H1142" s="9"/>
      <c r="I1142" s="9"/>
    </row>
    <row r="1143" customFormat="false" ht="15.75" hidden="false" customHeight="false" outlineLevel="0" collapsed="false">
      <c r="A1143" s="9"/>
      <c r="B1143" s="9"/>
      <c r="C1143" s="9"/>
      <c r="D1143" s="9"/>
      <c r="E1143" s="9"/>
      <c r="F1143" s="9"/>
      <c r="G1143" s="9"/>
      <c r="H1143" s="9"/>
      <c r="I1143" s="9"/>
    </row>
    <row r="1144" customFormat="false" ht="15.75" hidden="false" customHeight="false" outlineLevel="0" collapsed="false">
      <c r="A1144" s="9"/>
      <c r="B1144" s="9"/>
      <c r="C1144" s="9"/>
      <c r="D1144" s="9"/>
      <c r="E1144" s="9"/>
      <c r="F1144" s="9"/>
      <c r="G1144" s="9"/>
      <c r="H1144" s="9"/>
      <c r="I1144" s="9"/>
    </row>
    <row r="1145" customFormat="false" ht="15.75" hidden="false" customHeight="false" outlineLevel="0" collapsed="false">
      <c r="A1145" s="9"/>
      <c r="B1145" s="9"/>
      <c r="C1145" s="9"/>
      <c r="D1145" s="9"/>
      <c r="E1145" s="9"/>
      <c r="F1145" s="9"/>
      <c r="G1145" s="9"/>
      <c r="H1145" s="9"/>
      <c r="I1145" s="9"/>
    </row>
    <row r="1146" customFormat="false" ht="15.75" hidden="false" customHeight="false" outlineLevel="0" collapsed="false">
      <c r="A1146" s="9"/>
      <c r="B1146" s="9"/>
      <c r="C1146" s="9"/>
      <c r="D1146" s="9"/>
      <c r="E1146" s="9"/>
      <c r="F1146" s="9"/>
      <c r="G1146" s="9"/>
      <c r="H1146" s="9"/>
      <c r="I1146" s="9"/>
    </row>
    <row r="1147" customFormat="false" ht="15.75" hidden="false" customHeight="false" outlineLevel="0" collapsed="false">
      <c r="A1147" s="9"/>
      <c r="B1147" s="9"/>
      <c r="C1147" s="9"/>
      <c r="D1147" s="9"/>
      <c r="E1147" s="9"/>
      <c r="F1147" s="9"/>
      <c r="G1147" s="9"/>
      <c r="H1147" s="9"/>
      <c r="I1147" s="9"/>
    </row>
    <row r="1148" customFormat="false" ht="15.75" hidden="false" customHeight="false" outlineLevel="0" collapsed="false">
      <c r="A1148" s="9"/>
      <c r="B1148" s="9"/>
      <c r="C1148" s="9"/>
      <c r="D1148" s="9"/>
      <c r="E1148" s="9"/>
      <c r="F1148" s="9"/>
      <c r="G1148" s="9"/>
      <c r="H1148" s="9"/>
      <c r="I1148" s="9"/>
    </row>
    <row r="1149" customFormat="false" ht="15.75" hidden="false" customHeight="false" outlineLevel="0" collapsed="false">
      <c r="A1149" s="9"/>
      <c r="B1149" s="9"/>
      <c r="C1149" s="9"/>
      <c r="D1149" s="9"/>
      <c r="E1149" s="9"/>
      <c r="F1149" s="9"/>
      <c r="G1149" s="9"/>
      <c r="H1149" s="9"/>
      <c r="I1149" s="9"/>
    </row>
    <row r="1150" customFormat="false" ht="15.75" hidden="false" customHeight="false" outlineLevel="0" collapsed="false">
      <c r="A1150" s="9"/>
      <c r="B1150" s="9"/>
      <c r="C1150" s="9"/>
      <c r="D1150" s="9"/>
      <c r="E1150" s="9"/>
      <c r="F1150" s="9"/>
      <c r="G1150" s="9"/>
      <c r="H1150" s="9"/>
      <c r="I1150" s="9"/>
    </row>
    <row r="1151" customFormat="false" ht="15.75" hidden="false" customHeight="false" outlineLevel="0" collapsed="false">
      <c r="A1151" s="9"/>
      <c r="B1151" s="9"/>
      <c r="C1151" s="9"/>
      <c r="D1151" s="9"/>
      <c r="E1151" s="9"/>
      <c r="F1151" s="9"/>
      <c r="G1151" s="9"/>
      <c r="H1151" s="9"/>
      <c r="I1151" s="9"/>
    </row>
    <row r="1152" customFormat="false" ht="15.75" hidden="false" customHeight="false" outlineLevel="0" collapsed="false">
      <c r="A1152" s="9"/>
      <c r="B1152" s="9"/>
      <c r="C1152" s="9"/>
      <c r="D1152" s="9"/>
      <c r="E1152" s="9"/>
      <c r="F1152" s="9"/>
      <c r="G1152" s="9"/>
      <c r="H1152" s="9"/>
      <c r="I1152" s="9"/>
    </row>
    <row r="1153" customFormat="false" ht="15.75" hidden="false" customHeight="false" outlineLevel="0" collapsed="false">
      <c r="A1153" s="9"/>
      <c r="B1153" s="9"/>
      <c r="C1153" s="9"/>
      <c r="D1153" s="9"/>
      <c r="E1153" s="9"/>
      <c r="F1153" s="9"/>
      <c r="G1153" s="9"/>
      <c r="H1153" s="9"/>
      <c r="I1153" s="9"/>
    </row>
    <row r="1154" customFormat="false" ht="15.75" hidden="false" customHeight="false" outlineLevel="0" collapsed="false">
      <c r="A1154" s="9"/>
      <c r="B1154" s="9"/>
      <c r="C1154" s="9"/>
      <c r="D1154" s="9"/>
      <c r="E1154" s="9"/>
      <c r="F1154" s="9"/>
      <c r="G1154" s="9"/>
      <c r="H1154" s="9"/>
      <c r="I1154" s="9"/>
    </row>
    <row r="1155" customFormat="false" ht="15.75" hidden="false" customHeight="false" outlineLevel="0" collapsed="false">
      <c r="A1155" s="9"/>
      <c r="B1155" s="9"/>
      <c r="C1155" s="9"/>
      <c r="D1155" s="9"/>
      <c r="E1155" s="9"/>
      <c r="F1155" s="9"/>
      <c r="G1155" s="9"/>
      <c r="H1155" s="9"/>
      <c r="I1155" s="9"/>
    </row>
    <row r="1156" customFormat="false" ht="15.75" hidden="false" customHeight="false" outlineLevel="0" collapsed="false">
      <c r="A1156" s="9"/>
      <c r="B1156" s="9"/>
      <c r="C1156" s="9"/>
      <c r="D1156" s="9"/>
      <c r="E1156" s="9"/>
      <c r="F1156" s="9"/>
      <c r="G1156" s="9"/>
      <c r="H1156" s="9"/>
      <c r="I1156" s="9"/>
    </row>
    <row r="1157" customFormat="false" ht="15.75" hidden="false" customHeight="false" outlineLevel="0" collapsed="false">
      <c r="A1157" s="9"/>
      <c r="B1157" s="9"/>
      <c r="C1157" s="9"/>
      <c r="D1157" s="9"/>
      <c r="E1157" s="9"/>
      <c r="F1157" s="9"/>
      <c r="G1157" s="9"/>
      <c r="H1157" s="9"/>
      <c r="I1157" s="9"/>
    </row>
    <row r="1158" customFormat="false" ht="15.75" hidden="false" customHeight="false" outlineLevel="0" collapsed="false">
      <c r="A1158" s="9"/>
      <c r="B1158" s="9"/>
      <c r="C1158" s="9"/>
      <c r="D1158" s="9"/>
      <c r="E1158" s="9"/>
      <c r="F1158" s="9"/>
      <c r="G1158" s="9"/>
      <c r="H1158" s="9"/>
      <c r="I1158" s="9"/>
    </row>
    <row r="1159" customFormat="false" ht="15.75" hidden="false" customHeight="false" outlineLevel="0" collapsed="false">
      <c r="A1159" s="9"/>
      <c r="B1159" s="9"/>
      <c r="C1159" s="9"/>
      <c r="D1159" s="9"/>
      <c r="E1159" s="9"/>
      <c r="F1159" s="9"/>
      <c r="G1159" s="9"/>
      <c r="H1159" s="9"/>
      <c r="I1159" s="9"/>
    </row>
    <row r="1160" customFormat="false" ht="15.75" hidden="false" customHeight="false" outlineLevel="0" collapsed="false">
      <c r="A1160" s="9"/>
      <c r="B1160" s="9"/>
      <c r="C1160" s="9"/>
      <c r="D1160" s="9"/>
      <c r="E1160" s="9"/>
      <c r="F1160" s="9"/>
      <c r="G1160" s="9"/>
      <c r="H1160" s="9"/>
      <c r="I1160" s="9"/>
    </row>
    <row r="1161" customFormat="false" ht="15.75" hidden="false" customHeight="false" outlineLevel="0" collapsed="false">
      <c r="A1161" s="9"/>
      <c r="B1161" s="9"/>
      <c r="C1161" s="9"/>
      <c r="D1161" s="9"/>
      <c r="E1161" s="9"/>
      <c r="F1161" s="9"/>
      <c r="G1161" s="9"/>
      <c r="H1161" s="9"/>
      <c r="I1161" s="9"/>
    </row>
    <row r="1162" customFormat="false" ht="15.75" hidden="false" customHeight="false" outlineLevel="0" collapsed="false">
      <c r="A1162" s="9"/>
      <c r="B1162" s="9"/>
      <c r="C1162" s="9"/>
      <c r="D1162" s="9"/>
      <c r="E1162" s="9"/>
      <c r="F1162" s="9"/>
      <c r="G1162" s="9"/>
      <c r="H1162" s="9"/>
      <c r="I1162" s="9"/>
    </row>
    <row r="1163" customFormat="false" ht="15.75" hidden="false" customHeight="false" outlineLevel="0" collapsed="false">
      <c r="A1163" s="9"/>
      <c r="B1163" s="9"/>
      <c r="C1163" s="9"/>
      <c r="D1163" s="9"/>
      <c r="E1163" s="9"/>
      <c r="F1163" s="9"/>
      <c r="G1163" s="9"/>
      <c r="H1163" s="9"/>
      <c r="I1163" s="9"/>
    </row>
    <row r="1164" customFormat="false" ht="15.75" hidden="false" customHeight="false" outlineLevel="0" collapsed="false">
      <c r="A1164" s="9"/>
      <c r="B1164" s="9"/>
      <c r="C1164" s="9"/>
      <c r="D1164" s="9"/>
      <c r="E1164" s="9"/>
      <c r="F1164" s="9"/>
      <c r="G1164" s="9"/>
      <c r="H1164" s="9"/>
      <c r="I1164" s="9"/>
    </row>
    <row r="1165" customFormat="false" ht="15.75" hidden="false" customHeight="false" outlineLevel="0" collapsed="false">
      <c r="A1165" s="9"/>
      <c r="B1165" s="9"/>
      <c r="C1165" s="9"/>
      <c r="D1165" s="9"/>
      <c r="E1165" s="9"/>
      <c r="F1165" s="9"/>
      <c r="G1165" s="9"/>
      <c r="H1165" s="9"/>
      <c r="I1165" s="9"/>
    </row>
    <row r="1166" customFormat="false" ht="15.75" hidden="false" customHeight="false" outlineLevel="0" collapsed="false">
      <c r="A1166" s="9"/>
      <c r="B1166" s="9"/>
      <c r="C1166" s="9"/>
      <c r="D1166" s="9"/>
      <c r="E1166" s="9"/>
      <c r="F1166" s="9"/>
      <c r="G1166" s="9"/>
      <c r="H1166" s="9"/>
      <c r="I1166" s="9"/>
    </row>
    <row r="1167" customFormat="false" ht="15.75" hidden="false" customHeight="false" outlineLevel="0" collapsed="false">
      <c r="A1167" s="9"/>
      <c r="B1167" s="9"/>
      <c r="C1167" s="9"/>
      <c r="D1167" s="9"/>
      <c r="E1167" s="9"/>
      <c r="F1167" s="9"/>
      <c r="G1167" s="9"/>
      <c r="H1167" s="9"/>
      <c r="I1167" s="9"/>
    </row>
    <row r="1168" customFormat="false" ht="15.75" hidden="false" customHeight="false" outlineLevel="0" collapsed="false">
      <c r="A1168" s="9"/>
      <c r="B1168" s="9"/>
      <c r="C1168" s="9"/>
      <c r="D1168" s="9"/>
      <c r="E1168" s="9"/>
      <c r="F1168" s="9"/>
      <c r="G1168" s="9"/>
      <c r="H1168" s="9"/>
      <c r="I1168" s="9"/>
    </row>
    <row r="1169" customFormat="false" ht="15.75" hidden="false" customHeight="false" outlineLevel="0" collapsed="false">
      <c r="A1169" s="9"/>
      <c r="B1169" s="9"/>
      <c r="C1169" s="9"/>
      <c r="D1169" s="9"/>
      <c r="E1169" s="9"/>
      <c r="F1169" s="9"/>
      <c r="G1169" s="9"/>
      <c r="H1169" s="9"/>
      <c r="I1169" s="9"/>
    </row>
    <row r="1170" customFormat="false" ht="15.75" hidden="false" customHeight="false" outlineLevel="0" collapsed="false">
      <c r="A1170" s="9"/>
      <c r="B1170" s="9"/>
      <c r="C1170" s="9"/>
      <c r="D1170" s="9"/>
      <c r="E1170" s="9"/>
      <c r="F1170" s="9"/>
      <c r="G1170" s="9"/>
      <c r="H1170" s="9"/>
      <c r="I1170" s="9"/>
    </row>
    <row r="1171" customFormat="false" ht="15.75" hidden="false" customHeight="false" outlineLevel="0" collapsed="false">
      <c r="A1171" s="9"/>
      <c r="B1171" s="9"/>
      <c r="C1171" s="9"/>
      <c r="D1171" s="9"/>
      <c r="E1171" s="9"/>
      <c r="F1171" s="9"/>
      <c r="G1171" s="9"/>
      <c r="H1171" s="9"/>
      <c r="I1171" s="9"/>
    </row>
    <row r="1172" customFormat="false" ht="15.75" hidden="false" customHeight="false" outlineLevel="0" collapsed="false">
      <c r="A1172" s="9"/>
      <c r="B1172" s="9"/>
      <c r="C1172" s="9"/>
      <c r="D1172" s="9"/>
      <c r="E1172" s="9"/>
      <c r="F1172" s="9"/>
      <c r="G1172" s="9"/>
      <c r="H1172" s="9"/>
      <c r="I1172" s="9"/>
    </row>
    <row r="1173" customFormat="false" ht="15.75" hidden="false" customHeight="false" outlineLevel="0" collapsed="false">
      <c r="A1173" s="9"/>
      <c r="B1173" s="9"/>
      <c r="C1173" s="9"/>
      <c r="D1173" s="9"/>
      <c r="E1173" s="9"/>
      <c r="F1173" s="9"/>
      <c r="G1173" s="9"/>
      <c r="H1173" s="9"/>
      <c r="I1173" s="9"/>
    </row>
    <row r="1174" customFormat="false" ht="15.75" hidden="false" customHeight="false" outlineLevel="0" collapsed="false">
      <c r="A1174" s="9"/>
      <c r="B1174" s="9"/>
      <c r="C1174" s="9"/>
      <c r="D1174" s="9"/>
      <c r="E1174" s="9"/>
      <c r="F1174" s="9"/>
      <c r="G1174" s="9"/>
      <c r="H1174" s="9"/>
      <c r="I1174" s="9"/>
    </row>
    <row r="1175" customFormat="false" ht="15.75" hidden="false" customHeight="false" outlineLevel="0" collapsed="false">
      <c r="A1175" s="9"/>
      <c r="B1175" s="9"/>
      <c r="C1175" s="9"/>
      <c r="D1175" s="9"/>
      <c r="E1175" s="9"/>
      <c r="F1175" s="9"/>
      <c r="G1175" s="9"/>
      <c r="H1175" s="9"/>
      <c r="I1175" s="9"/>
    </row>
    <row r="1176" customFormat="false" ht="15.75" hidden="false" customHeight="false" outlineLevel="0" collapsed="false">
      <c r="A1176" s="9"/>
      <c r="B1176" s="9"/>
      <c r="C1176" s="9"/>
      <c r="D1176" s="9"/>
      <c r="E1176" s="9"/>
      <c r="F1176" s="9"/>
      <c r="G1176" s="9"/>
      <c r="H1176" s="9"/>
      <c r="I1176" s="9"/>
    </row>
    <row r="1177" customFormat="false" ht="15.75" hidden="false" customHeight="false" outlineLevel="0" collapsed="false">
      <c r="A1177" s="9"/>
      <c r="B1177" s="9"/>
      <c r="C1177" s="9"/>
      <c r="D1177" s="9"/>
      <c r="E1177" s="9"/>
      <c r="F1177" s="9"/>
      <c r="G1177" s="9"/>
      <c r="H1177" s="9"/>
      <c r="I1177" s="9"/>
    </row>
    <row r="1178" customFormat="false" ht="15.75" hidden="false" customHeight="false" outlineLevel="0" collapsed="false">
      <c r="A1178" s="9"/>
      <c r="B1178" s="9"/>
      <c r="C1178" s="9"/>
      <c r="D1178" s="9"/>
      <c r="E1178" s="9"/>
      <c r="F1178" s="9"/>
      <c r="G1178" s="9"/>
      <c r="H1178" s="9"/>
      <c r="I1178" s="9"/>
    </row>
    <row r="1179" customFormat="false" ht="15.75" hidden="false" customHeight="false" outlineLevel="0" collapsed="false">
      <c r="A1179" s="9"/>
      <c r="B1179" s="9"/>
      <c r="C1179" s="9"/>
      <c r="D1179" s="9"/>
      <c r="E1179" s="9"/>
      <c r="F1179" s="9"/>
      <c r="G1179" s="9"/>
      <c r="H1179" s="9"/>
      <c r="I1179" s="9"/>
    </row>
    <row r="1180" customFormat="false" ht="15.75" hidden="false" customHeight="false" outlineLevel="0" collapsed="false">
      <c r="A1180" s="9"/>
      <c r="B1180" s="9"/>
      <c r="C1180" s="9"/>
      <c r="D1180" s="9"/>
      <c r="E1180" s="9"/>
      <c r="F1180" s="9"/>
      <c r="G1180" s="9"/>
      <c r="H1180" s="9"/>
      <c r="I1180" s="9"/>
    </row>
    <row r="1181" customFormat="false" ht="15.75" hidden="false" customHeight="false" outlineLevel="0" collapsed="false">
      <c r="A1181" s="9"/>
      <c r="B1181" s="9"/>
      <c r="C1181" s="9"/>
      <c r="D1181" s="9"/>
      <c r="E1181" s="9"/>
      <c r="F1181" s="9"/>
      <c r="G1181" s="9"/>
      <c r="H1181" s="9"/>
      <c r="I1181" s="9"/>
    </row>
    <row r="1182" customFormat="false" ht="15.75" hidden="false" customHeight="false" outlineLevel="0" collapsed="false">
      <c r="A1182" s="9"/>
      <c r="B1182" s="9"/>
      <c r="C1182" s="9"/>
      <c r="D1182" s="9"/>
      <c r="E1182" s="9"/>
      <c r="F1182" s="9"/>
      <c r="G1182" s="9"/>
      <c r="H1182" s="9"/>
      <c r="I1182" s="9"/>
    </row>
    <row r="1183" customFormat="false" ht="15.75" hidden="false" customHeight="false" outlineLevel="0" collapsed="false">
      <c r="A1183" s="9"/>
      <c r="B1183" s="9"/>
      <c r="C1183" s="9"/>
      <c r="D1183" s="9"/>
      <c r="E1183" s="9"/>
      <c r="F1183" s="9"/>
      <c r="G1183" s="9"/>
      <c r="H1183" s="9"/>
      <c r="I1183" s="9"/>
    </row>
    <row r="1184" customFormat="false" ht="15.75" hidden="false" customHeight="false" outlineLevel="0" collapsed="false">
      <c r="A1184" s="9"/>
      <c r="B1184" s="9"/>
      <c r="C1184" s="9"/>
      <c r="D1184" s="9"/>
      <c r="E1184" s="9"/>
      <c r="F1184" s="9"/>
      <c r="G1184" s="9"/>
      <c r="H1184" s="9"/>
      <c r="I1184" s="9"/>
    </row>
    <row r="1185" customFormat="false" ht="15.75" hidden="false" customHeight="false" outlineLevel="0" collapsed="false">
      <c r="A1185" s="9"/>
      <c r="B1185" s="9"/>
      <c r="C1185" s="9"/>
      <c r="D1185" s="9"/>
      <c r="E1185" s="9"/>
      <c r="F1185" s="9"/>
      <c r="G1185" s="9"/>
      <c r="H1185" s="9"/>
      <c r="I1185" s="9"/>
    </row>
    <row r="1186" customFormat="false" ht="15.75" hidden="false" customHeight="false" outlineLevel="0" collapsed="false">
      <c r="A1186" s="9"/>
      <c r="B1186" s="9"/>
      <c r="C1186" s="9"/>
      <c r="D1186" s="9"/>
      <c r="E1186" s="9"/>
      <c r="F1186" s="9"/>
      <c r="G1186" s="9"/>
      <c r="H1186" s="9"/>
      <c r="I1186" s="9"/>
    </row>
    <row r="1187" customFormat="false" ht="15.75" hidden="false" customHeight="false" outlineLevel="0" collapsed="false">
      <c r="A1187" s="9"/>
      <c r="B1187" s="9"/>
      <c r="C1187" s="9"/>
      <c r="D1187" s="9"/>
      <c r="E1187" s="9"/>
      <c r="F1187" s="9"/>
      <c r="G1187" s="9"/>
      <c r="H1187" s="9"/>
      <c r="I1187" s="9"/>
    </row>
    <row r="1188" customFormat="false" ht="15.75" hidden="false" customHeight="false" outlineLevel="0" collapsed="false">
      <c r="A1188" s="9"/>
      <c r="B1188" s="9"/>
      <c r="C1188" s="9"/>
      <c r="D1188" s="9"/>
      <c r="E1188" s="9"/>
      <c r="F1188" s="9"/>
      <c r="G1188" s="9"/>
      <c r="H1188" s="9"/>
      <c r="I1188" s="9"/>
    </row>
    <row r="1189" customFormat="false" ht="15.75" hidden="false" customHeight="false" outlineLevel="0" collapsed="false">
      <c r="A1189" s="9"/>
      <c r="B1189" s="9"/>
      <c r="C1189" s="9"/>
      <c r="D1189" s="9"/>
      <c r="E1189" s="9"/>
      <c r="F1189" s="9"/>
      <c r="G1189" s="9"/>
      <c r="H1189" s="9"/>
      <c r="I1189" s="9"/>
    </row>
    <row r="1190" customFormat="false" ht="15.75" hidden="false" customHeight="false" outlineLevel="0" collapsed="false">
      <c r="A1190" s="9"/>
      <c r="B1190" s="9"/>
      <c r="C1190" s="9"/>
      <c r="D1190" s="9"/>
      <c r="E1190" s="9"/>
      <c r="F1190" s="9"/>
      <c r="G1190" s="9"/>
      <c r="H1190" s="9"/>
      <c r="I1190" s="9"/>
    </row>
    <row r="1191" customFormat="false" ht="15.75" hidden="false" customHeight="false" outlineLevel="0" collapsed="false">
      <c r="A1191" s="9"/>
      <c r="B1191" s="9"/>
      <c r="C1191" s="9"/>
      <c r="D1191" s="9"/>
      <c r="E1191" s="9"/>
      <c r="F1191" s="9"/>
      <c r="G1191" s="9"/>
      <c r="H1191" s="9"/>
      <c r="I1191" s="9"/>
    </row>
    <row r="1192" customFormat="false" ht="15.75" hidden="false" customHeight="false" outlineLevel="0" collapsed="false">
      <c r="A1192" s="9"/>
      <c r="B1192" s="9"/>
      <c r="C1192" s="9"/>
      <c r="D1192" s="9"/>
      <c r="E1192" s="9"/>
      <c r="F1192" s="9"/>
      <c r="G1192" s="9"/>
      <c r="H1192" s="9"/>
      <c r="I1192" s="9"/>
    </row>
    <row r="1193" customFormat="false" ht="15.75" hidden="false" customHeight="false" outlineLevel="0" collapsed="false">
      <c r="A1193" s="9"/>
      <c r="B1193" s="9"/>
      <c r="C1193" s="9"/>
      <c r="D1193" s="9"/>
      <c r="E1193" s="9"/>
      <c r="F1193" s="9"/>
      <c r="G1193" s="9"/>
      <c r="H1193" s="9"/>
      <c r="I1193" s="9"/>
    </row>
    <row r="1194" customFormat="false" ht="15.75" hidden="false" customHeight="false" outlineLevel="0" collapsed="false">
      <c r="A1194" s="9"/>
      <c r="B1194" s="9"/>
      <c r="C1194" s="9"/>
      <c r="D1194" s="9"/>
      <c r="E1194" s="9"/>
      <c r="F1194" s="9"/>
      <c r="G1194" s="9"/>
      <c r="H1194" s="9"/>
      <c r="I1194" s="9"/>
    </row>
    <row r="1195" customFormat="false" ht="15.75" hidden="false" customHeight="false" outlineLevel="0" collapsed="false">
      <c r="A1195" s="9"/>
      <c r="B1195" s="9"/>
      <c r="C1195" s="9"/>
      <c r="D1195" s="9"/>
      <c r="E1195" s="9"/>
      <c r="F1195" s="9"/>
      <c r="G1195" s="9"/>
      <c r="H1195" s="9"/>
      <c r="I1195" s="9"/>
    </row>
    <row r="1196" customFormat="false" ht="15.75" hidden="false" customHeight="false" outlineLevel="0" collapsed="false">
      <c r="A1196" s="9"/>
      <c r="B1196" s="9"/>
      <c r="C1196" s="9"/>
      <c r="D1196" s="9"/>
      <c r="E1196" s="9"/>
      <c r="F1196" s="9"/>
      <c r="G1196" s="9"/>
      <c r="H1196" s="9"/>
      <c r="I1196" s="9"/>
    </row>
    <row r="1197" customFormat="false" ht="15.75" hidden="false" customHeight="false" outlineLevel="0" collapsed="false">
      <c r="A1197" s="9"/>
      <c r="B1197" s="9"/>
      <c r="C1197" s="9"/>
      <c r="D1197" s="9"/>
      <c r="E1197" s="9"/>
      <c r="F1197" s="9"/>
      <c r="G1197" s="9"/>
      <c r="H1197" s="9"/>
      <c r="I1197" s="9"/>
    </row>
    <row r="1198" customFormat="false" ht="15.75" hidden="false" customHeight="false" outlineLevel="0" collapsed="false">
      <c r="A1198" s="9"/>
      <c r="B1198" s="9"/>
      <c r="C1198" s="9"/>
      <c r="D1198" s="9"/>
      <c r="E1198" s="9"/>
      <c r="F1198" s="9"/>
      <c r="G1198" s="9"/>
      <c r="H1198" s="9"/>
      <c r="I1198" s="9"/>
    </row>
    <row r="1199" customFormat="false" ht="15.75" hidden="false" customHeight="false" outlineLevel="0" collapsed="false">
      <c r="A1199" s="9"/>
      <c r="B1199" s="9"/>
      <c r="C1199" s="9"/>
      <c r="D1199" s="9"/>
      <c r="E1199" s="9"/>
      <c r="F1199" s="9"/>
      <c r="G1199" s="9"/>
      <c r="H1199" s="9"/>
      <c r="I1199" s="9"/>
    </row>
    <row r="1200" customFormat="false" ht="15.75" hidden="false" customHeight="false" outlineLevel="0" collapsed="false">
      <c r="A1200" s="9"/>
      <c r="B1200" s="9"/>
      <c r="C1200" s="9"/>
      <c r="D1200" s="9"/>
      <c r="E1200" s="9"/>
      <c r="F1200" s="9"/>
      <c r="G1200" s="9"/>
      <c r="H1200" s="9"/>
      <c r="I1200" s="9"/>
    </row>
    <row r="1201" customFormat="false" ht="15.75" hidden="false" customHeight="false" outlineLevel="0" collapsed="false">
      <c r="A1201" s="9"/>
      <c r="B1201" s="9"/>
      <c r="C1201" s="9"/>
      <c r="D1201" s="9"/>
      <c r="E1201" s="9"/>
      <c r="F1201" s="9"/>
      <c r="G1201" s="9"/>
      <c r="H1201" s="9"/>
      <c r="I1201" s="9"/>
    </row>
    <row r="1202" customFormat="false" ht="15.75" hidden="false" customHeight="false" outlineLevel="0" collapsed="false">
      <c r="A1202" s="9"/>
      <c r="B1202" s="9"/>
      <c r="C1202" s="9"/>
      <c r="D1202" s="9"/>
      <c r="E1202" s="9"/>
      <c r="F1202" s="9"/>
      <c r="G1202" s="9"/>
      <c r="H1202" s="9"/>
      <c r="I1202" s="9"/>
    </row>
    <row r="1203" customFormat="false" ht="15.75" hidden="false" customHeight="false" outlineLevel="0" collapsed="false">
      <c r="A1203" s="9"/>
      <c r="B1203" s="9"/>
      <c r="C1203" s="9"/>
      <c r="D1203" s="9"/>
      <c r="E1203" s="9"/>
      <c r="F1203" s="9"/>
      <c r="G1203" s="9"/>
      <c r="H1203" s="9"/>
      <c r="I1203" s="9"/>
    </row>
    <row r="1204" customFormat="false" ht="15.75" hidden="false" customHeight="false" outlineLevel="0" collapsed="false">
      <c r="A1204" s="9"/>
      <c r="B1204" s="9"/>
      <c r="C1204" s="9"/>
      <c r="D1204" s="9"/>
      <c r="E1204" s="9"/>
      <c r="F1204" s="9"/>
      <c r="G1204" s="9"/>
      <c r="H1204" s="9"/>
      <c r="I1204" s="9"/>
    </row>
    <row r="1205" customFormat="false" ht="15.75" hidden="false" customHeight="false" outlineLevel="0" collapsed="false">
      <c r="A1205" s="9"/>
      <c r="B1205" s="9"/>
      <c r="C1205" s="9"/>
      <c r="D1205" s="9"/>
      <c r="E1205" s="9"/>
      <c r="F1205" s="9"/>
      <c r="G1205" s="9"/>
      <c r="H1205" s="9"/>
      <c r="I1205" s="9"/>
    </row>
    <row r="1206" customFormat="false" ht="15.75" hidden="false" customHeight="false" outlineLevel="0" collapsed="false">
      <c r="A1206" s="9"/>
      <c r="B1206" s="9"/>
      <c r="C1206" s="9"/>
      <c r="D1206" s="9"/>
      <c r="E1206" s="9"/>
      <c r="F1206" s="9"/>
      <c r="G1206" s="9"/>
      <c r="H1206" s="9"/>
      <c r="I1206" s="9"/>
    </row>
    <row r="1207" customFormat="false" ht="15.75" hidden="false" customHeight="false" outlineLevel="0" collapsed="false">
      <c r="A1207" s="9"/>
      <c r="B1207" s="9"/>
      <c r="C1207" s="9"/>
      <c r="D1207" s="9"/>
      <c r="E1207" s="9"/>
      <c r="F1207" s="9"/>
      <c r="G1207" s="9"/>
      <c r="H1207" s="9"/>
      <c r="I1207" s="9"/>
    </row>
    <row r="1208" customFormat="false" ht="15.75" hidden="false" customHeight="false" outlineLevel="0" collapsed="false">
      <c r="A1208" s="9"/>
      <c r="B1208" s="9"/>
      <c r="C1208" s="9"/>
      <c r="D1208" s="9"/>
      <c r="E1208" s="9"/>
      <c r="F1208" s="9"/>
      <c r="G1208" s="9"/>
      <c r="H1208" s="9"/>
      <c r="I1208" s="9"/>
    </row>
    <row r="1209" customFormat="false" ht="15.75" hidden="false" customHeight="false" outlineLevel="0" collapsed="false">
      <c r="A1209" s="9"/>
      <c r="B1209" s="9"/>
      <c r="C1209" s="9"/>
      <c r="D1209" s="9"/>
      <c r="E1209" s="9"/>
      <c r="F1209" s="9"/>
      <c r="G1209" s="9"/>
      <c r="H1209" s="9"/>
      <c r="I1209" s="9"/>
    </row>
    <row r="1210" customFormat="false" ht="15.75" hidden="false" customHeight="false" outlineLevel="0" collapsed="false">
      <c r="A1210" s="9"/>
      <c r="B1210" s="9"/>
      <c r="C1210" s="9"/>
      <c r="D1210" s="9"/>
      <c r="E1210" s="9"/>
      <c r="F1210" s="9"/>
      <c r="G1210" s="9"/>
      <c r="H1210" s="9"/>
      <c r="I1210" s="9"/>
    </row>
    <row r="1211" customFormat="false" ht="15.75" hidden="false" customHeight="false" outlineLevel="0" collapsed="false">
      <c r="A1211" s="9"/>
      <c r="B1211" s="9"/>
      <c r="C1211" s="9"/>
      <c r="D1211" s="9"/>
      <c r="E1211" s="9"/>
      <c r="F1211" s="9"/>
      <c r="G1211" s="9"/>
      <c r="H1211" s="9"/>
      <c r="I1211" s="9"/>
    </row>
    <row r="1212" customFormat="false" ht="15.75" hidden="false" customHeight="false" outlineLevel="0" collapsed="false">
      <c r="A1212" s="9"/>
      <c r="B1212" s="9"/>
      <c r="C1212" s="9"/>
      <c r="D1212" s="9"/>
      <c r="E1212" s="9"/>
      <c r="F1212" s="9"/>
      <c r="G1212" s="9"/>
      <c r="H1212" s="9"/>
      <c r="I1212" s="9"/>
    </row>
    <row r="1213" customFormat="false" ht="15.75" hidden="false" customHeight="false" outlineLevel="0" collapsed="false">
      <c r="A1213" s="9"/>
      <c r="B1213" s="9"/>
      <c r="C1213" s="9"/>
      <c r="D1213" s="9"/>
      <c r="E1213" s="9"/>
      <c r="F1213" s="9"/>
      <c r="G1213" s="9"/>
      <c r="H1213" s="9"/>
      <c r="I1213" s="9"/>
    </row>
    <row r="1214" customFormat="false" ht="15.75" hidden="false" customHeight="false" outlineLevel="0" collapsed="false">
      <c r="A1214" s="9"/>
      <c r="B1214" s="9"/>
      <c r="C1214" s="9"/>
      <c r="D1214" s="9"/>
      <c r="E1214" s="9"/>
      <c r="F1214" s="9"/>
      <c r="G1214" s="9"/>
      <c r="H1214" s="9"/>
      <c r="I1214" s="9"/>
    </row>
    <row r="1215" customFormat="false" ht="15.75" hidden="false" customHeight="false" outlineLevel="0" collapsed="false">
      <c r="A1215" s="9"/>
      <c r="B1215" s="9"/>
      <c r="C1215" s="9"/>
      <c r="D1215" s="9"/>
      <c r="E1215" s="9"/>
      <c r="F1215" s="9"/>
      <c r="G1215" s="9"/>
      <c r="H1215" s="9"/>
      <c r="I1215" s="9"/>
    </row>
    <row r="1216" customFormat="false" ht="15.75" hidden="false" customHeight="false" outlineLevel="0" collapsed="false">
      <c r="A1216" s="9"/>
      <c r="B1216" s="9"/>
      <c r="C1216" s="9"/>
      <c r="D1216" s="9"/>
      <c r="E1216" s="9"/>
      <c r="F1216" s="9"/>
      <c r="G1216" s="9"/>
      <c r="H1216" s="9"/>
      <c r="I1216" s="9"/>
    </row>
    <row r="1217" customFormat="false" ht="15.75" hidden="false" customHeight="false" outlineLevel="0" collapsed="false">
      <c r="A1217" s="9"/>
      <c r="B1217" s="9"/>
      <c r="C1217" s="9"/>
      <c r="D1217" s="9"/>
      <c r="E1217" s="9"/>
      <c r="F1217" s="9"/>
      <c r="G1217" s="9"/>
      <c r="H1217" s="9"/>
      <c r="I1217" s="9"/>
    </row>
    <row r="1218" customFormat="false" ht="15.75" hidden="false" customHeight="false" outlineLevel="0" collapsed="false">
      <c r="A1218" s="9"/>
      <c r="B1218" s="9"/>
      <c r="C1218" s="9"/>
      <c r="D1218" s="9"/>
      <c r="E1218" s="9"/>
      <c r="F1218" s="9"/>
      <c r="G1218" s="9"/>
      <c r="H1218" s="9"/>
      <c r="I1218" s="9"/>
    </row>
    <row r="1219" customFormat="false" ht="15.75" hidden="false" customHeight="false" outlineLevel="0" collapsed="false">
      <c r="A1219" s="9"/>
      <c r="B1219" s="9"/>
      <c r="C1219" s="9"/>
      <c r="D1219" s="9"/>
      <c r="E1219" s="9"/>
      <c r="F1219" s="9"/>
      <c r="G1219" s="9"/>
      <c r="H1219" s="9"/>
      <c r="I1219" s="9"/>
    </row>
    <row r="1220" customFormat="false" ht="15.75" hidden="false" customHeight="false" outlineLevel="0" collapsed="false">
      <c r="A1220" s="9"/>
      <c r="B1220" s="9"/>
      <c r="C1220" s="9"/>
      <c r="D1220" s="9"/>
      <c r="E1220" s="9"/>
      <c r="F1220" s="9"/>
      <c r="G1220" s="9"/>
      <c r="H1220" s="9"/>
      <c r="I1220" s="9"/>
    </row>
    <row r="1221" customFormat="false" ht="15.75" hidden="false" customHeight="false" outlineLevel="0" collapsed="false">
      <c r="A1221" s="9"/>
      <c r="B1221" s="9"/>
      <c r="C1221" s="9"/>
      <c r="D1221" s="9"/>
      <c r="E1221" s="9"/>
      <c r="F1221" s="9"/>
      <c r="G1221" s="9"/>
      <c r="H1221" s="9"/>
      <c r="I1221" s="9"/>
    </row>
    <row r="1222" customFormat="false" ht="15.75" hidden="false" customHeight="false" outlineLevel="0" collapsed="false">
      <c r="A1222" s="9"/>
      <c r="B1222" s="9"/>
      <c r="C1222" s="9"/>
      <c r="D1222" s="9"/>
      <c r="E1222" s="9"/>
      <c r="F1222" s="9"/>
      <c r="G1222" s="9"/>
      <c r="H1222" s="9"/>
      <c r="I1222" s="9"/>
    </row>
    <row r="1223" customFormat="false" ht="15.75" hidden="false" customHeight="false" outlineLevel="0" collapsed="false">
      <c r="A1223" s="9"/>
      <c r="B1223" s="9"/>
      <c r="C1223" s="9"/>
      <c r="D1223" s="9"/>
      <c r="E1223" s="9"/>
      <c r="F1223" s="9"/>
      <c r="G1223" s="9"/>
      <c r="H1223" s="9"/>
      <c r="I1223" s="9"/>
    </row>
    <row r="1224" customFormat="false" ht="15.75" hidden="false" customHeight="false" outlineLevel="0" collapsed="false">
      <c r="A1224" s="9"/>
      <c r="B1224" s="9"/>
      <c r="C1224" s="9"/>
      <c r="D1224" s="9"/>
      <c r="E1224" s="9"/>
      <c r="F1224" s="9"/>
      <c r="G1224" s="9"/>
      <c r="H1224" s="9"/>
      <c r="I1224" s="9"/>
    </row>
    <row r="1225" customFormat="false" ht="15.75" hidden="false" customHeight="false" outlineLevel="0" collapsed="false">
      <c r="A1225" s="9"/>
      <c r="B1225" s="9"/>
      <c r="C1225" s="9"/>
      <c r="D1225" s="9"/>
      <c r="E1225" s="9"/>
      <c r="F1225" s="9"/>
      <c r="G1225" s="9"/>
      <c r="H1225" s="9"/>
      <c r="I1225" s="9"/>
    </row>
    <row r="1226" customFormat="false" ht="15.75" hidden="false" customHeight="false" outlineLevel="0" collapsed="false">
      <c r="A1226" s="9"/>
      <c r="B1226" s="9"/>
      <c r="C1226" s="9"/>
      <c r="D1226" s="9"/>
      <c r="E1226" s="9"/>
      <c r="F1226" s="9"/>
      <c r="G1226" s="9"/>
      <c r="H1226" s="9"/>
      <c r="I1226" s="9"/>
    </row>
    <row r="1227" customFormat="false" ht="15.75" hidden="false" customHeight="false" outlineLevel="0" collapsed="false">
      <c r="A1227" s="9"/>
      <c r="B1227" s="9"/>
      <c r="C1227" s="9"/>
      <c r="D1227" s="9"/>
      <c r="E1227" s="9"/>
      <c r="F1227" s="9"/>
      <c r="G1227" s="9"/>
      <c r="H1227" s="9"/>
      <c r="I1227" s="9"/>
    </row>
    <row r="1228" customFormat="false" ht="15.75" hidden="false" customHeight="false" outlineLevel="0" collapsed="false">
      <c r="A1228" s="9"/>
      <c r="B1228" s="9"/>
      <c r="C1228" s="9"/>
      <c r="D1228" s="9"/>
      <c r="E1228" s="9"/>
      <c r="F1228" s="9"/>
      <c r="G1228" s="9"/>
      <c r="H1228" s="9"/>
      <c r="I1228" s="9"/>
    </row>
    <row r="1229" customFormat="false" ht="15.75" hidden="false" customHeight="false" outlineLevel="0" collapsed="false">
      <c r="A1229" s="9"/>
      <c r="B1229" s="9"/>
      <c r="C1229" s="9"/>
      <c r="D1229" s="9"/>
      <c r="E1229" s="9"/>
      <c r="F1229" s="9"/>
      <c r="G1229" s="9"/>
      <c r="H1229" s="9"/>
      <c r="I1229" s="9"/>
    </row>
    <row r="1230" customFormat="false" ht="15.75" hidden="false" customHeight="false" outlineLevel="0" collapsed="false">
      <c r="A1230" s="9"/>
      <c r="B1230" s="9"/>
      <c r="C1230" s="9"/>
      <c r="D1230" s="9"/>
      <c r="E1230" s="9"/>
      <c r="F1230" s="9"/>
      <c r="G1230" s="9"/>
      <c r="H1230" s="9"/>
      <c r="I1230" s="9"/>
    </row>
    <row r="1231" customFormat="false" ht="15.75" hidden="false" customHeight="false" outlineLevel="0" collapsed="false">
      <c r="A1231" s="9"/>
      <c r="B1231" s="9"/>
      <c r="C1231" s="9"/>
      <c r="D1231" s="9"/>
      <c r="E1231" s="9"/>
      <c r="F1231" s="9"/>
      <c r="G1231" s="9"/>
      <c r="H1231" s="9"/>
      <c r="I1231" s="9"/>
    </row>
    <row r="1232" customFormat="false" ht="15.75" hidden="false" customHeight="false" outlineLevel="0" collapsed="false">
      <c r="A1232" s="9"/>
      <c r="B1232" s="9"/>
      <c r="C1232" s="9"/>
      <c r="D1232" s="9"/>
      <c r="E1232" s="9"/>
      <c r="F1232" s="9"/>
      <c r="G1232" s="9"/>
      <c r="H1232" s="9"/>
      <c r="I1232" s="9"/>
    </row>
    <row r="1233" customFormat="false" ht="15.75" hidden="false" customHeight="false" outlineLevel="0" collapsed="false">
      <c r="A1233" s="9"/>
      <c r="B1233" s="9"/>
      <c r="C1233" s="9"/>
      <c r="D1233" s="9"/>
      <c r="E1233" s="9"/>
      <c r="F1233" s="9"/>
      <c r="G1233" s="9"/>
      <c r="H1233" s="9"/>
      <c r="I1233" s="9"/>
    </row>
    <row r="1234" customFormat="false" ht="15.75" hidden="false" customHeight="false" outlineLevel="0" collapsed="false">
      <c r="A1234" s="9"/>
      <c r="B1234" s="9"/>
      <c r="C1234" s="9"/>
      <c r="D1234" s="9"/>
      <c r="E1234" s="9"/>
      <c r="F1234" s="9"/>
      <c r="G1234" s="9"/>
      <c r="H1234" s="9"/>
      <c r="I1234" s="9"/>
    </row>
    <row r="1235" customFormat="false" ht="15.75" hidden="false" customHeight="false" outlineLevel="0" collapsed="false">
      <c r="A1235" s="9"/>
      <c r="B1235" s="9"/>
      <c r="C1235" s="9"/>
      <c r="D1235" s="9"/>
      <c r="E1235" s="9"/>
      <c r="F1235" s="9"/>
      <c r="G1235" s="9"/>
      <c r="H1235" s="9"/>
      <c r="I1235" s="9"/>
    </row>
    <row r="1236" customFormat="false" ht="15.75" hidden="false" customHeight="false" outlineLevel="0" collapsed="false">
      <c r="A1236" s="9"/>
      <c r="B1236" s="9"/>
      <c r="C1236" s="9"/>
      <c r="D1236" s="9"/>
      <c r="E1236" s="9"/>
      <c r="F1236" s="9"/>
      <c r="G1236" s="9"/>
      <c r="H1236" s="9"/>
      <c r="I1236" s="9"/>
    </row>
    <row r="1237" customFormat="false" ht="15.75" hidden="false" customHeight="false" outlineLevel="0" collapsed="false">
      <c r="A1237" s="9"/>
      <c r="B1237" s="9"/>
      <c r="C1237" s="9"/>
      <c r="D1237" s="9"/>
      <c r="E1237" s="9"/>
      <c r="F1237" s="9"/>
      <c r="G1237" s="9"/>
      <c r="H1237" s="9"/>
      <c r="I1237" s="9"/>
    </row>
    <row r="1238" customFormat="false" ht="15.75" hidden="false" customHeight="false" outlineLevel="0" collapsed="false">
      <c r="A1238" s="9"/>
      <c r="B1238" s="9"/>
      <c r="C1238" s="9"/>
      <c r="D1238" s="9"/>
      <c r="E1238" s="9"/>
      <c r="F1238" s="9"/>
      <c r="G1238" s="9"/>
      <c r="H1238" s="9"/>
      <c r="I1238" s="9"/>
    </row>
    <row r="1239" customFormat="false" ht="15.75" hidden="false" customHeight="false" outlineLevel="0" collapsed="false">
      <c r="A1239" s="9"/>
      <c r="B1239" s="9"/>
      <c r="C1239" s="9"/>
      <c r="D1239" s="9"/>
      <c r="E1239" s="9"/>
      <c r="F1239" s="9"/>
      <c r="G1239" s="9"/>
      <c r="H1239" s="9"/>
      <c r="I1239" s="9"/>
    </row>
    <row r="1240" customFormat="false" ht="15.75" hidden="false" customHeight="false" outlineLevel="0" collapsed="false">
      <c r="A1240" s="9"/>
      <c r="B1240" s="9"/>
      <c r="C1240" s="9"/>
      <c r="D1240" s="9"/>
      <c r="E1240" s="9"/>
      <c r="F1240" s="9"/>
      <c r="G1240" s="9"/>
      <c r="H1240" s="9"/>
      <c r="I1240" s="9"/>
    </row>
    <row r="1241" customFormat="false" ht="15.75" hidden="false" customHeight="false" outlineLevel="0" collapsed="false">
      <c r="A1241" s="9"/>
      <c r="B1241" s="9"/>
      <c r="C1241" s="9"/>
      <c r="D1241" s="9"/>
      <c r="E1241" s="9"/>
      <c r="F1241" s="9"/>
      <c r="G1241" s="9"/>
      <c r="H1241" s="9"/>
      <c r="I1241" s="9"/>
    </row>
    <row r="1242" customFormat="false" ht="15.75" hidden="false" customHeight="false" outlineLevel="0" collapsed="false">
      <c r="A1242" s="9"/>
      <c r="B1242" s="9"/>
      <c r="C1242" s="9"/>
      <c r="D1242" s="9"/>
      <c r="E1242" s="9"/>
      <c r="F1242" s="9"/>
      <c r="G1242" s="9"/>
      <c r="H1242" s="9"/>
      <c r="I1242" s="9"/>
    </row>
    <row r="1243" customFormat="false" ht="15.75" hidden="false" customHeight="false" outlineLevel="0" collapsed="false">
      <c r="A1243" s="9"/>
      <c r="B1243" s="9"/>
      <c r="C1243" s="9"/>
      <c r="D1243" s="9"/>
      <c r="E1243" s="9"/>
      <c r="F1243" s="9"/>
      <c r="G1243" s="9"/>
      <c r="H1243" s="9"/>
      <c r="I1243" s="9"/>
    </row>
    <row r="1244" customFormat="false" ht="15.75" hidden="false" customHeight="false" outlineLevel="0" collapsed="false">
      <c r="A1244" s="9"/>
      <c r="B1244" s="9"/>
      <c r="C1244" s="9"/>
      <c r="D1244" s="9"/>
      <c r="E1244" s="9"/>
      <c r="F1244" s="9"/>
      <c r="G1244" s="9"/>
      <c r="H1244" s="9"/>
      <c r="I1244" s="9"/>
    </row>
    <row r="1245" customFormat="false" ht="15.75" hidden="false" customHeight="false" outlineLevel="0" collapsed="false">
      <c r="A1245" s="9"/>
      <c r="B1245" s="9"/>
      <c r="C1245" s="9"/>
      <c r="D1245" s="9"/>
      <c r="E1245" s="9"/>
      <c r="F1245" s="9"/>
      <c r="G1245" s="9"/>
      <c r="H1245" s="9"/>
      <c r="I1245" s="9"/>
    </row>
    <row r="1246" customFormat="false" ht="15.75" hidden="false" customHeight="false" outlineLevel="0" collapsed="false">
      <c r="A1246" s="9"/>
      <c r="B1246" s="9"/>
      <c r="C1246" s="9"/>
      <c r="D1246" s="9"/>
      <c r="E1246" s="9"/>
      <c r="F1246" s="9"/>
      <c r="G1246" s="9"/>
      <c r="H1246" s="9"/>
      <c r="I1246" s="9"/>
    </row>
    <row r="1247" customFormat="false" ht="15.75" hidden="false" customHeight="false" outlineLevel="0" collapsed="false">
      <c r="A1247" s="9"/>
      <c r="B1247" s="9"/>
      <c r="C1247" s="9"/>
      <c r="D1247" s="9"/>
      <c r="E1247" s="9"/>
      <c r="F1247" s="9"/>
      <c r="G1247" s="9"/>
      <c r="H1247" s="9"/>
      <c r="I1247" s="9"/>
    </row>
    <row r="1248" customFormat="false" ht="15.75" hidden="false" customHeight="false" outlineLevel="0" collapsed="false">
      <c r="A1248" s="9"/>
      <c r="B1248" s="9"/>
      <c r="C1248" s="9"/>
      <c r="D1248" s="9"/>
      <c r="E1248" s="9"/>
      <c r="F1248" s="9"/>
      <c r="G1248" s="9"/>
      <c r="H1248" s="9"/>
      <c r="I1248" s="9"/>
    </row>
    <row r="1249" customFormat="false" ht="15.75" hidden="false" customHeight="false" outlineLevel="0" collapsed="false">
      <c r="A1249" s="9"/>
      <c r="B1249" s="9"/>
      <c r="C1249" s="9"/>
      <c r="D1249" s="9"/>
      <c r="E1249" s="9"/>
      <c r="F1249" s="9"/>
      <c r="G1249" s="9"/>
      <c r="H1249" s="9"/>
      <c r="I1249" s="9"/>
    </row>
    <row r="1250" customFormat="false" ht="15.75" hidden="false" customHeight="false" outlineLevel="0" collapsed="false">
      <c r="A1250" s="9"/>
      <c r="B1250" s="9"/>
      <c r="C1250" s="9"/>
      <c r="D1250" s="9"/>
      <c r="E1250" s="9"/>
      <c r="F1250" s="9"/>
      <c r="G1250" s="9"/>
      <c r="H1250" s="9"/>
      <c r="I1250" s="9"/>
    </row>
    <row r="1251" customFormat="false" ht="15.75" hidden="false" customHeight="false" outlineLevel="0" collapsed="false">
      <c r="A1251" s="9"/>
      <c r="B1251" s="9"/>
      <c r="C1251" s="9"/>
      <c r="D1251" s="9"/>
      <c r="E1251" s="9"/>
      <c r="F1251" s="9"/>
      <c r="G1251" s="9"/>
      <c r="H1251" s="9"/>
      <c r="I1251" s="9"/>
    </row>
    <row r="1252" customFormat="false" ht="15.75" hidden="false" customHeight="false" outlineLevel="0" collapsed="false">
      <c r="A1252" s="9"/>
      <c r="B1252" s="9"/>
      <c r="C1252" s="9"/>
      <c r="D1252" s="9"/>
      <c r="E1252" s="9"/>
      <c r="F1252" s="9"/>
      <c r="G1252" s="9"/>
      <c r="H1252" s="9"/>
      <c r="I1252" s="9"/>
    </row>
    <row r="1253" customFormat="false" ht="15.75" hidden="false" customHeight="false" outlineLevel="0" collapsed="false">
      <c r="A1253" s="9"/>
      <c r="B1253" s="9"/>
      <c r="C1253" s="9"/>
      <c r="D1253" s="9"/>
      <c r="E1253" s="9"/>
      <c r="F1253" s="9"/>
      <c r="G1253" s="9"/>
      <c r="H1253" s="9"/>
      <c r="I1253" s="9"/>
    </row>
    <row r="1254" customFormat="false" ht="15.75" hidden="false" customHeight="false" outlineLevel="0" collapsed="false">
      <c r="A1254" s="9"/>
      <c r="B1254" s="9"/>
      <c r="C1254" s="9"/>
      <c r="D1254" s="9"/>
      <c r="E1254" s="9"/>
      <c r="F1254" s="9"/>
      <c r="G1254" s="9"/>
      <c r="H1254" s="9"/>
      <c r="I1254" s="9"/>
    </row>
    <row r="1255" customFormat="false" ht="15.75" hidden="false" customHeight="false" outlineLevel="0" collapsed="false">
      <c r="A1255" s="9"/>
      <c r="B1255" s="9"/>
      <c r="C1255" s="9"/>
      <c r="D1255" s="9"/>
      <c r="E1255" s="9"/>
      <c r="F1255" s="9"/>
      <c r="G1255" s="9"/>
      <c r="H1255" s="9"/>
      <c r="I1255" s="9"/>
    </row>
    <row r="1256" customFormat="false" ht="15.75" hidden="false" customHeight="false" outlineLevel="0" collapsed="false">
      <c r="A1256" s="9"/>
      <c r="B1256" s="9"/>
      <c r="C1256" s="9"/>
      <c r="D1256" s="9"/>
      <c r="E1256" s="9"/>
      <c r="F1256" s="9"/>
      <c r="G1256" s="9"/>
      <c r="H1256" s="9"/>
      <c r="I1256" s="9"/>
    </row>
    <row r="1257" customFormat="false" ht="15.75" hidden="false" customHeight="false" outlineLevel="0" collapsed="false">
      <c r="A1257" s="9"/>
      <c r="B1257" s="9"/>
      <c r="C1257" s="9"/>
      <c r="D1257" s="9"/>
      <c r="E1257" s="9"/>
      <c r="F1257" s="9"/>
      <c r="G1257" s="9"/>
      <c r="H1257" s="9"/>
      <c r="I1257" s="9"/>
    </row>
    <row r="1258" customFormat="false" ht="15.75" hidden="false" customHeight="false" outlineLevel="0" collapsed="false">
      <c r="A1258" s="9"/>
      <c r="B1258" s="9"/>
      <c r="C1258" s="9"/>
      <c r="D1258" s="9"/>
      <c r="E1258" s="9"/>
      <c r="F1258" s="9"/>
      <c r="G1258" s="9"/>
      <c r="H1258" s="9"/>
      <c r="I1258" s="9"/>
    </row>
    <row r="1259" customFormat="false" ht="15.75" hidden="false" customHeight="false" outlineLevel="0" collapsed="false">
      <c r="A1259" s="9"/>
      <c r="B1259" s="9"/>
      <c r="C1259" s="9"/>
      <c r="D1259" s="9"/>
      <c r="E1259" s="9"/>
      <c r="F1259" s="9"/>
      <c r="G1259" s="9"/>
      <c r="H1259" s="9"/>
      <c r="I1259" s="9"/>
    </row>
    <row r="1260" customFormat="false" ht="15.75" hidden="false" customHeight="false" outlineLevel="0" collapsed="false">
      <c r="A1260" s="9"/>
      <c r="B1260" s="9"/>
      <c r="C1260" s="9"/>
      <c r="D1260" s="9"/>
      <c r="E1260" s="9"/>
      <c r="F1260" s="9"/>
      <c r="G1260" s="9"/>
      <c r="H1260" s="9"/>
      <c r="I1260" s="9"/>
    </row>
    <row r="1261" customFormat="false" ht="15.75" hidden="false" customHeight="false" outlineLevel="0" collapsed="false">
      <c r="A1261" s="9"/>
      <c r="B1261" s="9"/>
      <c r="C1261" s="9"/>
      <c r="D1261" s="9"/>
      <c r="E1261" s="9"/>
      <c r="F1261" s="9"/>
      <c r="G1261" s="9"/>
      <c r="H1261" s="9"/>
      <c r="I1261" s="9"/>
    </row>
    <row r="1262" customFormat="false" ht="15.75" hidden="false" customHeight="false" outlineLevel="0" collapsed="false">
      <c r="A1262" s="9"/>
      <c r="B1262" s="9"/>
      <c r="C1262" s="9"/>
      <c r="D1262" s="9"/>
      <c r="E1262" s="9"/>
      <c r="F1262" s="9"/>
      <c r="G1262" s="9"/>
      <c r="H1262" s="9"/>
      <c r="I1262" s="9"/>
    </row>
    <row r="1263" customFormat="false" ht="15.75" hidden="false" customHeight="false" outlineLevel="0" collapsed="false">
      <c r="A1263" s="9"/>
      <c r="B1263" s="9"/>
      <c r="C1263" s="9"/>
      <c r="D1263" s="9"/>
      <c r="E1263" s="9"/>
      <c r="F1263" s="9"/>
      <c r="G1263" s="9"/>
      <c r="H1263" s="9"/>
      <c r="I1263" s="9"/>
    </row>
    <row r="1264" customFormat="false" ht="15.75" hidden="false" customHeight="false" outlineLevel="0" collapsed="false">
      <c r="A1264" s="9"/>
      <c r="B1264" s="9"/>
      <c r="C1264" s="9"/>
      <c r="D1264" s="9"/>
      <c r="E1264" s="9"/>
      <c r="F1264" s="9"/>
      <c r="G1264" s="9"/>
      <c r="H1264" s="9"/>
      <c r="I1264" s="9"/>
    </row>
    <row r="1265" customFormat="false" ht="15.75" hidden="false" customHeight="false" outlineLevel="0" collapsed="false">
      <c r="A1265" s="9"/>
      <c r="B1265" s="9"/>
      <c r="C1265" s="9"/>
      <c r="D1265" s="9"/>
      <c r="E1265" s="9"/>
      <c r="F1265" s="9"/>
      <c r="G1265" s="9"/>
      <c r="H1265" s="9"/>
      <c r="I1265" s="9"/>
    </row>
    <row r="1266" customFormat="false" ht="15.75" hidden="false" customHeight="false" outlineLevel="0" collapsed="false">
      <c r="A1266" s="9"/>
      <c r="B1266" s="9"/>
      <c r="C1266" s="9"/>
      <c r="D1266" s="9"/>
      <c r="E1266" s="9"/>
      <c r="F1266" s="9"/>
      <c r="G1266" s="9"/>
      <c r="H1266" s="9"/>
      <c r="I1266" s="9"/>
    </row>
    <row r="1267" customFormat="false" ht="15.75" hidden="false" customHeight="false" outlineLevel="0" collapsed="false">
      <c r="A1267" s="9"/>
      <c r="B1267" s="9"/>
      <c r="C1267" s="9"/>
      <c r="D1267" s="9"/>
      <c r="E1267" s="9"/>
      <c r="F1267" s="9"/>
      <c r="G1267" s="9"/>
      <c r="H1267" s="9"/>
      <c r="I1267" s="9"/>
    </row>
    <row r="1268" customFormat="false" ht="15.75" hidden="false" customHeight="false" outlineLevel="0" collapsed="false">
      <c r="A1268" s="9"/>
      <c r="B1268" s="9"/>
      <c r="C1268" s="9"/>
      <c r="D1268" s="9"/>
      <c r="E1268" s="9"/>
      <c r="F1268" s="9"/>
      <c r="G1268" s="9"/>
      <c r="H1268" s="9"/>
      <c r="I1268" s="9"/>
    </row>
    <row r="1269" customFormat="false" ht="15.75" hidden="false" customHeight="false" outlineLevel="0" collapsed="false">
      <c r="A1269" s="9"/>
      <c r="B1269" s="9"/>
      <c r="C1269" s="9"/>
      <c r="D1269" s="9"/>
      <c r="E1269" s="9"/>
      <c r="F1269" s="9"/>
      <c r="G1269" s="9"/>
      <c r="H1269" s="9"/>
      <c r="I1269" s="9"/>
    </row>
    <row r="1270" customFormat="false" ht="15.75" hidden="false" customHeight="false" outlineLevel="0" collapsed="false">
      <c r="A1270" s="9"/>
      <c r="B1270" s="9"/>
      <c r="C1270" s="9"/>
      <c r="D1270" s="9"/>
      <c r="E1270" s="9"/>
      <c r="F1270" s="9"/>
      <c r="G1270" s="9"/>
      <c r="H1270" s="9"/>
      <c r="I1270" s="9"/>
    </row>
    <row r="1271" customFormat="false" ht="15.75" hidden="false" customHeight="false" outlineLevel="0" collapsed="false">
      <c r="A1271" s="9"/>
      <c r="B1271" s="9"/>
      <c r="C1271" s="9"/>
      <c r="D1271" s="9"/>
      <c r="E1271" s="9"/>
      <c r="F1271" s="9"/>
      <c r="G1271" s="9"/>
      <c r="H1271" s="9"/>
      <c r="I1271" s="9"/>
    </row>
    <row r="1272" customFormat="false" ht="15.75" hidden="false" customHeight="false" outlineLevel="0" collapsed="false">
      <c r="A1272" s="9"/>
      <c r="B1272" s="9"/>
      <c r="C1272" s="9"/>
      <c r="D1272" s="9"/>
      <c r="E1272" s="9"/>
      <c r="F1272" s="9"/>
      <c r="G1272" s="9"/>
      <c r="H1272" s="9"/>
      <c r="I1272" s="9"/>
    </row>
    <row r="1273" customFormat="false" ht="15.75" hidden="false" customHeight="false" outlineLevel="0" collapsed="false">
      <c r="A1273" s="9"/>
      <c r="B1273" s="9"/>
      <c r="C1273" s="9"/>
      <c r="D1273" s="9"/>
      <c r="E1273" s="9"/>
      <c r="F1273" s="9"/>
      <c r="G1273" s="9"/>
      <c r="H1273" s="9"/>
      <c r="I1273" s="9"/>
    </row>
    <row r="1274" customFormat="false" ht="15.75" hidden="false" customHeight="false" outlineLevel="0" collapsed="false">
      <c r="A1274" s="9"/>
      <c r="B1274" s="9"/>
      <c r="C1274" s="9"/>
      <c r="D1274" s="9"/>
      <c r="E1274" s="9"/>
      <c r="F1274" s="9"/>
      <c r="G1274" s="9"/>
      <c r="H1274" s="9"/>
      <c r="I1274" s="9"/>
    </row>
    <row r="1275" customFormat="false" ht="15.75" hidden="false" customHeight="false" outlineLevel="0" collapsed="false">
      <c r="A1275" s="9"/>
      <c r="B1275" s="9"/>
      <c r="C1275" s="9"/>
      <c r="D1275" s="9"/>
      <c r="E1275" s="9"/>
      <c r="F1275" s="9"/>
      <c r="G1275" s="9"/>
      <c r="H1275" s="9"/>
      <c r="I1275" s="9"/>
    </row>
    <row r="1276" customFormat="false" ht="15.75" hidden="false" customHeight="false" outlineLevel="0" collapsed="false">
      <c r="A1276" s="9"/>
      <c r="B1276" s="9"/>
      <c r="C1276" s="9"/>
      <c r="D1276" s="9"/>
      <c r="E1276" s="9"/>
      <c r="F1276" s="9"/>
      <c r="G1276" s="9"/>
      <c r="H1276" s="9"/>
      <c r="I1276" s="9"/>
    </row>
    <row r="1277" customFormat="false" ht="15.75" hidden="false" customHeight="false" outlineLevel="0" collapsed="false">
      <c r="A1277" s="9"/>
      <c r="B1277" s="9"/>
      <c r="C1277" s="9"/>
      <c r="D1277" s="9"/>
      <c r="E1277" s="9"/>
      <c r="F1277" s="9"/>
      <c r="G1277" s="9"/>
      <c r="H1277" s="9"/>
      <c r="I1277" s="9"/>
    </row>
    <row r="1278" customFormat="false" ht="15.75" hidden="false" customHeight="false" outlineLevel="0" collapsed="false">
      <c r="A1278" s="9"/>
      <c r="B1278" s="9"/>
      <c r="C1278" s="9"/>
      <c r="D1278" s="9"/>
      <c r="E1278" s="9"/>
      <c r="F1278" s="9"/>
      <c r="G1278" s="9"/>
      <c r="H1278" s="9"/>
      <c r="I1278" s="9"/>
    </row>
    <row r="1279" customFormat="false" ht="15.75" hidden="false" customHeight="false" outlineLevel="0" collapsed="false">
      <c r="A1279" s="9"/>
      <c r="B1279" s="9"/>
      <c r="C1279" s="9"/>
      <c r="D1279" s="9"/>
      <c r="E1279" s="9"/>
      <c r="F1279" s="9"/>
      <c r="G1279" s="9"/>
      <c r="H1279" s="9"/>
      <c r="I1279" s="9"/>
    </row>
    <row r="1280" customFormat="false" ht="15.75" hidden="false" customHeight="false" outlineLevel="0" collapsed="false">
      <c r="A1280" s="9"/>
      <c r="B1280" s="9"/>
      <c r="C1280" s="9"/>
      <c r="D1280" s="9"/>
      <c r="E1280" s="9"/>
      <c r="F1280" s="9"/>
      <c r="G1280" s="9"/>
      <c r="H1280" s="9"/>
      <c r="I1280" s="9"/>
    </row>
    <row r="1281" customFormat="false" ht="15.75" hidden="false" customHeight="false" outlineLevel="0" collapsed="false">
      <c r="A1281" s="9"/>
      <c r="B1281" s="9"/>
      <c r="C1281" s="9"/>
      <c r="D1281" s="9"/>
      <c r="E1281" s="9"/>
      <c r="F1281" s="9"/>
      <c r="G1281" s="9"/>
      <c r="H1281" s="9"/>
      <c r="I1281" s="9"/>
    </row>
    <row r="1282" customFormat="false" ht="15.75" hidden="false" customHeight="false" outlineLevel="0" collapsed="false">
      <c r="A1282" s="9"/>
      <c r="B1282" s="9"/>
      <c r="C1282" s="9"/>
      <c r="D1282" s="9"/>
      <c r="E1282" s="9"/>
      <c r="F1282" s="9"/>
      <c r="G1282" s="9"/>
      <c r="H1282" s="9"/>
      <c r="I1282" s="9"/>
    </row>
    <row r="1283" customFormat="false" ht="15.75" hidden="false" customHeight="false" outlineLevel="0" collapsed="false">
      <c r="A1283" s="9"/>
      <c r="B1283" s="9"/>
      <c r="C1283" s="9"/>
      <c r="D1283" s="9"/>
      <c r="E1283" s="9"/>
      <c r="F1283" s="9"/>
      <c r="G1283" s="9"/>
      <c r="H1283" s="9"/>
      <c r="I1283" s="9"/>
    </row>
    <row r="1284" customFormat="false" ht="15.75" hidden="false" customHeight="false" outlineLevel="0" collapsed="false">
      <c r="A1284" s="9"/>
      <c r="B1284" s="9"/>
      <c r="C1284" s="9"/>
      <c r="D1284" s="9"/>
      <c r="E1284" s="9"/>
      <c r="F1284" s="9"/>
      <c r="G1284" s="9"/>
      <c r="H1284" s="9"/>
      <c r="I1284" s="9"/>
    </row>
    <row r="1285" customFormat="false" ht="15.75" hidden="false" customHeight="false" outlineLevel="0" collapsed="false">
      <c r="A1285" s="9"/>
      <c r="B1285" s="9"/>
      <c r="C1285" s="9"/>
      <c r="D1285" s="9"/>
      <c r="E1285" s="9"/>
      <c r="F1285" s="9"/>
      <c r="G1285" s="9"/>
      <c r="H1285" s="9"/>
      <c r="I1285" s="9"/>
    </row>
    <row r="1286" customFormat="false" ht="15.75" hidden="false" customHeight="false" outlineLevel="0" collapsed="false">
      <c r="A1286" s="9"/>
      <c r="B1286" s="9"/>
      <c r="C1286" s="9"/>
      <c r="D1286" s="9"/>
      <c r="E1286" s="9"/>
      <c r="F1286" s="9"/>
      <c r="G1286" s="9"/>
      <c r="H1286" s="9"/>
      <c r="I1286" s="9"/>
    </row>
    <row r="1287" customFormat="false" ht="15.75" hidden="false" customHeight="false" outlineLevel="0" collapsed="false">
      <c r="A1287" s="9"/>
      <c r="B1287" s="9"/>
      <c r="C1287" s="9"/>
      <c r="D1287" s="9"/>
      <c r="E1287" s="9"/>
      <c r="F1287" s="9"/>
      <c r="G1287" s="9"/>
      <c r="H1287" s="9"/>
      <c r="I1287" s="9"/>
    </row>
    <row r="1288" customFormat="false" ht="15.75" hidden="false" customHeight="false" outlineLevel="0" collapsed="false">
      <c r="A1288" s="9"/>
      <c r="B1288" s="9"/>
      <c r="C1288" s="9"/>
      <c r="D1288" s="9"/>
      <c r="E1288" s="9"/>
      <c r="F1288" s="9"/>
      <c r="G1288" s="9"/>
      <c r="H1288" s="9"/>
      <c r="I1288" s="9"/>
    </row>
    <row r="1289" customFormat="false" ht="15.75" hidden="false" customHeight="false" outlineLevel="0" collapsed="false">
      <c r="A1289" s="9"/>
      <c r="B1289" s="9"/>
      <c r="C1289" s="9"/>
      <c r="D1289" s="9"/>
      <c r="E1289" s="9"/>
      <c r="F1289" s="9"/>
      <c r="G1289" s="9"/>
      <c r="H1289" s="9"/>
      <c r="I1289" s="9"/>
    </row>
    <row r="1290" customFormat="false" ht="15.75" hidden="false" customHeight="false" outlineLevel="0" collapsed="false">
      <c r="A1290" s="9"/>
      <c r="B1290" s="9"/>
      <c r="C1290" s="9"/>
      <c r="D1290" s="9"/>
      <c r="E1290" s="9"/>
      <c r="F1290" s="9"/>
      <c r="G1290" s="9"/>
      <c r="H1290" s="9"/>
      <c r="I1290" s="9"/>
    </row>
    <row r="1291" customFormat="false" ht="15.75" hidden="false" customHeight="false" outlineLevel="0" collapsed="false">
      <c r="A1291" s="9"/>
      <c r="B1291" s="9"/>
      <c r="C1291" s="9"/>
      <c r="D1291" s="9"/>
      <c r="E1291" s="9"/>
      <c r="F1291" s="9"/>
      <c r="G1291" s="9"/>
      <c r="H1291" s="9"/>
      <c r="I1291" s="9"/>
    </row>
    <row r="1292" customFormat="false" ht="15.75" hidden="false" customHeight="false" outlineLevel="0" collapsed="false">
      <c r="A1292" s="9"/>
      <c r="B1292" s="9"/>
      <c r="C1292" s="9"/>
      <c r="D1292" s="9"/>
      <c r="E1292" s="9"/>
      <c r="F1292" s="9"/>
      <c r="G1292" s="9"/>
      <c r="H1292" s="9"/>
      <c r="I1292" s="9"/>
    </row>
    <row r="1293" customFormat="false" ht="15.75" hidden="false" customHeight="false" outlineLevel="0" collapsed="false">
      <c r="A1293" s="9"/>
      <c r="B1293" s="9"/>
      <c r="C1293" s="9"/>
      <c r="D1293" s="9"/>
      <c r="E1293" s="9"/>
      <c r="F1293" s="9"/>
      <c r="G1293" s="9"/>
      <c r="H1293" s="9"/>
      <c r="I1293" s="9"/>
    </row>
    <row r="1294" customFormat="false" ht="15.75" hidden="false" customHeight="false" outlineLevel="0" collapsed="false">
      <c r="A1294" s="9"/>
      <c r="B1294" s="9"/>
      <c r="C1294" s="9"/>
      <c r="D1294" s="9"/>
      <c r="E1294" s="9"/>
      <c r="F1294" s="9"/>
      <c r="G1294" s="9"/>
      <c r="H1294" s="9"/>
      <c r="I1294" s="9"/>
    </row>
    <row r="1295" customFormat="false" ht="15.75" hidden="false" customHeight="false" outlineLevel="0" collapsed="false">
      <c r="A1295" s="9"/>
      <c r="B1295" s="9"/>
      <c r="C1295" s="9"/>
      <c r="D1295" s="9"/>
      <c r="E1295" s="9"/>
      <c r="F1295" s="9"/>
      <c r="G1295" s="9"/>
      <c r="H1295" s="9"/>
      <c r="I1295" s="9"/>
    </row>
    <row r="1296" customFormat="false" ht="15.75" hidden="false" customHeight="false" outlineLevel="0" collapsed="false">
      <c r="A1296" s="9"/>
      <c r="B1296" s="9"/>
      <c r="C1296" s="9"/>
      <c r="D1296" s="9"/>
      <c r="E1296" s="9"/>
      <c r="F1296" s="9"/>
      <c r="G1296" s="9"/>
      <c r="H1296" s="9"/>
      <c r="I1296" s="9"/>
    </row>
    <row r="1297" customFormat="false" ht="15.75" hidden="false" customHeight="false" outlineLevel="0" collapsed="false">
      <c r="A1297" s="9"/>
      <c r="B1297" s="9"/>
      <c r="C1297" s="9"/>
      <c r="D1297" s="9"/>
      <c r="E1297" s="9"/>
      <c r="F1297" s="9"/>
      <c r="G1297" s="9"/>
      <c r="H1297" s="9"/>
      <c r="I1297" s="9"/>
    </row>
    <row r="1298" customFormat="false" ht="15.75" hidden="false" customHeight="false" outlineLevel="0" collapsed="false">
      <c r="A1298" s="9"/>
      <c r="B1298" s="9"/>
      <c r="C1298" s="9"/>
      <c r="D1298" s="9"/>
      <c r="E1298" s="9"/>
      <c r="F1298" s="9"/>
      <c r="G1298" s="9"/>
      <c r="H1298" s="9"/>
      <c r="I1298" s="9"/>
    </row>
    <row r="1299" customFormat="false" ht="15.75" hidden="false" customHeight="false" outlineLevel="0" collapsed="false">
      <c r="A1299" s="9"/>
      <c r="B1299" s="9"/>
      <c r="C1299" s="9"/>
      <c r="D1299" s="9"/>
      <c r="E1299" s="9"/>
      <c r="F1299" s="9"/>
      <c r="G1299" s="9"/>
      <c r="H1299" s="9"/>
      <c r="I1299" s="9"/>
    </row>
    <row r="1300" customFormat="false" ht="15.75" hidden="false" customHeight="false" outlineLevel="0" collapsed="false">
      <c r="A1300" s="9"/>
      <c r="B1300" s="9"/>
      <c r="C1300" s="9"/>
      <c r="D1300" s="9"/>
      <c r="E1300" s="9"/>
      <c r="F1300" s="9"/>
      <c r="G1300" s="9"/>
      <c r="H1300" s="9"/>
      <c r="I1300" s="9"/>
    </row>
    <row r="1301" customFormat="false" ht="15.75" hidden="false" customHeight="false" outlineLevel="0" collapsed="false">
      <c r="A1301" s="9"/>
      <c r="B1301" s="9"/>
      <c r="C1301" s="9"/>
      <c r="D1301" s="9"/>
      <c r="E1301" s="9"/>
      <c r="F1301" s="9"/>
      <c r="G1301" s="9"/>
      <c r="H1301" s="9"/>
      <c r="I1301" s="9"/>
    </row>
    <row r="1302" customFormat="false" ht="15.75" hidden="false" customHeight="false" outlineLevel="0" collapsed="false">
      <c r="A1302" s="9"/>
      <c r="B1302" s="9"/>
      <c r="C1302" s="9"/>
      <c r="D1302" s="9"/>
      <c r="E1302" s="9"/>
      <c r="F1302" s="9"/>
      <c r="G1302" s="9"/>
      <c r="H1302" s="9"/>
      <c r="I1302" s="9"/>
    </row>
    <row r="1303" customFormat="false" ht="15.75" hidden="false" customHeight="false" outlineLevel="0" collapsed="false">
      <c r="A1303" s="9"/>
      <c r="B1303" s="9"/>
      <c r="C1303" s="9"/>
      <c r="D1303" s="9"/>
      <c r="E1303" s="9"/>
      <c r="F1303" s="9"/>
      <c r="G1303" s="9"/>
      <c r="H1303" s="9"/>
      <c r="I1303" s="9"/>
    </row>
    <row r="1304" customFormat="false" ht="15.75" hidden="false" customHeight="false" outlineLevel="0" collapsed="false">
      <c r="A1304" s="9"/>
      <c r="B1304" s="9"/>
      <c r="C1304" s="9"/>
      <c r="D1304" s="9"/>
      <c r="E1304" s="9"/>
      <c r="F1304" s="9"/>
      <c r="G1304" s="9"/>
      <c r="H1304" s="9"/>
      <c r="I1304" s="9"/>
    </row>
    <row r="1305" customFormat="false" ht="15.75" hidden="false" customHeight="false" outlineLevel="0" collapsed="false">
      <c r="A1305" s="9"/>
      <c r="B1305" s="9"/>
      <c r="C1305" s="9"/>
      <c r="D1305" s="9"/>
      <c r="E1305" s="9"/>
      <c r="F1305" s="9"/>
      <c r="G1305" s="9"/>
      <c r="H1305" s="9"/>
      <c r="I1305" s="9"/>
    </row>
    <row r="1306" customFormat="false" ht="15.75" hidden="false" customHeight="false" outlineLevel="0" collapsed="false">
      <c r="A1306" s="9"/>
      <c r="B1306" s="9"/>
      <c r="C1306" s="9"/>
      <c r="D1306" s="9"/>
      <c r="E1306" s="9"/>
      <c r="F1306" s="9"/>
      <c r="G1306" s="9"/>
      <c r="H1306" s="9"/>
      <c r="I1306" s="9"/>
    </row>
    <row r="1307" customFormat="false" ht="15.75" hidden="false" customHeight="false" outlineLevel="0" collapsed="false">
      <c r="A1307" s="9"/>
      <c r="B1307" s="9"/>
      <c r="C1307" s="9"/>
      <c r="D1307" s="9"/>
      <c r="E1307" s="9"/>
      <c r="F1307" s="9"/>
      <c r="G1307" s="9"/>
      <c r="H1307" s="9"/>
      <c r="I1307" s="9"/>
    </row>
    <row r="1308" customFormat="false" ht="15.75" hidden="false" customHeight="false" outlineLevel="0" collapsed="false">
      <c r="A1308" s="9"/>
      <c r="B1308" s="9"/>
      <c r="C1308" s="9"/>
      <c r="D1308" s="9"/>
      <c r="E1308" s="9"/>
      <c r="F1308" s="9"/>
      <c r="G1308" s="9"/>
      <c r="H1308" s="9"/>
      <c r="I1308" s="9"/>
    </row>
    <row r="1309" customFormat="false" ht="15.75" hidden="false" customHeight="false" outlineLevel="0" collapsed="false">
      <c r="A1309" s="9"/>
      <c r="B1309" s="9"/>
      <c r="C1309" s="9"/>
      <c r="D1309" s="9"/>
      <c r="E1309" s="9"/>
      <c r="F1309" s="9"/>
      <c r="G1309" s="9"/>
      <c r="H1309" s="9"/>
      <c r="I1309" s="9"/>
    </row>
    <row r="1310" customFormat="false" ht="15.75" hidden="false" customHeight="false" outlineLevel="0" collapsed="false">
      <c r="A1310" s="9"/>
      <c r="B1310" s="9"/>
      <c r="C1310" s="9"/>
      <c r="D1310" s="9"/>
      <c r="E1310" s="9"/>
      <c r="F1310" s="9"/>
      <c r="G1310" s="9"/>
      <c r="H1310" s="9"/>
      <c r="I1310" s="9"/>
    </row>
    <row r="1311" customFormat="false" ht="15.75" hidden="false" customHeight="false" outlineLevel="0" collapsed="false">
      <c r="A1311" s="9"/>
      <c r="B1311" s="9"/>
      <c r="C1311" s="9"/>
      <c r="D1311" s="9"/>
      <c r="E1311" s="9"/>
      <c r="F1311" s="9"/>
      <c r="G1311" s="9"/>
      <c r="H1311" s="9"/>
      <c r="I1311" s="9"/>
    </row>
    <row r="1312" customFormat="false" ht="15.75" hidden="false" customHeight="false" outlineLevel="0" collapsed="false">
      <c r="A1312" s="9"/>
      <c r="B1312" s="9"/>
      <c r="C1312" s="9"/>
      <c r="D1312" s="9"/>
      <c r="E1312" s="9"/>
      <c r="F1312" s="9"/>
      <c r="G1312" s="9"/>
      <c r="H1312" s="9"/>
      <c r="I1312" s="9"/>
    </row>
    <row r="1313" customFormat="false" ht="15.75" hidden="false" customHeight="false" outlineLevel="0" collapsed="false">
      <c r="A1313" s="9"/>
      <c r="B1313" s="9"/>
      <c r="C1313" s="9"/>
      <c r="D1313" s="9"/>
      <c r="E1313" s="9"/>
      <c r="F1313" s="9"/>
      <c r="G1313" s="9"/>
      <c r="H1313" s="9"/>
      <c r="I1313" s="9"/>
    </row>
    <row r="1314" customFormat="false" ht="15.75" hidden="false" customHeight="false" outlineLevel="0" collapsed="false">
      <c r="A1314" s="9"/>
      <c r="B1314" s="9"/>
      <c r="C1314" s="9"/>
      <c r="D1314" s="9"/>
      <c r="E1314" s="9"/>
      <c r="F1314" s="9"/>
      <c r="G1314" s="9"/>
      <c r="H1314" s="9"/>
      <c r="I1314" s="9"/>
    </row>
    <row r="1315" customFormat="false" ht="15.75" hidden="false" customHeight="false" outlineLevel="0" collapsed="false">
      <c r="A1315" s="9"/>
      <c r="B1315" s="9"/>
      <c r="C1315" s="9"/>
      <c r="D1315" s="9"/>
      <c r="E1315" s="9"/>
      <c r="F1315" s="9"/>
      <c r="G1315" s="9"/>
      <c r="H1315" s="9"/>
      <c r="I1315" s="9"/>
    </row>
    <row r="1316" customFormat="false" ht="15.75" hidden="false" customHeight="false" outlineLevel="0" collapsed="false">
      <c r="A1316" s="9"/>
      <c r="B1316" s="9"/>
      <c r="C1316" s="9"/>
      <c r="D1316" s="9"/>
      <c r="E1316" s="9"/>
      <c r="F1316" s="9"/>
      <c r="G1316" s="9"/>
      <c r="H1316" s="9"/>
      <c r="I1316" s="9"/>
    </row>
    <row r="1317" customFormat="false" ht="15.75" hidden="false" customHeight="false" outlineLevel="0" collapsed="false">
      <c r="A1317" s="9"/>
      <c r="B1317" s="9"/>
      <c r="C1317" s="9"/>
      <c r="D1317" s="9"/>
      <c r="E1317" s="9"/>
      <c r="F1317" s="9"/>
      <c r="G1317" s="9"/>
      <c r="H1317" s="9"/>
      <c r="I1317" s="9"/>
    </row>
    <row r="1318" customFormat="false" ht="15.75" hidden="false" customHeight="false" outlineLevel="0" collapsed="false">
      <c r="A1318" s="9"/>
      <c r="B1318" s="9"/>
      <c r="C1318" s="9"/>
      <c r="D1318" s="9"/>
      <c r="E1318" s="9"/>
      <c r="F1318" s="9"/>
      <c r="G1318" s="9"/>
      <c r="H1318" s="9"/>
      <c r="I1318" s="9"/>
    </row>
    <row r="1319" customFormat="false" ht="15.75" hidden="false" customHeight="false" outlineLevel="0" collapsed="false">
      <c r="A1319" s="9"/>
      <c r="B1319" s="9"/>
      <c r="C1319" s="9"/>
      <c r="D1319" s="9"/>
      <c r="E1319" s="9"/>
      <c r="F1319" s="9"/>
      <c r="G1319" s="9"/>
      <c r="H1319" s="9"/>
      <c r="I1319" s="9"/>
    </row>
    <row r="1320" customFormat="false" ht="15.75" hidden="false" customHeight="false" outlineLevel="0" collapsed="false">
      <c r="A1320" s="9"/>
      <c r="B1320" s="9"/>
      <c r="C1320" s="9"/>
      <c r="D1320" s="9"/>
      <c r="E1320" s="9"/>
      <c r="F1320" s="9"/>
      <c r="G1320" s="9"/>
      <c r="H1320" s="9"/>
      <c r="I1320" s="9"/>
    </row>
    <row r="1321" customFormat="false" ht="15.75" hidden="false" customHeight="false" outlineLevel="0" collapsed="false">
      <c r="A1321" s="9"/>
      <c r="B1321" s="9"/>
      <c r="C1321" s="9"/>
      <c r="D1321" s="9"/>
      <c r="E1321" s="9"/>
      <c r="F1321" s="9"/>
      <c r="G1321" s="9"/>
      <c r="H1321" s="9"/>
      <c r="I1321" s="9"/>
    </row>
    <row r="1322" customFormat="false" ht="15.75" hidden="false" customHeight="false" outlineLevel="0" collapsed="false">
      <c r="A1322" s="9"/>
      <c r="B1322" s="9"/>
      <c r="C1322" s="9"/>
      <c r="D1322" s="9"/>
      <c r="E1322" s="9"/>
      <c r="F1322" s="9"/>
      <c r="G1322" s="9"/>
      <c r="H1322" s="9"/>
      <c r="I1322" s="9"/>
    </row>
    <row r="1323" customFormat="false" ht="15.75" hidden="false" customHeight="false" outlineLevel="0" collapsed="false">
      <c r="A1323" s="9"/>
      <c r="B1323" s="9"/>
      <c r="C1323" s="9"/>
      <c r="D1323" s="9"/>
      <c r="E1323" s="9"/>
      <c r="F1323" s="9"/>
      <c r="G1323" s="9"/>
      <c r="H1323" s="9"/>
      <c r="I1323" s="9"/>
    </row>
    <row r="1324" customFormat="false" ht="15.75" hidden="false" customHeight="false" outlineLevel="0" collapsed="false">
      <c r="A1324" s="9"/>
      <c r="B1324" s="9"/>
      <c r="C1324" s="9"/>
      <c r="D1324" s="9"/>
      <c r="E1324" s="9"/>
      <c r="F1324" s="9"/>
      <c r="G1324" s="9"/>
      <c r="H1324" s="9"/>
      <c r="I1324" s="9"/>
    </row>
    <row r="1325" customFormat="false" ht="15.75" hidden="false" customHeight="false" outlineLevel="0" collapsed="false">
      <c r="A1325" s="9"/>
      <c r="B1325" s="9"/>
      <c r="C1325" s="9"/>
      <c r="D1325" s="9"/>
      <c r="E1325" s="9"/>
      <c r="F1325" s="9"/>
      <c r="G1325" s="9"/>
      <c r="H1325" s="9"/>
      <c r="I1325" s="9"/>
    </row>
    <row r="1326" customFormat="false" ht="15.75" hidden="false" customHeight="false" outlineLevel="0" collapsed="false">
      <c r="A1326" s="9"/>
      <c r="B1326" s="9"/>
      <c r="C1326" s="9"/>
      <c r="D1326" s="9"/>
      <c r="E1326" s="9"/>
      <c r="F1326" s="9"/>
      <c r="G1326" s="9"/>
      <c r="H1326" s="9"/>
      <c r="I1326" s="9"/>
    </row>
    <row r="1327" customFormat="false" ht="15.75" hidden="false" customHeight="false" outlineLevel="0" collapsed="false">
      <c r="A1327" s="9"/>
      <c r="B1327" s="9"/>
      <c r="C1327" s="9"/>
      <c r="D1327" s="9"/>
      <c r="E1327" s="9"/>
      <c r="F1327" s="9"/>
      <c r="G1327" s="9"/>
      <c r="H1327" s="9"/>
      <c r="I1327" s="9"/>
    </row>
    <row r="1328" customFormat="false" ht="15.75" hidden="false" customHeight="false" outlineLevel="0" collapsed="false">
      <c r="A1328" s="9"/>
      <c r="B1328" s="9"/>
      <c r="C1328" s="9"/>
      <c r="D1328" s="9"/>
      <c r="E1328" s="9"/>
      <c r="F1328" s="9"/>
      <c r="G1328" s="9"/>
      <c r="H1328" s="9"/>
      <c r="I1328" s="9"/>
    </row>
    <row r="1329" customFormat="false" ht="15.75" hidden="false" customHeight="false" outlineLevel="0" collapsed="false">
      <c r="A1329" s="9"/>
      <c r="B1329" s="9"/>
      <c r="C1329" s="9"/>
      <c r="D1329" s="9"/>
      <c r="E1329" s="9"/>
      <c r="F1329" s="9"/>
      <c r="G1329" s="9"/>
      <c r="H1329" s="9"/>
      <c r="I1329" s="9"/>
    </row>
    <row r="1330" customFormat="false" ht="15.75" hidden="false" customHeight="false" outlineLevel="0" collapsed="false">
      <c r="A1330" s="9"/>
      <c r="B1330" s="9"/>
      <c r="C1330" s="9"/>
      <c r="D1330" s="9"/>
      <c r="E1330" s="9"/>
      <c r="F1330" s="9"/>
      <c r="G1330" s="9"/>
      <c r="H1330" s="9"/>
      <c r="I1330" s="9"/>
    </row>
    <row r="1331" customFormat="false" ht="15.75" hidden="false" customHeight="false" outlineLevel="0" collapsed="false">
      <c r="A1331" s="9"/>
      <c r="B1331" s="9"/>
      <c r="C1331" s="9"/>
      <c r="D1331" s="9"/>
      <c r="E1331" s="9"/>
      <c r="F1331" s="9"/>
      <c r="G1331" s="9"/>
      <c r="H1331" s="9"/>
      <c r="I1331" s="9"/>
    </row>
    <row r="1332" customFormat="false" ht="15.75" hidden="false" customHeight="false" outlineLevel="0" collapsed="false">
      <c r="A1332" s="9"/>
      <c r="B1332" s="9"/>
      <c r="C1332" s="9"/>
      <c r="D1332" s="9"/>
      <c r="E1332" s="9"/>
      <c r="F1332" s="9"/>
      <c r="G1332" s="9"/>
      <c r="H1332" s="9"/>
      <c r="I1332" s="9"/>
    </row>
    <row r="1333" customFormat="false" ht="15.75" hidden="false" customHeight="false" outlineLevel="0" collapsed="false">
      <c r="A1333" s="9"/>
      <c r="B1333" s="9"/>
      <c r="C1333" s="9"/>
      <c r="D1333" s="9"/>
      <c r="E1333" s="9"/>
      <c r="F1333" s="9"/>
      <c r="G1333" s="9"/>
      <c r="H1333" s="9"/>
      <c r="I1333" s="9"/>
    </row>
    <row r="1334" customFormat="false" ht="15.75" hidden="false" customHeight="false" outlineLevel="0" collapsed="false">
      <c r="A1334" s="9"/>
      <c r="B1334" s="9"/>
      <c r="C1334" s="9"/>
      <c r="D1334" s="9"/>
      <c r="E1334" s="9"/>
      <c r="F1334" s="9"/>
      <c r="G1334" s="9"/>
      <c r="H1334" s="9"/>
      <c r="I1334" s="9"/>
    </row>
    <row r="1335" customFormat="false" ht="15.75" hidden="false" customHeight="false" outlineLevel="0" collapsed="false">
      <c r="A1335" s="9"/>
      <c r="B1335" s="9"/>
      <c r="C1335" s="9"/>
      <c r="D1335" s="9"/>
      <c r="E1335" s="9"/>
      <c r="F1335" s="9"/>
      <c r="G1335" s="9"/>
      <c r="H1335" s="9"/>
      <c r="I1335" s="9"/>
    </row>
    <row r="1336" customFormat="false" ht="15.75" hidden="false" customHeight="false" outlineLevel="0" collapsed="false">
      <c r="A1336" s="9"/>
      <c r="B1336" s="9"/>
      <c r="C1336" s="9"/>
      <c r="D1336" s="9"/>
      <c r="E1336" s="9"/>
      <c r="F1336" s="9"/>
      <c r="G1336" s="9"/>
      <c r="H1336" s="9"/>
      <c r="I1336" s="9"/>
    </row>
    <row r="1337" customFormat="false" ht="15.75" hidden="false" customHeight="false" outlineLevel="0" collapsed="false">
      <c r="A1337" s="9"/>
      <c r="B1337" s="9"/>
      <c r="C1337" s="9"/>
      <c r="D1337" s="9"/>
      <c r="E1337" s="9"/>
      <c r="F1337" s="9"/>
      <c r="G1337" s="9"/>
      <c r="H1337" s="9"/>
      <c r="I1337" s="9"/>
    </row>
    <row r="1338" customFormat="false" ht="15.75" hidden="false" customHeight="false" outlineLevel="0" collapsed="false">
      <c r="A1338" s="9"/>
      <c r="B1338" s="9"/>
      <c r="C1338" s="9"/>
      <c r="D1338" s="9"/>
      <c r="E1338" s="9"/>
      <c r="F1338" s="9"/>
      <c r="G1338" s="9"/>
      <c r="H1338" s="9"/>
      <c r="I1338" s="9"/>
    </row>
    <row r="1339" customFormat="false" ht="15.75" hidden="false" customHeight="false" outlineLevel="0" collapsed="false">
      <c r="A1339" s="9"/>
      <c r="B1339" s="9"/>
      <c r="C1339" s="9"/>
      <c r="D1339" s="9"/>
      <c r="E1339" s="9"/>
      <c r="F1339" s="9"/>
      <c r="G1339" s="9"/>
      <c r="H1339" s="9"/>
      <c r="I1339" s="9"/>
    </row>
    <row r="1340" customFormat="false" ht="15.75" hidden="false" customHeight="false" outlineLevel="0" collapsed="false">
      <c r="A1340" s="9"/>
      <c r="B1340" s="9"/>
      <c r="C1340" s="9"/>
      <c r="D1340" s="9"/>
      <c r="E1340" s="9"/>
      <c r="F1340" s="9"/>
      <c r="G1340" s="9"/>
      <c r="H1340" s="9"/>
      <c r="I1340" s="9"/>
    </row>
    <row r="1341" customFormat="false" ht="15.75" hidden="false" customHeight="false" outlineLevel="0" collapsed="false">
      <c r="A1341" s="9"/>
      <c r="B1341" s="9"/>
      <c r="C1341" s="9"/>
      <c r="D1341" s="9"/>
      <c r="E1341" s="9"/>
      <c r="F1341" s="9"/>
      <c r="G1341" s="9"/>
      <c r="H1341" s="9"/>
      <c r="I1341" s="9"/>
    </row>
    <row r="1342" customFormat="false" ht="15.75" hidden="false" customHeight="false" outlineLevel="0" collapsed="false">
      <c r="A1342" s="9"/>
      <c r="B1342" s="9"/>
      <c r="C1342" s="9"/>
      <c r="D1342" s="9"/>
      <c r="E1342" s="9"/>
      <c r="F1342" s="9"/>
      <c r="G1342" s="9"/>
      <c r="H1342" s="9"/>
      <c r="I1342" s="9"/>
    </row>
    <row r="1343" customFormat="false" ht="15.75" hidden="false" customHeight="false" outlineLevel="0" collapsed="false">
      <c r="A1343" s="9"/>
      <c r="B1343" s="9"/>
      <c r="C1343" s="9"/>
      <c r="D1343" s="9"/>
      <c r="E1343" s="9"/>
      <c r="F1343" s="9"/>
      <c r="G1343" s="9"/>
      <c r="H1343" s="9"/>
      <c r="I1343" s="9"/>
    </row>
    <row r="1344" customFormat="false" ht="15.75" hidden="false" customHeight="false" outlineLevel="0" collapsed="false">
      <c r="A1344" s="9"/>
      <c r="B1344" s="9"/>
      <c r="C1344" s="9"/>
      <c r="D1344" s="9"/>
      <c r="E1344" s="9"/>
      <c r="F1344" s="9"/>
      <c r="G1344" s="9"/>
      <c r="H1344" s="9"/>
      <c r="I1344" s="9"/>
    </row>
    <row r="1345" customFormat="false" ht="15.75" hidden="false" customHeight="false" outlineLevel="0" collapsed="false">
      <c r="A1345" s="9"/>
      <c r="B1345" s="9"/>
      <c r="C1345" s="9"/>
      <c r="D1345" s="9"/>
      <c r="E1345" s="9"/>
      <c r="F1345" s="9"/>
      <c r="G1345" s="9"/>
      <c r="H1345" s="9"/>
      <c r="I1345" s="9"/>
    </row>
    <row r="1346" customFormat="false" ht="15.75" hidden="false" customHeight="false" outlineLevel="0" collapsed="false">
      <c r="A1346" s="9"/>
      <c r="B1346" s="9"/>
      <c r="C1346" s="9"/>
      <c r="D1346" s="9"/>
      <c r="E1346" s="9"/>
      <c r="F1346" s="9"/>
      <c r="G1346" s="9"/>
      <c r="H1346" s="9"/>
      <c r="I1346" s="9"/>
    </row>
    <row r="1347" customFormat="false" ht="15.75" hidden="false" customHeight="false" outlineLevel="0" collapsed="false">
      <c r="A1347" s="9"/>
      <c r="B1347" s="9"/>
      <c r="C1347" s="9"/>
      <c r="D1347" s="9"/>
      <c r="E1347" s="9"/>
      <c r="F1347" s="9"/>
      <c r="G1347" s="9"/>
      <c r="H1347" s="9"/>
      <c r="I1347" s="9"/>
    </row>
    <row r="1348" customFormat="false" ht="15.75" hidden="false" customHeight="false" outlineLevel="0" collapsed="false">
      <c r="A1348" s="9"/>
      <c r="B1348" s="9"/>
      <c r="C1348" s="9"/>
      <c r="D1348" s="9"/>
      <c r="E1348" s="9"/>
      <c r="F1348" s="9"/>
      <c r="G1348" s="9"/>
      <c r="H1348" s="9"/>
      <c r="I1348" s="9"/>
    </row>
    <row r="1349" customFormat="false" ht="15.75" hidden="false" customHeight="false" outlineLevel="0" collapsed="false">
      <c r="A1349" s="9"/>
      <c r="B1349" s="9"/>
      <c r="C1349" s="9"/>
      <c r="D1349" s="9"/>
      <c r="E1349" s="9"/>
      <c r="F1349" s="9"/>
      <c r="G1349" s="9"/>
      <c r="H1349" s="9"/>
      <c r="I1349" s="9"/>
    </row>
    <row r="1350" customFormat="false" ht="15.75" hidden="false" customHeight="false" outlineLevel="0" collapsed="false">
      <c r="A1350" s="9"/>
      <c r="B1350" s="9"/>
      <c r="C1350" s="9"/>
      <c r="D1350" s="9"/>
      <c r="E1350" s="9"/>
      <c r="F1350" s="9"/>
      <c r="G1350" s="9"/>
      <c r="H1350" s="9"/>
      <c r="I1350" s="9"/>
    </row>
    <row r="1351" customFormat="false" ht="15.75" hidden="false" customHeight="false" outlineLevel="0" collapsed="false">
      <c r="A1351" s="9"/>
      <c r="B1351" s="9"/>
      <c r="C1351" s="9"/>
      <c r="D1351" s="9"/>
      <c r="E1351" s="9"/>
      <c r="F1351" s="9"/>
      <c r="G1351" s="9"/>
      <c r="H1351" s="9"/>
      <c r="I1351" s="9"/>
    </row>
    <row r="1352" customFormat="false" ht="15.75" hidden="false" customHeight="false" outlineLevel="0" collapsed="false">
      <c r="A1352" s="9"/>
      <c r="B1352" s="9"/>
      <c r="C1352" s="9"/>
      <c r="D1352" s="9"/>
      <c r="E1352" s="9"/>
      <c r="F1352" s="9"/>
      <c r="G1352" s="9"/>
      <c r="H1352" s="9"/>
      <c r="I1352" s="9"/>
    </row>
    <row r="1353" customFormat="false" ht="15.75" hidden="false" customHeight="false" outlineLevel="0" collapsed="false">
      <c r="A1353" s="9"/>
      <c r="B1353" s="9"/>
      <c r="C1353" s="9"/>
      <c r="D1353" s="9"/>
      <c r="E1353" s="9"/>
      <c r="F1353" s="9"/>
      <c r="G1353" s="9"/>
      <c r="H1353" s="9"/>
      <c r="I1353" s="9"/>
    </row>
    <row r="1354" customFormat="false" ht="15.75" hidden="false" customHeight="false" outlineLevel="0" collapsed="false">
      <c r="A1354" s="9"/>
      <c r="B1354" s="9"/>
      <c r="C1354" s="9"/>
      <c r="D1354" s="9"/>
      <c r="E1354" s="9"/>
      <c r="F1354" s="9"/>
      <c r="G1354" s="9"/>
      <c r="H1354" s="9"/>
      <c r="I1354" s="9"/>
    </row>
    <row r="1355" customFormat="false" ht="15.75" hidden="false" customHeight="false" outlineLevel="0" collapsed="false">
      <c r="A1355" s="9"/>
      <c r="B1355" s="9"/>
      <c r="C1355" s="9"/>
      <c r="D1355" s="9"/>
      <c r="E1355" s="9"/>
      <c r="F1355" s="9"/>
      <c r="G1355" s="9"/>
      <c r="H1355" s="9"/>
      <c r="I1355" s="9"/>
    </row>
    <row r="1356" customFormat="false" ht="15.75" hidden="false" customHeight="false" outlineLevel="0" collapsed="false">
      <c r="A1356" s="9"/>
      <c r="B1356" s="9"/>
      <c r="C1356" s="9"/>
      <c r="D1356" s="9"/>
      <c r="E1356" s="9"/>
      <c r="F1356" s="9"/>
      <c r="G1356" s="9"/>
      <c r="H1356" s="9"/>
      <c r="I1356" s="9"/>
    </row>
    <row r="1357" customFormat="false" ht="15.75" hidden="false" customHeight="false" outlineLevel="0" collapsed="false">
      <c r="A1357" s="9"/>
      <c r="B1357" s="9"/>
      <c r="C1357" s="9"/>
      <c r="D1357" s="9"/>
      <c r="E1357" s="9"/>
      <c r="F1357" s="9"/>
      <c r="G1357" s="9"/>
      <c r="H1357" s="9"/>
      <c r="I1357" s="9"/>
    </row>
    <row r="1358" customFormat="false" ht="15.75" hidden="false" customHeight="false" outlineLevel="0" collapsed="false">
      <c r="A1358" s="9"/>
      <c r="B1358" s="9"/>
      <c r="C1358" s="9"/>
      <c r="D1358" s="9"/>
      <c r="E1358" s="9"/>
      <c r="F1358" s="9"/>
      <c r="G1358" s="9"/>
      <c r="H1358" s="9"/>
      <c r="I1358" s="9"/>
    </row>
    <row r="1359" customFormat="false" ht="15.75" hidden="false" customHeight="false" outlineLevel="0" collapsed="false">
      <c r="A1359" s="9"/>
      <c r="B1359" s="9"/>
      <c r="C1359" s="9"/>
      <c r="D1359" s="9"/>
      <c r="E1359" s="9"/>
      <c r="F1359" s="9"/>
      <c r="G1359" s="9"/>
      <c r="H1359" s="9"/>
      <c r="I1359" s="9"/>
    </row>
    <row r="1360" customFormat="false" ht="15.75" hidden="false" customHeight="false" outlineLevel="0" collapsed="false">
      <c r="A1360" s="9"/>
      <c r="B1360" s="9"/>
      <c r="C1360" s="9"/>
      <c r="D1360" s="9"/>
      <c r="E1360" s="9"/>
      <c r="F1360" s="9"/>
      <c r="G1360" s="9"/>
      <c r="H1360" s="9"/>
      <c r="I1360" s="9"/>
    </row>
    <row r="1361" customFormat="false" ht="15.75" hidden="false" customHeight="false" outlineLevel="0" collapsed="false">
      <c r="A1361" s="9"/>
      <c r="B1361" s="9"/>
      <c r="C1361" s="9"/>
      <c r="D1361" s="9"/>
      <c r="E1361" s="9"/>
      <c r="F1361" s="9"/>
      <c r="G1361" s="9"/>
      <c r="H1361" s="9"/>
      <c r="I1361" s="9"/>
    </row>
    <row r="1362" customFormat="false" ht="15.75" hidden="false" customHeight="false" outlineLevel="0" collapsed="false">
      <c r="A1362" s="9"/>
      <c r="B1362" s="9"/>
      <c r="C1362" s="9"/>
      <c r="D1362" s="9"/>
      <c r="E1362" s="9"/>
      <c r="F1362" s="9"/>
      <c r="G1362" s="9"/>
      <c r="H1362" s="9"/>
      <c r="I1362" s="9"/>
    </row>
    <row r="1363" customFormat="false" ht="15.75" hidden="false" customHeight="false" outlineLevel="0" collapsed="false">
      <c r="A1363" s="9"/>
      <c r="B1363" s="9"/>
      <c r="C1363" s="9"/>
      <c r="D1363" s="9"/>
      <c r="E1363" s="9"/>
      <c r="F1363" s="9"/>
      <c r="G1363" s="9"/>
      <c r="H1363" s="9"/>
      <c r="I1363" s="9"/>
    </row>
    <row r="1364" customFormat="false" ht="15.75" hidden="false" customHeight="false" outlineLevel="0" collapsed="false">
      <c r="A1364" s="9"/>
      <c r="B1364" s="9"/>
      <c r="C1364" s="9"/>
      <c r="D1364" s="9"/>
      <c r="E1364" s="9"/>
      <c r="F1364" s="9"/>
      <c r="G1364" s="9"/>
      <c r="H1364" s="9"/>
      <c r="I1364" s="9"/>
    </row>
    <row r="1365" customFormat="false" ht="15.75" hidden="false" customHeight="false" outlineLevel="0" collapsed="false">
      <c r="A1365" s="9"/>
      <c r="B1365" s="9"/>
      <c r="C1365" s="9"/>
      <c r="D1365" s="9"/>
      <c r="E1365" s="9"/>
      <c r="F1365" s="9"/>
      <c r="G1365" s="9"/>
      <c r="H1365" s="9"/>
      <c r="I1365" s="9"/>
    </row>
    <row r="1366" customFormat="false" ht="15.75" hidden="false" customHeight="false" outlineLevel="0" collapsed="false">
      <c r="A1366" s="9"/>
      <c r="B1366" s="9"/>
      <c r="C1366" s="9"/>
      <c r="D1366" s="9"/>
      <c r="E1366" s="9"/>
      <c r="F1366" s="9"/>
      <c r="G1366" s="9"/>
      <c r="H1366" s="9"/>
      <c r="I1366" s="9"/>
    </row>
    <row r="1367" customFormat="false" ht="15.75" hidden="false" customHeight="false" outlineLevel="0" collapsed="false">
      <c r="A1367" s="9"/>
      <c r="B1367" s="9"/>
      <c r="C1367" s="9"/>
      <c r="D1367" s="9"/>
      <c r="E1367" s="9"/>
      <c r="F1367" s="9"/>
      <c r="G1367" s="9"/>
      <c r="H1367" s="9"/>
      <c r="I1367" s="9"/>
    </row>
    <row r="1368" customFormat="false" ht="15.75" hidden="false" customHeight="false" outlineLevel="0" collapsed="false">
      <c r="A1368" s="9"/>
      <c r="B1368" s="9"/>
      <c r="C1368" s="9"/>
      <c r="D1368" s="9"/>
      <c r="E1368" s="9"/>
      <c r="F1368" s="9"/>
      <c r="G1368" s="9"/>
      <c r="H1368" s="9"/>
      <c r="I1368" s="9"/>
    </row>
    <row r="1369" customFormat="false" ht="15.75" hidden="false" customHeight="false" outlineLevel="0" collapsed="false">
      <c r="A1369" s="9"/>
      <c r="B1369" s="9"/>
      <c r="C1369" s="9"/>
      <c r="D1369" s="9"/>
      <c r="E1369" s="9"/>
      <c r="F1369" s="9"/>
      <c r="G1369" s="9"/>
      <c r="H1369" s="9"/>
      <c r="I1369" s="9"/>
    </row>
    <row r="1370" customFormat="false" ht="15.75" hidden="false" customHeight="false" outlineLevel="0" collapsed="false">
      <c r="A1370" s="9"/>
      <c r="B1370" s="9"/>
      <c r="C1370" s="9"/>
      <c r="D1370" s="9"/>
      <c r="E1370" s="9"/>
      <c r="F1370" s="9"/>
      <c r="G1370" s="9"/>
      <c r="H1370" s="9"/>
      <c r="I1370" s="9"/>
    </row>
    <row r="1371" customFormat="false" ht="15.75" hidden="false" customHeight="false" outlineLevel="0" collapsed="false">
      <c r="A1371" s="9"/>
      <c r="B1371" s="9"/>
      <c r="C1371" s="9"/>
      <c r="D1371" s="9"/>
      <c r="E1371" s="9"/>
      <c r="F1371" s="9"/>
      <c r="G1371" s="9"/>
      <c r="H1371" s="9"/>
      <c r="I1371" s="9"/>
    </row>
    <row r="1372" customFormat="false" ht="15.75" hidden="false" customHeight="false" outlineLevel="0" collapsed="false">
      <c r="A1372" s="9"/>
      <c r="B1372" s="9"/>
      <c r="C1372" s="9"/>
      <c r="D1372" s="9"/>
      <c r="E1372" s="9"/>
      <c r="F1372" s="9"/>
      <c r="G1372" s="9"/>
      <c r="H1372" s="9"/>
      <c r="I1372" s="9"/>
    </row>
    <row r="1373" customFormat="false" ht="15.75" hidden="false" customHeight="false" outlineLevel="0" collapsed="false">
      <c r="A1373" s="9"/>
      <c r="B1373" s="9"/>
      <c r="C1373" s="9"/>
      <c r="D1373" s="9"/>
      <c r="E1373" s="9"/>
      <c r="F1373" s="9"/>
      <c r="G1373" s="9"/>
      <c r="H1373" s="9"/>
      <c r="I1373" s="9"/>
    </row>
    <row r="1374" customFormat="false" ht="15.75" hidden="false" customHeight="false" outlineLevel="0" collapsed="false">
      <c r="A1374" s="9"/>
      <c r="B1374" s="9"/>
      <c r="C1374" s="9"/>
      <c r="D1374" s="9"/>
      <c r="E1374" s="9"/>
      <c r="F1374" s="9"/>
      <c r="G1374" s="9"/>
      <c r="H1374" s="9"/>
      <c r="I1374" s="9"/>
    </row>
    <row r="1375" customFormat="false" ht="15.75" hidden="false" customHeight="false" outlineLevel="0" collapsed="false">
      <c r="A1375" s="9"/>
      <c r="B1375" s="9"/>
      <c r="C1375" s="9"/>
      <c r="D1375" s="9"/>
      <c r="E1375" s="9"/>
      <c r="F1375" s="9"/>
      <c r="G1375" s="9"/>
      <c r="H1375" s="9"/>
      <c r="I1375" s="9"/>
    </row>
    <row r="1376" customFormat="false" ht="15.75" hidden="false" customHeight="false" outlineLevel="0" collapsed="false">
      <c r="A1376" s="9"/>
      <c r="B1376" s="9"/>
      <c r="C1376" s="9"/>
      <c r="D1376" s="9"/>
      <c r="E1376" s="9"/>
      <c r="F1376" s="9"/>
      <c r="G1376" s="9"/>
      <c r="H1376" s="9"/>
      <c r="I1376" s="9"/>
    </row>
    <row r="1377" customFormat="false" ht="15.75" hidden="false" customHeight="false" outlineLevel="0" collapsed="false">
      <c r="A1377" s="9"/>
      <c r="B1377" s="9"/>
      <c r="C1377" s="9"/>
      <c r="D1377" s="9"/>
      <c r="E1377" s="9"/>
      <c r="F1377" s="9"/>
      <c r="G1377" s="9"/>
      <c r="H1377" s="9"/>
      <c r="I1377" s="9"/>
    </row>
    <row r="1378" customFormat="false" ht="15.75" hidden="false" customHeight="false" outlineLevel="0" collapsed="false">
      <c r="A1378" s="9"/>
      <c r="B1378" s="9"/>
      <c r="C1378" s="9"/>
      <c r="D1378" s="9"/>
      <c r="E1378" s="9"/>
      <c r="F1378" s="9"/>
      <c r="G1378" s="9"/>
      <c r="H1378" s="9"/>
      <c r="I1378" s="9"/>
    </row>
    <row r="1379" customFormat="false" ht="15.75" hidden="false" customHeight="false" outlineLevel="0" collapsed="false">
      <c r="A1379" s="9"/>
      <c r="B1379" s="9"/>
      <c r="C1379" s="9"/>
      <c r="D1379" s="9"/>
      <c r="E1379" s="9"/>
      <c r="F1379" s="9"/>
      <c r="G1379" s="9"/>
      <c r="H1379" s="9"/>
      <c r="I1379" s="9"/>
    </row>
    <row r="1380" customFormat="false" ht="15.75" hidden="false" customHeight="false" outlineLevel="0" collapsed="false">
      <c r="A1380" s="9"/>
      <c r="B1380" s="9"/>
      <c r="C1380" s="9"/>
      <c r="D1380" s="9"/>
      <c r="E1380" s="9"/>
      <c r="F1380" s="9"/>
      <c r="G1380" s="9"/>
      <c r="H1380" s="9"/>
      <c r="I1380" s="9"/>
    </row>
    <row r="1381" customFormat="false" ht="15.75" hidden="false" customHeight="false" outlineLevel="0" collapsed="false">
      <c r="A1381" s="9"/>
      <c r="B1381" s="9"/>
      <c r="C1381" s="9"/>
      <c r="D1381" s="9"/>
      <c r="E1381" s="9"/>
      <c r="F1381" s="9"/>
      <c r="G1381" s="9"/>
      <c r="H1381" s="9"/>
      <c r="I1381" s="9"/>
    </row>
    <row r="1382" customFormat="false" ht="15.75" hidden="false" customHeight="false" outlineLevel="0" collapsed="false">
      <c r="A1382" s="9"/>
      <c r="B1382" s="9"/>
      <c r="C1382" s="9"/>
      <c r="D1382" s="9"/>
      <c r="E1382" s="9"/>
      <c r="F1382" s="9"/>
      <c r="G1382" s="9"/>
      <c r="H1382" s="9"/>
      <c r="I1382" s="9"/>
    </row>
    <row r="1383" customFormat="false" ht="15.75" hidden="false" customHeight="false" outlineLevel="0" collapsed="false">
      <c r="A1383" s="9"/>
      <c r="B1383" s="9"/>
      <c r="C1383" s="9"/>
      <c r="D1383" s="9"/>
      <c r="E1383" s="9"/>
      <c r="F1383" s="9"/>
      <c r="G1383" s="9"/>
      <c r="H1383" s="9"/>
      <c r="I1383" s="9"/>
    </row>
    <row r="1384" customFormat="false" ht="15.75" hidden="false" customHeight="false" outlineLevel="0" collapsed="false">
      <c r="A1384" s="9"/>
      <c r="B1384" s="9"/>
      <c r="C1384" s="9"/>
      <c r="D1384" s="9"/>
      <c r="E1384" s="9"/>
      <c r="F1384" s="9"/>
      <c r="G1384" s="9"/>
      <c r="H1384" s="9"/>
      <c r="I1384" s="9"/>
    </row>
    <row r="1385" customFormat="false" ht="15.75" hidden="false" customHeight="false" outlineLevel="0" collapsed="false">
      <c r="A1385" s="9"/>
      <c r="B1385" s="9"/>
      <c r="C1385" s="9"/>
      <c r="D1385" s="9"/>
      <c r="E1385" s="9"/>
      <c r="F1385" s="9"/>
      <c r="G1385" s="9"/>
      <c r="H1385" s="9"/>
      <c r="I1385" s="9"/>
    </row>
    <row r="1386" customFormat="false" ht="15.75" hidden="false" customHeight="false" outlineLevel="0" collapsed="false">
      <c r="A1386" s="9"/>
      <c r="B1386" s="9"/>
      <c r="C1386" s="9"/>
      <c r="D1386" s="9"/>
      <c r="E1386" s="9"/>
      <c r="F1386" s="9"/>
      <c r="G1386" s="9"/>
      <c r="H1386" s="9"/>
      <c r="I1386" s="9"/>
    </row>
    <row r="1387" customFormat="false" ht="15.75" hidden="false" customHeight="false" outlineLevel="0" collapsed="false">
      <c r="A1387" s="9"/>
      <c r="B1387" s="9"/>
      <c r="C1387" s="9"/>
      <c r="D1387" s="9"/>
      <c r="E1387" s="9"/>
      <c r="F1387" s="9"/>
      <c r="G1387" s="9"/>
      <c r="H1387" s="9"/>
      <c r="I1387" s="9"/>
    </row>
    <row r="1388" customFormat="false" ht="15.75" hidden="false" customHeight="false" outlineLevel="0" collapsed="false">
      <c r="A1388" s="9"/>
      <c r="B1388" s="9"/>
      <c r="C1388" s="9"/>
      <c r="D1388" s="9"/>
      <c r="E1388" s="9"/>
      <c r="F1388" s="9"/>
      <c r="G1388" s="9"/>
      <c r="H1388" s="9"/>
      <c r="I1388" s="9"/>
    </row>
    <row r="1389" customFormat="false" ht="15.75" hidden="false" customHeight="false" outlineLevel="0" collapsed="false">
      <c r="A1389" s="9"/>
      <c r="B1389" s="9"/>
      <c r="C1389" s="9"/>
      <c r="D1389" s="9"/>
      <c r="E1389" s="9"/>
      <c r="F1389" s="9"/>
      <c r="G1389" s="9"/>
      <c r="H1389" s="9"/>
      <c r="I1389" s="9"/>
    </row>
    <row r="1390" customFormat="false" ht="15.75" hidden="false" customHeight="false" outlineLevel="0" collapsed="false">
      <c r="A1390" s="9"/>
      <c r="B1390" s="9"/>
      <c r="C1390" s="9"/>
      <c r="D1390" s="9"/>
      <c r="E1390" s="9"/>
      <c r="F1390" s="9"/>
      <c r="G1390" s="9"/>
      <c r="H1390" s="9"/>
      <c r="I1390" s="9"/>
    </row>
    <row r="1391" customFormat="false" ht="15.75" hidden="false" customHeight="false" outlineLevel="0" collapsed="false">
      <c r="A1391" s="9"/>
      <c r="B1391" s="9"/>
      <c r="C1391" s="9"/>
      <c r="D1391" s="9"/>
      <c r="E1391" s="9"/>
      <c r="F1391" s="9"/>
      <c r="G1391" s="9"/>
      <c r="H1391" s="9"/>
      <c r="I1391" s="9"/>
    </row>
    <row r="1392" customFormat="false" ht="15.75" hidden="false" customHeight="false" outlineLevel="0" collapsed="false">
      <c r="A1392" s="9"/>
      <c r="B1392" s="9"/>
      <c r="C1392" s="9"/>
      <c r="D1392" s="9"/>
      <c r="E1392" s="9"/>
      <c r="F1392" s="9"/>
      <c r="G1392" s="9"/>
      <c r="H1392" s="9"/>
      <c r="I1392" s="9"/>
    </row>
    <row r="1393" customFormat="false" ht="15.75" hidden="false" customHeight="false" outlineLevel="0" collapsed="false">
      <c r="A1393" s="9"/>
      <c r="B1393" s="9"/>
      <c r="C1393" s="9"/>
      <c r="D1393" s="9"/>
      <c r="E1393" s="9"/>
      <c r="F1393" s="9"/>
      <c r="G1393" s="9"/>
      <c r="H1393" s="9"/>
      <c r="I1393" s="9"/>
    </row>
    <row r="1394" customFormat="false" ht="15.75" hidden="false" customHeight="false" outlineLevel="0" collapsed="false">
      <c r="A1394" s="9"/>
      <c r="B1394" s="9"/>
      <c r="C1394" s="9"/>
      <c r="D1394" s="9"/>
      <c r="E1394" s="9"/>
      <c r="F1394" s="9"/>
      <c r="G1394" s="9"/>
      <c r="H1394" s="9"/>
      <c r="I1394" s="9"/>
    </row>
    <row r="1395" customFormat="false" ht="15.75" hidden="false" customHeight="false" outlineLevel="0" collapsed="false">
      <c r="A1395" s="9"/>
      <c r="B1395" s="9"/>
      <c r="C1395" s="9"/>
      <c r="D1395" s="9"/>
      <c r="E1395" s="9"/>
      <c r="F1395" s="9"/>
      <c r="G1395" s="9"/>
      <c r="H1395" s="9"/>
      <c r="I1395" s="9"/>
    </row>
    <row r="1396" customFormat="false" ht="15.75" hidden="false" customHeight="false" outlineLevel="0" collapsed="false">
      <c r="A1396" s="9"/>
      <c r="B1396" s="9"/>
      <c r="C1396" s="9"/>
      <c r="D1396" s="9"/>
      <c r="E1396" s="9"/>
      <c r="F1396" s="9"/>
      <c r="G1396" s="9"/>
      <c r="H1396" s="9"/>
      <c r="I1396" s="9"/>
    </row>
    <row r="1397" customFormat="false" ht="15.75" hidden="false" customHeight="false" outlineLevel="0" collapsed="false">
      <c r="A1397" s="9"/>
      <c r="B1397" s="9"/>
      <c r="C1397" s="9"/>
      <c r="D1397" s="9"/>
      <c r="E1397" s="9"/>
      <c r="F1397" s="9"/>
      <c r="G1397" s="9"/>
      <c r="H1397" s="9"/>
      <c r="I1397" s="9"/>
    </row>
    <row r="1398" customFormat="false" ht="15.75" hidden="false" customHeight="false" outlineLevel="0" collapsed="false">
      <c r="A1398" s="9"/>
      <c r="B1398" s="9"/>
      <c r="C1398" s="9"/>
      <c r="D1398" s="9"/>
      <c r="E1398" s="9"/>
      <c r="F1398" s="9"/>
      <c r="G1398" s="9"/>
      <c r="H1398" s="9"/>
      <c r="I1398" s="9"/>
    </row>
    <row r="1399" customFormat="false" ht="15.75" hidden="false" customHeight="false" outlineLevel="0" collapsed="false">
      <c r="A1399" s="9"/>
      <c r="B1399" s="9"/>
      <c r="C1399" s="9"/>
      <c r="D1399" s="9"/>
      <c r="E1399" s="9"/>
      <c r="F1399" s="9"/>
      <c r="G1399" s="9"/>
      <c r="H1399" s="9"/>
      <c r="I1399" s="9"/>
    </row>
    <row r="1400" customFormat="false" ht="15.75" hidden="false" customHeight="false" outlineLevel="0" collapsed="false">
      <c r="A1400" s="9"/>
      <c r="B1400" s="9"/>
      <c r="C1400" s="9"/>
      <c r="D1400" s="9"/>
      <c r="E1400" s="9"/>
      <c r="F1400" s="9"/>
      <c r="G1400" s="9"/>
      <c r="H1400" s="9"/>
      <c r="I1400" s="9"/>
    </row>
    <row r="1401" customFormat="false" ht="15.75" hidden="false" customHeight="false" outlineLevel="0" collapsed="false">
      <c r="A1401" s="9"/>
      <c r="B1401" s="9"/>
      <c r="C1401" s="9"/>
      <c r="D1401" s="9"/>
      <c r="E1401" s="9"/>
      <c r="F1401" s="9"/>
      <c r="G1401" s="9"/>
      <c r="H1401" s="9"/>
      <c r="I1401" s="9"/>
    </row>
    <row r="1402" customFormat="false" ht="15.75" hidden="false" customHeight="false" outlineLevel="0" collapsed="false">
      <c r="A1402" s="9"/>
      <c r="B1402" s="9"/>
      <c r="C1402" s="9"/>
      <c r="D1402" s="9"/>
      <c r="E1402" s="9"/>
      <c r="F1402" s="9"/>
      <c r="G1402" s="9"/>
      <c r="H1402" s="9"/>
      <c r="I1402" s="9"/>
    </row>
    <row r="1403" customFormat="false" ht="15.75" hidden="false" customHeight="false" outlineLevel="0" collapsed="false">
      <c r="A1403" s="9"/>
      <c r="B1403" s="9"/>
      <c r="C1403" s="9"/>
      <c r="D1403" s="9"/>
      <c r="E1403" s="9"/>
      <c r="F1403" s="9"/>
      <c r="G1403" s="9"/>
      <c r="H1403" s="9"/>
      <c r="I1403" s="9"/>
    </row>
    <row r="1404" customFormat="false" ht="15.75" hidden="false" customHeight="false" outlineLevel="0" collapsed="false">
      <c r="A1404" s="9"/>
      <c r="B1404" s="9"/>
      <c r="C1404" s="9"/>
      <c r="D1404" s="9"/>
      <c r="E1404" s="9"/>
      <c r="F1404" s="9"/>
      <c r="G1404" s="9"/>
      <c r="H1404" s="9"/>
      <c r="I1404" s="9"/>
    </row>
    <row r="1405" customFormat="false" ht="15.75" hidden="false" customHeight="false" outlineLevel="0" collapsed="false">
      <c r="A1405" s="9"/>
      <c r="B1405" s="9"/>
      <c r="C1405" s="9"/>
      <c r="D1405" s="9"/>
      <c r="E1405" s="9"/>
      <c r="F1405" s="9"/>
      <c r="G1405" s="9"/>
      <c r="H1405" s="9"/>
      <c r="I1405" s="9"/>
    </row>
    <row r="1406" customFormat="false" ht="15.75" hidden="false" customHeight="false" outlineLevel="0" collapsed="false">
      <c r="A1406" s="9"/>
      <c r="B1406" s="9"/>
      <c r="C1406" s="9"/>
      <c r="D1406" s="9"/>
      <c r="E1406" s="9"/>
      <c r="F1406" s="9"/>
      <c r="G1406" s="9"/>
      <c r="H1406" s="9"/>
      <c r="I1406" s="9"/>
    </row>
    <row r="1407" customFormat="false" ht="15.75" hidden="false" customHeight="false" outlineLevel="0" collapsed="false">
      <c r="A1407" s="9"/>
      <c r="B1407" s="9"/>
      <c r="C1407" s="9"/>
      <c r="D1407" s="9"/>
      <c r="E1407" s="9"/>
      <c r="F1407" s="9"/>
      <c r="G1407" s="9"/>
      <c r="H1407" s="9"/>
      <c r="I1407" s="9"/>
    </row>
    <row r="1408" customFormat="false" ht="15.75" hidden="false" customHeight="false" outlineLevel="0" collapsed="false">
      <c r="A1408" s="9"/>
      <c r="B1408" s="9"/>
      <c r="C1408" s="9"/>
      <c r="D1408" s="9"/>
      <c r="E1408" s="9"/>
      <c r="F1408" s="9"/>
      <c r="G1408" s="9"/>
      <c r="H1408" s="9"/>
      <c r="I1408" s="9"/>
    </row>
    <row r="1409" customFormat="false" ht="15.75" hidden="false" customHeight="false" outlineLevel="0" collapsed="false">
      <c r="A1409" s="9"/>
      <c r="B1409" s="9"/>
      <c r="C1409" s="9"/>
      <c r="D1409" s="9"/>
      <c r="E1409" s="9"/>
      <c r="F1409" s="9"/>
      <c r="G1409" s="9"/>
      <c r="H1409" s="9"/>
      <c r="I1409" s="9"/>
    </row>
    <row r="1410" customFormat="false" ht="15.75" hidden="false" customHeight="false" outlineLevel="0" collapsed="false">
      <c r="A1410" s="9"/>
      <c r="B1410" s="9"/>
      <c r="C1410" s="9"/>
      <c r="D1410" s="9"/>
      <c r="E1410" s="9"/>
      <c r="F1410" s="9"/>
      <c r="G1410" s="9"/>
      <c r="H1410" s="9"/>
      <c r="I1410" s="9"/>
    </row>
    <row r="1411" customFormat="false" ht="15.75" hidden="false" customHeight="false" outlineLevel="0" collapsed="false">
      <c r="A1411" s="9"/>
      <c r="B1411" s="9"/>
      <c r="C1411" s="9"/>
      <c r="D1411" s="9"/>
      <c r="E1411" s="9"/>
      <c r="F1411" s="9"/>
      <c r="G1411" s="9"/>
      <c r="H1411" s="9"/>
      <c r="I1411" s="9"/>
    </row>
    <row r="1412" customFormat="false" ht="15.75" hidden="false" customHeight="false" outlineLevel="0" collapsed="false">
      <c r="A1412" s="9"/>
      <c r="B1412" s="9"/>
      <c r="C1412" s="9"/>
      <c r="D1412" s="9"/>
      <c r="E1412" s="9"/>
      <c r="F1412" s="9"/>
      <c r="G1412" s="9"/>
      <c r="H1412" s="9"/>
      <c r="I1412" s="9"/>
    </row>
    <row r="1413" customFormat="false" ht="15.75" hidden="false" customHeight="false" outlineLevel="0" collapsed="false">
      <c r="A1413" s="9"/>
      <c r="B1413" s="9"/>
      <c r="C1413" s="9"/>
      <c r="D1413" s="9"/>
      <c r="E1413" s="9"/>
      <c r="F1413" s="9"/>
      <c r="G1413" s="9"/>
      <c r="H1413" s="9"/>
      <c r="I1413" s="9"/>
    </row>
    <row r="1414" customFormat="false" ht="15.75" hidden="false" customHeight="false" outlineLevel="0" collapsed="false">
      <c r="A1414" s="9"/>
      <c r="B1414" s="9"/>
      <c r="C1414" s="9"/>
      <c r="D1414" s="9"/>
      <c r="E1414" s="9"/>
      <c r="F1414" s="9"/>
      <c r="G1414" s="9"/>
      <c r="H1414" s="9"/>
      <c r="I1414" s="9"/>
    </row>
    <row r="1415" customFormat="false" ht="15.75" hidden="false" customHeight="false" outlineLevel="0" collapsed="false">
      <c r="A1415" s="9"/>
      <c r="B1415" s="9"/>
      <c r="C1415" s="9"/>
      <c r="D1415" s="9"/>
      <c r="E1415" s="9"/>
      <c r="F1415" s="9"/>
      <c r="G1415" s="9"/>
      <c r="H1415" s="9"/>
      <c r="I1415" s="9"/>
    </row>
    <row r="1416" customFormat="false" ht="15.75" hidden="false" customHeight="false" outlineLevel="0" collapsed="false">
      <c r="A1416" s="9"/>
      <c r="B1416" s="9"/>
      <c r="C1416" s="9"/>
      <c r="D1416" s="9"/>
      <c r="E1416" s="9"/>
      <c r="F1416" s="9"/>
      <c r="G1416" s="9"/>
      <c r="H1416" s="9"/>
      <c r="I1416" s="9"/>
    </row>
    <row r="1417" customFormat="false" ht="15.75" hidden="false" customHeight="false" outlineLevel="0" collapsed="false">
      <c r="A1417" s="9"/>
      <c r="B1417" s="9"/>
      <c r="C1417" s="9"/>
      <c r="D1417" s="9"/>
      <c r="E1417" s="9"/>
      <c r="F1417" s="9"/>
      <c r="G1417" s="9"/>
      <c r="H1417" s="9"/>
      <c r="I1417" s="9"/>
    </row>
    <row r="1418" customFormat="false" ht="15.75" hidden="false" customHeight="false" outlineLevel="0" collapsed="false">
      <c r="A1418" s="9"/>
      <c r="B1418" s="9"/>
      <c r="C1418" s="9"/>
      <c r="D1418" s="9"/>
      <c r="E1418" s="9"/>
      <c r="F1418" s="9"/>
      <c r="G1418" s="9"/>
      <c r="H1418" s="9"/>
      <c r="I1418" s="9"/>
    </row>
    <row r="1419" customFormat="false" ht="15.75" hidden="false" customHeight="false" outlineLevel="0" collapsed="false">
      <c r="A1419" s="9"/>
      <c r="B1419" s="9"/>
      <c r="C1419" s="9"/>
      <c r="D1419" s="9"/>
      <c r="E1419" s="9"/>
      <c r="F1419" s="9"/>
      <c r="G1419" s="9"/>
      <c r="H1419" s="9"/>
      <c r="I1419" s="9"/>
    </row>
    <row r="1420" customFormat="false" ht="15.75" hidden="false" customHeight="false" outlineLevel="0" collapsed="false">
      <c r="A1420" s="9"/>
      <c r="B1420" s="9"/>
      <c r="C1420" s="9"/>
      <c r="D1420" s="9"/>
      <c r="E1420" s="9"/>
      <c r="F1420" s="9"/>
      <c r="G1420" s="9"/>
      <c r="H1420" s="9"/>
      <c r="I1420" s="9"/>
    </row>
    <row r="1421" customFormat="false" ht="15.75" hidden="false" customHeight="false" outlineLevel="0" collapsed="false">
      <c r="A1421" s="9"/>
      <c r="B1421" s="9"/>
      <c r="C1421" s="9"/>
      <c r="D1421" s="9"/>
      <c r="E1421" s="9"/>
      <c r="F1421" s="9"/>
      <c r="G1421" s="9"/>
      <c r="H1421" s="9"/>
      <c r="I1421" s="9"/>
    </row>
    <row r="1422" customFormat="false" ht="15.75" hidden="false" customHeight="false" outlineLevel="0" collapsed="false">
      <c r="A1422" s="9"/>
      <c r="B1422" s="9"/>
      <c r="C1422" s="9"/>
      <c r="D1422" s="9"/>
      <c r="E1422" s="9"/>
      <c r="F1422" s="9"/>
      <c r="G1422" s="9"/>
      <c r="H1422" s="9"/>
      <c r="I1422" s="9"/>
    </row>
    <row r="1423" customFormat="false" ht="15.75" hidden="false" customHeight="false" outlineLevel="0" collapsed="false">
      <c r="A1423" s="9"/>
      <c r="B1423" s="9"/>
      <c r="C1423" s="9"/>
      <c r="D1423" s="9"/>
      <c r="E1423" s="9"/>
      <c r="F1423" s="9"/>
      <c r="G1423" s="9"/>
      <c r="H1423" s="9"/>
      <c r="I1423" s="9"/>
    </row>
    <row r="1424" customFormat="false" ht="15.75" hidden="false" customHeight="false" outlineLevel="0" collapsed="false">
      <c r="A1424" s="9"/>
      <c r="B1424" s="9"/>
      <c r="C1424" s="9"/>
      <c r="D1424" s="9"/>
      <c r="E1424" s="9"/>
      <c r="F1424" s="9"/>
      <c r="G1424" s="9"/>
      <c r="H1424" s="9"/>
      <c r="I1424" s="9"/>
    </row>
    <row r="1425" customFormat="false" ht="15.75" hidden="false" customHeight="false" outlineLevel="0" collapsed="false">
      <c r="A1425" s="9"/>
      <c r="B1425" s="9"/>
      <c r="C1425" s="9"/>
      <c r="D1425" s="9"/>
      <c r="E1425" s="9"/>
      <c r="F1425" s="9"/>
      <c r="G1425" s="9"/>
      <c r="H1425" s="9"/>
      <c r="I1425" s="9"/>
    </row>
    <row r="1426" customFormat="false" ht="15.75" hidden="false" customHeight="false" outlineLevel="0" collapsed="false">
      <c r="A1426" s="9"/>
      <c r="B1426" s="9"/>
      <c r="C1426" s="9"/>
      <c r="D1426" s="9"/>
      <c r="E1426" s="9"/>
      <c r="F1426" s="9"/>
      <c r="G1426" s="9"/>
      <c r="H1426" s="9"/>
      <c r="I1426" s="9"/>
    </row>
    <row r="1427" customFormat="false" ht="15.75" hidden="false" customHeight="false" outlineLevel="0" collapsed="false">
      <c r="A1427" s="9"/>
      <c r="B1427" s="9"/>
      <c r="C1427" s="9"/>
      <c r="D1427" s="9"/>
      <c r="E1427" s="9"/>
      <c r="F1427" s="9"/>
      <c r="G1427" s="9"/>
      <c r="H1427" s="9"/>
      <c r="I1427" s="9"/>
    </row>
    <row r="1428" customFormat="false" ht="15.75" hidden="false" customHeight="false" outlineLevel="0" collapsed="false">
      <c r="A1428" s="9"/>
      <c r="B1428" s="9"/>
      <c r="C1428" s="9"/>
      <c r="D1428" s="9"/>
      <c r="E1428" s="9"/>
      <c r="F1428" s="9"/>
      <c r="G1428" s="9"/>
      <c r="H1428" s="9"/>
      <c r="I1428" s="9"/>
    </row>
    <row r="1429" customFormat="false" ht="15.75" hidden="false" customHeight="false" outlineLevel="0" collapsed="false">
      <c r="A1429" s="9"/>
      <c r="B1429" s="9"/>
      <c r="C1429" s="9"/>
      <c r="D1429" s="9"/>
      <c r="E1429" s="9"/>
      <c r="F1429" s="9"/>
      <c r="G1429" s="9"/>
      <c r="H1429" s="9"/>
      <c r="I1429" s="9"/>
    </row>
    <row r="1430" customFormat="false" ht="15.75" hidden="false" customHeight="false" outlineLevel="0" collapsed="false">
      <c r="A1430" s="9"/>
      <c r="B1430" s="9"/>
      <c r="C1430" s="9"/>
      <c r="D1430" s="9"/>
      <c r="E1430" s="9"/>
      <c r="F1430" s="9"/>
      <c r="G1430" s="9"/>
      <c r="H1430" s="9"/>
      <c r="I1430" s="9"/>
    </row>
    <row r="1431" customFormat="false" ht="15.75" hidden="false" customHeight="false" outlineLevel="0" collapsed="false">
      <c r="A1431" s="9"/>
      <c r="B1431" s="9"/>
      <c r="C1431" s="9"/>
      <c r="D1431" s="9"/>
      <c r="E1431" s="9"/>
      <c r="F1431" s="9"/>
      <c r="G1431" s="9"/>
      <c r="H1431" s="9"/>
      <c r="I1431" s="9"/>
    </row>
    <row r="1432" customFormat="false" ht="15.75" hidden="false" customHeight="false" outlineLevel="0" collapsed="false">
      <c r="A1432" s="9"/>
      <c r="B1432" s="9"/>
      <c r="C1432" s="9"/>
      <c r="D1432" s="9"/>
      <c r="E1432" s="9"/>
      <c r="F1432" s="9"/>
      <c r="G1432" s="9"/>
      <c r="H1432" s="9"/>
      <c r="I1432" s="9"/>
    </row>
    <row r="1433" customFormat="false" ht="15.75" hidden="false" customHeight="false" outlineLevel="0" collapsed="false">
      <c r="A1433" s="9"/>
      <c r="B1433" s="9"/>
      <c r="C1433" s="9"/>
      <c r="D1433" s="9"/>
      <c r="E1433" s="9"/>
      <c r="F1433" s="9"/>
      <c r="G1433" s="9"/>
      <c r="H1433" s="9"/>
      <c r="I1433" s="9"/>
    </row>
    <row r="1434" customFormat="false" ht="15.75" hidden="false" customHeight="false" outlineLevel="0" collapsed="false">
      <c r="A1434" s="9"/>
      <c r="B1434" s="9"/>
      <c r="C1434" s="9"/>
      <c r="D1434" s="9"/>
      <c r="E1434" s="9"/>
      <c r="F1434" s="9"/>
      <c r="G1434" s="9"/>
      <c r="H1434" s="9"/>
      <c r="I1434" s="9"/>
    </row>
    <row r="1435" customFormat="false" ht="15.75" hidden="false" customHeight="false" outlineLevel="0" collapsed="false">
      <c r="A1435" s="9"/>
      <c r="B1435" s="9"/>
      <c r="C1435" s="9"/>
      <c r="D1435" s="9"/>
      <c r="E1435" s="9"/>
      <c r="F1435" s="9"/>
      <c r="G1435" s="9"/>
      <c r="H1435" s="9"/>
      <c r="I1435" s="9"/>
    </row>
    <row r="1436" customFormat="false" ht="15.75" hidden="false" customHeight="false" outlineLevel="0" collapsed="false">
      <c r="A1436" s="9"/>
      <c r="B1436" s="9"/>
      <c r="C1436" s="9"/>
      <c r="D1436" s="9"/>
      <c r="E1436" s="9"/>
      <c r="F1436" s="9"/>
      <c r="G1436" s="9"/>
      <c r="H1436" s="9"/>
      <c r="I1436" s="9"/>
    </row>
    <row r="1437" customFormat="false" ht="15.75" hidden="false" customHeight="false" outlineLevel="0" collapsed="false">
      <c r="A1437" s="9"/>
      <c r="B1437" s="9"/>
      <c r="C1437" s="9"/>
      <c r="D1437" s="9"/>
      <c r="E1437" s="9"/>
      <c r="F1437" s="9"/>
      <c r="G1437" s="9"/>
      <c r="H1437" s="9"/>
      <c r="I1437" s="9"/>
    </row>
    <row r="1438" customFormat="false" ht="15.75" hidden="false" customHeight="false" outlineLevel="0" collapsed="false">
      <c r="A1438" s="9"/>
      <c r="B1438" s="9"/>
      <c r="C1438" s="9"/>
      <c r="D1438" s="9"/>
      <c r="E1438" s="9"/>
      <c r="F1438" s="9"/>
      <c r="G1438" s="9"/>
      <c r="H1438" s="9"/>
      <c r="I1438" s="9"/>
    </row>
    <row r="1439" customFormat="false" ht="15.75" hidden="false" customHeight="false" outlineLevel="0" collapsed="false">
      <c r="A1439" s="9"/>
      <c r="B1439" s="9"/>
      <c r="C1439" s="9"/>
      <c r="D1439" s="9"/>
      <c r="E1439" s="9"/>
      <c r="F1439" s="9"/>
      <c r="G1439" s="9"/>
      <c r="H1439" s="9"/>
      <c r="I1439" s="9"/>
    </row>
    <row r="1440" customFormat="false" ht="15.75" hidden="false" customHeight="false" outlineLevel="0" collapsed="false">
      <c r="A1440" s="9"/>
      <c r="B1440" s="9"/>
      <c r="C1440" s="9"/>
      <c r="D1440" s="9"/>
      <c r="E1440" s="9"/>
      <c r="F1440" s="9"/>
      <c r="G1440" s="9"/>
      <c r="H1440" s="9"/>
      <c r="I1440" s="9"/>
    </row>
    <row r="1441" customFormat="false" ht="15.75" hidden="false" customHeight="false" outlineLevel="0" collapsed="false">
      <c r="A1441" s="9"/>
      <c r="B1441" s="9"/>
      <c r="C1441" s="9"/>
      <c r="D1441" s="9"/>
      <c r="E1441" s="9"/>
      <c r="F1441" s="9"/>
      <c r="G1441" s="9"/>
      <c r="H1441" s="9"/>
      <c r="I1441" s="9"/>
    </row>
    <row r="1442" customFormat="false" ht="15.75" hidden="false" customHeight="false" outlineLevel="0" collapsed="false">
      <c r="A1442" s="9"/>
      <c r="B1442" s="9"/>
      <c r="C1442" s="9"/>
      <c r="D1442" s="9"/>
      <c r="E1442" s="9"/>
      <c r="F1442" s="9"/>
      <c r="G1442" s="9"/>
      <c r="H1442" s="9"/>
      <c r="I1442" s="9"/>
    </row>
    <row r="1443" customFormat="false" ht="15.75" hidden="false" customHeight="false" outlineLevel="0" collapsed="false">
      <c r="A1443" s="9"/>
      <c r="B1443" s="9"/>
      <c r="C1443" s="9"/>
      <c r="D1443" s="9"/>
      <c r="E1443" s="9"/>
      <c r="F1443" s="9"/>
      <c r="G1443" s="9"/>
      <c r="H1443" s="9"/>
      <c r="I1443" s="9"/>
    </row>
    <row r="1444" customFormat="false" ht="15.75" hidden="false" customHeight="false" outlineLevel="0" collapsed="false">
      <c r="A1444" s="9"/>
      <c r="B1444" s="9"/>
      <c r="C1444" s="9"/>
      <c r="D1444" s="9"/>
      <c r="E1444" s="9"/>
      <c r="F1444" s="9"/>
      <c r="G1444" s="9"/>
      <c r="H1444" s="9"/>
      <c r="I1444" s="9"/>
    </row>
    <row r="1445" customFormat="false" ht="15.75" hidden="false" customHeight="false" outlineLevel="0" collapsed="false">
      <c r="A1445" s="9"/>
      <c r="B1445" s="9"/>
      <c r="C1445" s="9"/>
      <c r="D1445" s="9"/>
      <c r="E1445" s="9"/>
      <c r="F1445" s="9"/>
      <c r="G1445" s="9"/>
      <c r="H1445" s="9"/>
      <c r="I1445" s="9"/>
    </row>
    <row r="1446" customFormat="false" ht="15.75" hidden="false" customHeight="false" outlineLevel="0" collapsed="false">
      <c r="A1446" s="9"/>
      <c r="B1446" s="9"/>
      <c r="C1446" s="9"/>
      <c r="D1446" s="9"/>
      <c r="E1446" s="9"/>
      <c r="F1446" s="9"/>
      <c r="G1446" s="9"/>
      <c r="H1446" s="9"/>
      <c r="I1446" s="9"/>
    </row>
    <row r="1447" customFormat="false" ht="15.75" hidden="false" customHeight="false" outlineLevel="0" collapsed="false">
      <c r="A1447" s="9"/>
      <c r="B1447" s="9"/>
      <c r="C1447" s="9"/>
      <c r="D1447" s="9"/>
      <c r="E1447" s="9"/>
      <c r="F1447" s="9"/>
      <c r="G1447" s="9"/>
      <c r="H1447" s="9"/>
      <c r="I1447" s="9"/>
    </row>
    <row r="1448" customFormat="false" ht="15.75" hidden="false" customHeight="false" outlineLevel="0" collapsed="false">
      <c r="A1448" s="9"/>
      <c r="B1448" s="9"/>
      <c r="C1448" s="9"/>
      <c r="D1448" s="9"/>
      <c r="E1448" s="9"/>
      <c r="F1448" s="9"/>
      <c r="G1448" s="9"/>
      <c r="H1448" s="9"/>
      <c r="I1448" s="9"/>
    </row>
    <row r="1449" customFormat="false" ht="15.75" hidden="false" customHeight="false" outlineLevel="0" collapsed="false">
      <c r="A1449" s="9"/>
      <c r="B1449" s="9"/>
      <c r="C1449" s="9"/>
      <c r="D1449" s="9"/>
      <c r="E1449" s="9"/>
      <c r="F1449" s="9"/>
      <c r="G1449" s="9"/>
      <c r="H1449" s="9"/>
      <c r="I1449" s="9"/>
    </row>
    <row r="1450" customFormat="false" ht="15.75" hidden="false" customHeight="false" outlineLevel="0" collapsed="false">
      <c r="A1450" s="9"/>
      <c r="B1450" s="9"/>
      <c r="C1450" s="9"/>
      <c r="D1450" s="9"/>
      <c r="E1450" s="9"/>
      <c r="F1450" s="9"/>
      <c r="G1450" s="9"/>
      <c r="H1450" s="9"/>
      <c r="I1450" s="9"/>
    </row>
    <row r="1451" customFormat="false" ht="15.75" hidden="false" customHeight="false" outlineLevel="0" collapsed="false">
      <c r="A1451" s="9"/>
      <c r="B1451" s="9"/>
      <c r="C1451" s="9"/>
      <c r="D1451" s="9"/>
      <c r="E1451" s="9"/>
      <c r="F1451" s="9"/>
      <c r="G1451" s="9"/>
      <c r="H1451" s="9"/>
      <c r="I1451" s="9"/>
    </row>
    <row r="1452" customFormat="false" ht="15.75" hidden="false" customHeight="false" outlineLevel="0" collapsed="false">
      <c r="A1452" s="9"/>
      <c r="B1452" s="9"/>
      <c r="C1452" s="9"/>
      <c r="D1452" s="9"/>
      <c r="E1452" s="9"/>
      <c r="F1452" s="9"/>
      <c r="G1452" s="9"/>
      <c r="H1452" s="9"/>
      <c r="I1452" s="9"/>
    </row>
    <row r="1453" customFormat="false" ht="15.75" hidden="false" customHeight="false" outlineLevel="0" collapsed="false">
      <c r="A1453" s="9"/>
      <c r="B1453" s="9"/>
      <c r="C1453" s="9"/>
      <c r="D1453" s="9"/>
      <c r="E1453" s="9"/>
      <c r="F1453" s="9"/>
      <c r="G1453" s="9"/>
      <c r="H1453" s="9"/>
      <c r="I1453" s="9"/>
    </row>
    <row r="1454" customFormat="false" ht="15.75" hidden="false" customHeight="false" outlineLevel="0" collapsed="false">
      <c r="A1454" s="9"/>
      <c r="B1454" s="9"/>
      <c r="C1454" s="9"/>
      <c r="D1454" s="9"/>
      <c r="E1454" s="9"/>
      <c r="F1454" s="9"/>
      <c r="G1454" s="9"/>
      <c r="H1454" s="9"/>
      <c r="I1454" s="9"/>
    </row>
    <row r="1455" customFormat="false" ht="15.75" hidden="false" customHeight="false" outlineLevel="0" collapsed="false">
      <c r="A1455" s="9"/>
      <c r="B1455" s="9"/>
      <c r="C1455" s="9"/>
      <c r="D1455" s="9"/>
      <c r="E1455" s="9"/>
      <c r="F1455" s="9"/>
      <c r="G1455" s="9"/>
      <c r="H1455" s="9"/>
      <c r="I1455" s="9"/>
    </row>
    <row r="1456" customFormat="false" ht="15.75" hidden="false" customHeight="false" outlineLevel="0" collapsed="false">
      <c r="A1456" s="9"/>
      <c r="B1456" s="9"/>
      <c r="C1456" s="9"/>
      <c r="D1456" s="9"/>
      <c r="E1456" s="9"/>
      <c r="F1456" s="9"/>
      <c r="G1456" s="9"/>
      <c r="H1456" s="9"/>
      <c r="I1456" s="9"/>
    </row>
    <row r="1457" customFormat="false" ht="15.75" hidden="false" customHeight="false" outlineLevel="0" collapsed="false">
      <c r="A1457" s="9"/>
      <c r="B1457" s="9"/>
      <c r="C1457" s="9"/>
      <c r="D1457" s="9"/>
      <c r="E1457" s="9"/>
      <c r="F1457" s="9"/>
      <c r="G1457" s="9"/>
      <c r="H1457" s="9"/>
      <c r="I1457" s="9"/>
    </row>
    <row r="1458" customFormat="false" ht="15.75" hidden="false" customHeight="false" outlineLevel="0" collapsed="false">
      <c r="A1458" s="9"/>
      <c r="B1458" s="9"/>
      <c r="C1458" s="9"/>
      <c r="D1458" s="9"/>
      <c r="E1458" s="9"/>
      <c r="F1458" s="9"/>
      <c r="G1458" s="9"/>
      <c r="H1458" s="9"/>
      <c r="I1458" s="9"/>
    </row>
    <row r="1459" customFormat="false" ht="15.75" hidden="false" customHeight="false" outlineLevel="0" collapsed="false">
      <c r="A1459" s="9"/>
      <c r="B1459" s="9"/>
      <c r="C1459" s="9"/>
      <c r="D1459" s="9"/>
      <c r="E1459" s="9"/>
      <c r="F1459" s="9"/>
      <c r="G1459" s="9"/>
      <c r="H1459" s="9"/>
      <c r="I1459" s="9"/>
    </row>
    <row r="1460" customFormat="false" ht="15.75" hidden="false" customHeight="false" outlineLevel="0" collapsed="false">
      <c r="A1460" s="9"/>
      <c r="B1460" s="9"/>
      <c r="C1460" s="9"/>
      <c r="D1460" s="9"/>
      <c r="E1460" s="9"/>
      <c r="F1460" s="9"/>
      <c r="G1460" s="9"/>
      <c r="H1460" s="9"/>
      <c r="I1460" s="9"/>
    </row>
    <row r="1461" customFormat="false" ht="15.75" hidden="false" customHeight="false" outlineLevel="0" collapsed="false">
      <c r="A1461" s="9"/>
      <c r="B1461" s="9"/>
      <c r="C1461" s="9"/>
      <c r="D1461" s="9"/>
      <c r="E1461" s="9"/>
      <c r="F1461" s="9"/>
      <c r="G1461" s="9"/>
      <c r="H1461" s="9"/>
      <c r="I1461" s="9"/>
    </row>
    <row r="1462" customFormat="false" ht="15.75" hidden="false" customHeight="false" outlineLevel="0" collapsed="false">
      <c r="A1462" s="9"/>
      <c r="B1462" s="9"/>
      <c r="C1462" s="9"/>
      <c r="D1462" s="9"/>
      <c r="E1462" s="9"/>
      <c r="F1462" s="9"/>
      <c r="G1462" s="9"/>
      <c r="H1462" s="9"/>
      <c r="I1462" s="9"/>
    </row>
    <row r="1463" customFormat="false" ht="15.75" hidden="false" customHeight="false" outlineLevel="0" collapsed="false">
      <c r="A1463" s="9"/>
      <c r="B1463" s="9"/>
      <c r="C1463" s="9"/>
      <c r="D1463" s="9"/>
      <c r="E1463" s="9"/>
      <c r="F1463" s="9"/>
      <c r="G1463" s="9"/>
      <c r="H1463" s="9"/>
      <c r="I1463" s="9"/>
    </row>
    <row r="1464" customFormat="false" ht="15.75" hidden="false" customHeight="false" outlineLevel="0" collapsed="false">
      <c r="A1464" s="9"/>
      <c r="B1464" s="9"/>
      <c r="C1464" s="9"/>
      <c r="D1464" s="9"/>
      <c r="E1464" s="9"/>
      <c r="F1464" s="9"/>
      <c r="G1464" s="9"/>
      <c r="H1464" s="9"/>
      <c r="I1464" s="9"/>
    </row>
    <row r="1465" customFormat="false" ht="15.75" hidden="false" customHeight="false" outlineLevel="0" collapsed="false">
      <c r="A1465" s="9"/>
      <c r="B1465" s="9"/>
      <c r="C1465" s="9"/>
      <c r="D1465" s="9"/>
      <c r="E1465" s="9"/>
      <c r="F1465" s="9"/>
      <c r="G1465" s="9"/>
      <c r="H1465" s="9"/>
      <c r="I1465" s="9"/>
    </row>
    <row r="1466" customFormat="false" ht="15.75" hidden="false" customHeight="false" outlineLevel="0" collapsed="false">
      <c r="A1466" s="9"/>
      <c r="B1466" s="9"/>
      <c r="C1466" s="9"/>
      <c r="D1466" s="9"/>
      <c r="E1466" s="9"/>
      <c r="F1466" s="9"/>
      <c r="G1466" s="9"/>
      <c r="H1466" s="9"/>
      <c r="I1466" s="9"/>
    </row>
    <row r="1467" customFormat="false" ht="15.75" hidden="false" customHeight="false" outlineLevel="0" collapsed="false">
      <c r="A1467" s="9"/>
      <c r="B1467" s="9"/>
      <c r="C1467" s="9"/>
      <c r="D1467" s="9"/>
      <c r="E1467" s="9"/>
      <c r="F1467" s="9"/>
      <c r="G1467" s="9"/>
      <c r="H1467" s="9"/>
      <c r="I1467" s="9"/>
    </row>
    <row r="1468" customFormat="false" ht="15.75" hidden="false" customHeight="false" outlineLevel="0" collapsed="false">
      <c r="A1468" s="9"/>
      <c r="B1468" s="9"/>
      <c r="C1468" s="9"/>
      <c r="D1468" s="9"/>
      <c r="E1468" s="9"/>
      <c r="F1468" s="9"/>
      <c r="G1468" s="9"/>
      <c r="H1468" s="9"/>
      <c r="I1468" s="9"/>
    </row>
    <row r="1469" customFormat="false" ht="15.75" hidden="false" customHeight="false" outlineLevel="0" collapsed="false">
      <c r="A1469" s="9"/>
      <c r="B1469" s="9"/>
      <c r="C1469" s="9"/>
      <c r="D1469" s="9"/>
      <c r="E1469" s="9"/>
      <c r="F1469" s="9"/>
      <c r="G1469" s="9"/>
      <c r="H1469" s="9"/>
      <c r="I1469" s="9"/>
    </row>
    <row r="1470" customFormat="false" ht="15.75" hidden="false" customHeight="false" outlineLevel="0" collapsed="false">
      <c r="A1470" s="9"/>
      <c r="B1470" s="9"/>
      <c r="C1470" s="9"/>
      <c r="D1470" s="9"/>
      <c r="E1470" s="9"/>
      <c r="F1470" s="9"/>
      <c r="G1470" s="9"/>
      <c r="H1470" s="9"/>
      <c r="I1470" s="9"/>
    </row>
    <row r="1471" customFormat="false" ht="15.75" hidden="false" customHeight="false" outlineLevel="0" collapsed="false">
      <c r="A1471" s="9"/>
      <c r="B1471" s="9"/>
      <c r="C1471" s="9"/>
      <c r="D1471" s="9"/>
      <c r="E1471" s="9"/>
      <c r="F1471" s="9"/>
      <c r="G1471" s="9"/>
      <c r="H1471" s="9"/>
      <c r="I1471" s="9"/>
    </row>
    <row r="1472" customFormat="false" ht="15.75" hidden="false" customHeight="false" outlineLevel="0" collapsed="false">
      <c r="A1472" s="9"/>
      <c r="B1472" s="9"/>
      <c r="C1472" s="9"/>
      <c r="D1472" s="9"/>
      <c r="E1472" s="9"/>
      <c r="F1472" s="9"/>
      <c r="G1472" s="9"/>
      <c r="H1472" s="9"/>
      <c r="I1472" s="9"/>
    </row>
    <row r="1473" customFormat="false" ht="15.75" hidden="false" customHeight="false" outlineLevel="0" collapsed="false">
      <c r="A1473" s="9"/>
      <c r="B1473" s="9"/>
      <c r="C1473" s="9"/>
      <c r="D1473" s="9"/>
      <c r="E1473" s="9"/>
      <c r="F1473" s="9"/>
      <c r="G1473" s="9"/>
      <c r="H1473" s="9"/>
      <c r="I1473" s="9"/>
    </row>
    <row r="1474" customFormat="false" ht="15.75" hidden="false" customHeight="false" outlineLevel="0" collapsed="false">
      <c r="A1474" s="9"/>
      <c r="B1474" s="9"/>
      <c r="C1474" s="9"/>
      <c r="D1474" s="9"/>
      <c r="E1474" s="9"/>
      <c r="F1474" s="9"/>
      <c r="G1474" s="9"/>
      <c r="H1474" s="9"/>
      <c r="I1474" s="9"/>
    </row>
    <row r="1475" customFormat="false" ht="15.75" hidden="false" customHeight="false" outlineLevel="0" collapsed="false">
      <c r="A1475" s="9"/>
      <c r="B1475" s="9"/>
      <c r="C1475" s="9"/>
      <c r="D1475" s="9"/>
      <c r="E1475" s="9"/>
      <c r="F1475" s="9"/>
      <c r="G1475" s="9"/>
      <c r="H1475" s="9"/>
      <c r="I1475" s="9"/>
    </row>
    <row r="1476" customFormat="false" ht="15.75" hidden="false" customHeight="false" outlineLevel="0" collapsed="false">
      <c r="A1476" s="9"/>
      <c r="B1476" s="9"/>
      <c r="C1476" s="9"/>
      <c r="D1476" s="9"/>
      <c r="E1476" s="9"/>
      <c r="F1476" s="9"/>
      <c r="G1476" s="9"/>
      <c r="H1476" s="9"/>
      <c r="I1476" s="9"/>
    </row>
    <row r="1477" customFormat="false" ht="15.75" hidden="false" customHeight="false" outlineLevel="0" collapsed="false">
      <c r="A1477" s="9"/>
      <c r="B1477" s="9"/>
      <c r="C1477" s="9"/>
      <c r="D1477" s="9"/>
      <c r="E1477" s="9"/>
      <c r="F1477" s="9"/>
      <c r="G1477" s="9"/>
      <c r="H1477" s="9"/>
      <c r="I1477" s="9"/>
    </row>
    <row r="1478" customFormat="false" ht="15.75" hidden="false" customHeight="false" outlineLevel="0" collapsed="false">
      <c r="A1478" s="9"/>
      <c r="B1478" s="9"/>
      <c r="C1478" s="9"/>
      <c r="D1478" s="9"/>
      <c r="E1478" s="9"/>
      <c r="F1478" s="9"/>
      <c r="G1478" s="9"/>
      <c r="H1478" s="9"/>
      <c r="I1478" s="9"/>
    </row>
    <row r="1479" customFormat="false" ht="15.75" hidden="false" customHeight="false" outlineLevel="0" collapsed="false">
      <c r="A1479" s="9"/>
      <c r="B1479" s="9"/>
      <c r="C1479" s="9"/>
      <c r="D1479" s="9"/>
      <c r="E1479" s="9"/>
      <c r="F1479" s="9"/>
      <c r="G1479" s="9"/>
      <c r="H1479" s="9"/>
      <c r="I1479" s="9"/>
    </row>
    <row r="1480" customFormat="false" ht="15.75" hidden="false" customHeight="false" outlineLevel="0" collapsed="false">
      <c r="A1480" s="9"/>
      <c r="B1480" s="9"/>
      <c r="C1480" s="9"/>
      <c r="D1480" s="9"/>
      <c r="E1480" s="9"/>
      <c r="F1480" s="9"/>
      <c r="G1480" s="9"/>
      <c r="H1480" s="9"/>
      <c r="I1480" s="9"/>
    </row>
    <row r="1481" customFormat="false" ht="15.75" hidden="false" customHeight="false" outlineLevel="0" collapsed="false">
      <c r="A1481" s="9"/>
      <c r="B1481" s="9"/>
      <c r="C1481" s="9"/>
      <c r="D1481" s="9"/>
      <c r="E1481" s="9"/>
      <c r="F1481" s="9"/>
      <c r="G1481" s="9"/>
      <c r="H1481" s="9"/>
      <c r="I1481" s="9"/>
    </row>
    <row r="1482" customFormat="false" ht="15.75" hidden="false" customHeight="false" outlineLevel="0" collapsed="false">
      <c r="A1482" s="9"/>
      <c r="B1482" s="9"/>
      <c r="C1482" s="9"/>
      <c r="D1482" s="9"/>
      <c r="E1482" s="9"/>
      <c r="F1482" s="9"/>
      <c r="G1482" s="9"/>
      <c r="H1482" s="9"/>
      <c r="I1482" s="9"/>
    </row>
    <row r="1483" customFormat="false" ht="15.75" hidden="false" customHeight="false" outlineLevel="0" collapsed="false">
      <c r="A1483" s="9"/>
      <c r="B1483" s="9"/>
      <c r="C1483" s="9"/>
      <c r="D1483" s="9"/>
      <c r="E1483" s="9"/>
      <c r="F1483" s="9"/>
      <c r="G1483" s="9"/>
      <c r="H1483" s="9"/>
      <c r="I1483" s="9"/>
    </row>
    <row r="1484" customFormat="false" ht="15.75" hidden="false" customHeight="false" outlineLevel="0" collapsed="false">
      <c r="A1484" s="9"/>
      <c r="B1484" s="9"/>
      <c r="C1484" s="9"/>
      <c r="D1484" s="9"/>
      <c r="E1484" s="9"/>
      <c r="F1484" s="9"/>
      <c r="G1484" s="9"/>
      <c r="H1484" s="9"/>
      <c r="I1484" s="9"/>
    </row>
    <row r="1485" customFormat="false" ht="15.75" hidden="false" customHeight="false" outlineLevel="0" collapsed="false">
      <c r="A1485" s="9"/>
      <c r="B1485" s="9"/>
      <c r="C1485" s="9"/>
      <c r="D1485" s="9"/>
      <c r="E1485" s="9"/>
      <c r="F1485" s="9"/>
      <c r="G1485" s="9"/>
      <c r="H1485" s="9"/>
      <c r="I1485" s="9"/>
    </row>
    <row r="1486" customFormat="false" ht="15.75" hidden="false" customHeight="false" outlineLevel="0" collapsed="false">
      <c r="A1486" s="9"/>
      <c r="B1486" s="9"/>
      <c r="C1486" s="9"/>
      <c r="D1486" s="9"/>
      <c r="E1486" s="9"/>
      <c r="F1486" s="9"/>
      <c r="G1486" s="9"/>
      <c r="H1486" s="9"/>
      <c r="I1486" s="9"/>
    </row>
    <row r="1487" customFormat="false" ht="15.75" hidden="false" customHeight="false" outlineLevel="0" collapsed="false">
      <c r="A1487" s="9"/>
      <c r="B1487" s="9"/>
      <c r="C1487" s="9"/>
      <c r="D1487" s="9"/>
      <c r="E1487" s="9"/>
      <c r="F1487" s="9"/>
      <c r="G1487" s="9"/>
      <c r="H1487" s="9"/>
      <c r="I1487" s="9"/>
    </row>
    <row r="1488" customFormat="false" ht="15.75" hidden="false" customHeight="false" outlineLevel="0" collapsed="false">
      <c r="A1488" s="9"/>
      <c r="B1488" s="9"/>
      <c r="C1488" s="9"/>
      <c r="D1488" s="9"/>
      <c r="E1488" s="9"/>
      <c r="F1488" s="9"/>
      <c r="G1488" s="9"/>
      <c r="H1488" s="9"/>
      <c r="I1488" s="9"/>
    </row>
    <row r="1489" customFormat="false" ht="15.75" hidden="false" customHeight="false" outlineLevel="0" collapsed="false">
      <c r="A1489" s="9"/>
      <c r="B1489" s="9"/>
      <c r="C1489" s="9"/>
      <c r="D1489" s="9"/>
      <c r="E1489" s="9"/>
      <c r="F1489" s="9"/>
      <c r="G1489" s="9"/>
      <c r="H1489" s="9"/>
      <c r="I1489" s="9"/>
    </row>
    <row r="1490" customFormat="false" ht="15.75" hidden="false" customHeight="false" outlineLevel="0" collapsed="false">
      <c r="A1490" s="9"/>
      <c r="B1490" s="9"/>
      <c r="C1490" s="9"/>
      <c r="D1490" s="9"/>
      <c r="E1490" s="9"/>
      <c r="F1490" s="9"/>
      <c r="G1490" s="9"/>
      <c r="H1490" s="9"/>
      <c r="I1490" s="9"/>
    </row>
    <row r="1491" customFormat="false" ht="15.75" hidden="false" customHeight="false" outlineLevel="0" collapsed="false">
      <c r="A1491" s="9"/>
      <c r="B1491" s="9"/>
      <c r="C1491" s="9"/>
      <c r="D1491" s="9"/>
      <c r="E1491" s="9"/>
      <c r="F1491" s="9"/>
      <c r="G1491" s="9"/>
      <c r="H1491" s="9"/>
      <c r="I1491" s="9"/>
    </row>
    <row r="1492" customFormat="false" ht="15.75" hidden="false" customHeight="false" outlineLevel="0" collapsed="false">
      <c r="A1492" s="9"/>
      <c r="B1492" s="9"/>
      <c r="C1492" s="9"/>
      <c r="D1492" s="9"/>
      <c r="E1492" s="9"/>
      <c r="F1492" s="9"/>
      <c r="G1492" s="9"/>
      <c r="H1492" s="9"/>
      <c r="I1492" s="9"/>
    </row>
    <row r="1493" customFormat="false" ht="15.75" hidden="false" customHeight="false" outlineLevel="0" collapsed="false">
      <c r="A1493" s="9"/>
      <c r="B1493" s="9"/>
      <c r="C1493" s="9"/>
      <c r="D1493" s="9"/>
      <c r="E1493" s="9"/>
      <c r="F1493" s="9"/>
      <c r="G1493" s="9"/>
      <c r="H1493" s="9"/>
      <c r="I1493" s="9"/>
    </row>
    <row r="1494" customFormat="false" ht="15.75" hidden="false" customHeight="false" outlineLevel="0" collapsed="false">
      <c r="A1494" s="9"/>
      <c r="B1494" s="9"/>
      <c r="C1494" s="9"/>
      <c r="D1494" s="9"/>
      <c r="E1494" s="9"/>
      <c r="F1494" s="9"/>
      <c r="G1494" s="9"/>
      <c r="H1494" s="9"/>
      <c r="I1494" s="9"/>
    </row>
    <row r="1495" customFormat="false" ht="15.75" hidden="false" customHeight="false" outlineLevel="0" collapsed="false">
      <c r="A1495" s="9"/>
      <c r="B1495" s="9"/>
      <c r="C1495" s="9"/>
      <c r="D1495" s="9"/>
      <c r="E1495" s="9"/>
      <c r="F1495" s="9"/>
      <c r="G1495" s="9"/>
      <c r="H1495" s="9"/>
      <c r="I1495" s="9"/>
    </row>
    <row r="1496" customFormat="false" ht="15.75" hidden="false" customHeight="false" outlineLevel="0" collapsed="false">
      <c r="A1496" s="9"/>
      <c r="B1496" s="9"/>
      <c r="C1496" s="9"/>
      <c r="D1496" s="9"/>
      <c r="E1496" s="9"/>
      <c r="F1496" s="9"/>
      <c r="G1496" s="9"/>
      <c r="H1496" s="9"/>
      <c r="I1496" s="9"/>
    </row>
    <row r="1497" customFormat="false" ht="15.75" hidden="false" customHeight="false" outlineLevel="0" collapsed="false">
      <c r="A1497" s="9"/>
      <c r="B1497" s="9"/>
      <c r="C1497" s="9"/>
      <c r="D1497" s="9"/>
      <c r="E1497" s="9"/>
      <c r="F1497" s="9"/>
      <c r="G1497" s="9"/>
      <c r="H1497" s="9"/>
      <c r="I1497" s="9"/>
    </row>
    <row r="1498" customFormat="false" ht="15.75" hidden="false" customHeight="false" outlineLevel="0" collapsed="false">
      <c r="A1498" s="9"/>
      <c r="B1498" s="9"/>
      <c r="C1498" s="9"/>
      <c r="D1498" s="9"/>
      <c r="E1498" s="9"/>
      <c r="F1498" s="9"/>
      <c r="G1498" s="9"/>
      <c r="H1498" s="9"/>
      <c r="I1498" s="9"/>
    </row>
    <row r="1499" customFormat="false" ht="15.75" hidden="false" customHeight="false" outlineLevel="0" collapsed="false">
      <c r="A1499" s="9"/>
      <c r="B1499" s="9"/>
      <c r="C1499" s="9"/>
      <c r="D1499" s="9"/>
      <c r="E1499" s="9"/>
      <c r="F1499" s="9"/>
      <c r="G1499" s="9"/>
      <c r="H1499" s="9"/>
      <c r="I1499" s="9"/>
    </row>
    <row r="1500" customFormat="false" ht="15.75" hidden="false" customHeight="false" outlineLevel="0" collapsed="false">
      <c r="A1500" s="9"/>
      <c r="B1500" s="9"/>
      <c r="C1500" s="9"/>
      <c r="D1500" s="9"/>
      <c r="E1500" s="9"/>
      <c r="F1500" s="9"/>
      <c r="G1500" s="9"/>
      <c r="H1500" s="9"/>
      <c r="I1500" s="9"/>
    </row>
    <row r="1501" customFormat="false" ht="15.75" hidden="false" customHeight="false" outlineLevel="0" collapsed="false">
      <c r="A1501" s="9"/>
      <c r="B1501" s="9"/>
      <c r="C1501" s="9"/>
      <c r="D1501" s="9"/>
      <c r="E1501" s="9"/>
      <c r="F1501" s="9"/>
      <c r="G1501" s="9"/>
      <c r="H1501" s="9"/>
      <c r="I1501" s="9"/>
    </row>
    <row r="1502" customFormat="false" ht="15.75" hidden="false" customHeight="false" outlineLevel="0" collapsed="false">
      <c r="A1502" s="9"/>
      <c r="B1502" s="9"/>
      <c r="C1502" s="9"/>
      <c r="D1502" s="9"/>
      <c r="E1502" s="9"/>
      <c r="F1502" s="9"/>
      <c r="G1502" s="9"/>
      <c r="H1502" s="9"/>
      <c r="I1502" s="9"/>
    </row>
    <row r="1503" customFormat="false" ht="15.75" hidden="false" customHeight="false" outlineLevel="0" collapsed="false">
      <c r="A1503" s="9"/>
      <c r="B1503" s="9"/>
      <c r="C1503" s="9"/>
      <c r="D1503" s="9"/>
      <c r="E1503" s="9"/>
      <c r="F1503" s="9"/>
      <c r="G1503" s="9"/>
      <c r="H1503" s="9"/>
      <c r="I1503" s="9"/>
    </row>
    <row r="1504" customFormat="false" ht="15.75" hidden="false" customHeight="false" outlineLevel="0" collapsed="false">
      <c r="A1504" s="9"/>
      <c r="B1504" s="9"/>
      <c r="C1504" s="9"/>
      <c r="D1504" s="9"/>
      <c r="E1504" s="9"/>
      <c r="F1504" s="9"/>
      <c r="G1504" s="9"/>
      <c r="H1504" s="9"/>
      <c r="I1504" s="9"/>
    </row>
    <row r="1505" customFormat="false" ht="15.75" hidden="false" customHeight="false" outlineLevel="0" collapsed="false">
      <c r="A1505" s="9"/>
      <c r="B1505" s="9"/>
      <c r="C1505" s="9"/>
      <c r="D1505" s="9"/>
      <c r="E1505" s="9"/>
      <c r="F1505" s="9"/>
      <c r="G1505" s="9"/>
      <c r="H1505" s="9"/>
      <c r="I1505" s="9"/>
    </row>
    <row r="1506" customFormat="false" ht="15.75" hidden="false" customHeight="false" outlineLevel="0" collapsed="false">
      <c r="A1506" s="9"/>
      <c r="B1506" s="9"/>
      <c r="C1506" s="9"/>
      <c r="D1506" s="9"/>
      <c r="E1506" s="9"/>
      <c r="F1506" s="9"/>
      <c r="G1506" s="9"/>
      <c r="H1506" s="9"/>
      <c r="I1506" s="9"/>
    </row>
    <row r="1507" customFormat="false" ht="15.75" hidden="false" customHeight="false" outlineLevel="0" collapsed="false">
      <c r="A1507" s="9"/>
      <c r="B1507" s="9"/>
      <c r="C1507" s="9"/>
      <c r="D1507" s="9"/>
      <c r="E1507" s="9"/>
      <c r="F1507" s="9"/>
      <c r="G1507" s="9"/>
      <c r="H1507" s="9"/>
      <c r="I1507" s="9"/>
    </row>
    <row r="1508" customFormat="false" ht="15.75" hidden="false" customHeight="false" outlineLevel="0" collapsed="false">
      <c r="A1508" s="9"/>
      <c r="B1508" s="9"/>
      <c r="C1508" s="9"/>
      <c r="D1508" s="9"/>
      <c r="E1508" s="9"/>
      <c r="F1508" s="9"/>
      <c r="G1508" s="9"/>
      <c r="H1508" s="9"/>
      <c r="I1508" s="9"/>
    </row>
    <row r="1509" customFormat="false" ht="15.75" hidden="false" customHeight="false" outlineLevel="0" collapsed="false">
      <c r="A1509" s="9"/>
      <c r="B1509" s="9"/>
      <c r="C1509" s="9"/>
      <c r="D1509" s="9"/>
      <c r="E1509" s="9"/>
      <c r="F1509" s="9"/>
      <c r="G1509" s="9"/>
      <c r="H1509" s="9"/>
      <c r="I1509" s="9"/>
    </row>
    <row r="1510" customFormat="false" ht="15.75" hidden="false" customHeight="false" outlineLevel="0" collapsed="false">
      <c r="A1510" s="9"/>
      <c r="B1510" s="9"/>
      <c r="C1510" s="9"/>
      <c r="D1510" s="9"/>
      <c r="E1510" s="9"/>
      <c r="F1510" s="9"/>
      <c r="G1510" s="9"/>
      <c r="H1510" s="9"/>
      <c r="I1510" s="9"/>
    </row>
    <row r="1511" customFormat="false" ht="15.75" hidden="false" customHeight="false" outlineLevel="0" collapsed="false">
      <c r="A1511" s="9"/>
      <c r="B1511" s="9"/>
      <c r="C1511" s="9"/>
      <c r="D1511" s="9"/>
      <c r="E1511" s="9"/>
      <c r="F1511" s="9"/>
      <c r="G1511" s="9"/>
      <c r="H1511" s="9"/>
      <c r="I1511" s="9"/>
    </row>
    <row r="1512" customFormat="false" ht="15.75" hidden="false" customHeight="false" outlineLevel="0" collapsed="false">
      <c r="A1512" s="9"/>
      <c r="B1512" s="9"/>
      <c r="C1512" s="9"/>
      <c r="D1512" s="9"/>
      <c r="E1512" s="9"/>
      <c r="F1512" s="9"/>
      <c r="G1512" s="9"/>
      <c r="H1512" s="9"/>
      <c r="I1512" s="9"/>
    </row>
    <row r="1513" customFormat="false" ht="15.75" hidden="false" customHeight="false" outlineLevel="0" collapsed="false">
      <c r="A1513" s="9"/>
      <c r="B1513" s="9"/>
      <c r="C1513" s="9"/>
      <c r="D1513" s="9"/>
      <c r="E1513" s="9"/>
      <c r="F1513" s="9"/>
      <c r="G1513" s="9"/>
      <c r="H1513" s="9"/>
      <c r="I1513" s="9"/>
    </row>
    <row r="1514" customFormat="false" ht="15.75" hidden="false" customHeight="false" outlineLevel="0" collapsed="false">
      <c r="A1514" s="9"/>
      <c r="B1514" s="9"/>
      <c r="C1514" s="9"/>
      <c r="D1514" s="9"/>
      <c r="E1514" s="9"/>
      <c r="F1514" s="9"/>
      <c r="G1514" s="9"/>
      <c r="H1514" s="9"/>
      <c r="I1514" s="9"/>
    </row>
    <row r="1515" customFormat="false" ht="15.75" hidden="false" customHeight="false" outlineLevel="0" collapsed="false">
      <c r="A1515" s="9"/>
      <c r="B1515" s="9"/>
      <c r="C1515" s="9"/>
      <c r="D1515" s="9"/>
      <c r="E1515" s="9"/>
      <c r="F1515" s="9"/>
      <c r="G1515" s="9"/>
      <c r="H1515" s="9"/>
      <c r="I1515" s="9"/>
    </row>
    <row r="1516" customFormat="false" ht="15.75" hidden="false" customHeight="false" outlineLevel="0" collapsed="false">
      <c r="A1516" s="9"/>
      <c r="B1516" s="9"/>
      <c r="C1516" s="9"/>
      <c r="D1516" s="9"/>
      <c r="E1516" s="9"/>
      <c r="F1516" s="9"/>
      <c r="G1516" s="9"/>
      <c r="H1516" s="9"/>
      <c r="I1516" s="9"/>
    </row>
    <row r="1517" customFormat="false" ht="15.75" hidden="false" customHeight="false" outlineLevel="0" collapsed="false">
      <c r="A1517" s="9"/>
      <c r="B1517" s="9"/>
      <c r="C1517" s="9"/>
      <c r="D1517" s="9"/>
      <c r="E1517" s="9"/>
      <c r="F1517" s="9"/>
      <c r="G1517" s="9"/>
      <c r="H1517" s="9"/>
      <c r="I1517" s="9"/>
    </row>
    <row r="1518" customFormat="false" ht="15.75" hidden="false" customHeight="false" outlineLevel="0" collapsed="false">
      <c r="A1518" s="9"/>
      <c r="B1518" s="9"/>
      <c r="C1518" s="9"/>
      <c r="D1518" s="9"/>
      <c r="E1518" s="9"/>
      <c r="F1518" s="9"/>
      <c r="G1518" s="9"/>
      <c r="H1518" s="9"/>
      <c r="I1518" s="9"/>
    </row>
    <row r="1519" customFormat="false" ht="15.75" hidden="false" customHeight="false" outlineLevel="0" collapsed="false">
      <c r="A1519" s="9"/>
      <c r="B1519" s="9"/>
      <c r="C1519" s="9"/>
      <c r="D1519" s="9"/>
      <c r="E1519" s="9"/>
      <c r="F1519" s="9"/>
      <c r="G1519" s="9"/>
      <c r="H1519" s="9"/>
      <c r="I1519" s="9"/>
    </row>
    <row r="1520" customFormat="false" ht="15.75" hidden="false" customHeight="false" outlineLevel="0" collapsed="false">
      <c r="A1520" s="9"/>
      <c r="B1520" s="9"/>
      <c r="C1520" s="9"/>
      <c r="D1520" s="9"/>
      <c r="E1520" s="9"/>
      <c r="F1520" s="9"/>
      <c r="G1520" s="9"/>
      <c r="H1520" s="9"/>
      <c r="I1520" s="9"/>
    </row>
    <row r="1521" customFormat="false" ht="15.75" hidden="false" customHeight="false" outlineLevel="0" collapsed="false">
      <c r="A1521" s="9"/>
      <c r="B1521" s="9"/>
      <c r="C1521" s="9"/>
      <c r="D1521" s="9"/>
      <c r="E1521" s="9"/>
      <c r="F1521" s="9"/>
      <c r="G1521" s="9"/>
      <c r="H1521" s="9"/>
      <c r="I1521" s="9"/>
    </row>
    <row r="1522" customFormat="false" ht="15.75" hidden="false" customHeight="false" outlineLevel="0" collapsed="false">
      <c r="A1522" s="9"/>
      <c r="B1522" s="9"/>
      <c r="C1522" s="9"/>
      <c r="D1522" s="9"/>
      <c r="E1522" s="9"/>
      <c r="F1522" s="9"/>
      <c r="G1522" s="9"/>
      <c r="H1522" s="9"/>
      <c r="I1522" s="9"/>
    </row>
    <row r="1523" customFormat="false" ht="15.75" hidden="false" customHeight="false" outlineLevel="0" collapsed="false">
      <c r="A1523" s="9"/>
      <c r="B1523" s="9"/>
      <c r="C1523" s="9"/>
      <c r="D1523" s="9"/>
      <c r="E1523" s="9"/>
      <c r="F1523" s="9"/>
      <c r="G1523" s="9"/>
      <c r="H1523" s="9"/>
      <c r="I1523" s="9"/>
    </row>
    <row r="1524" customFormat="false" ht="15.75" hidden="false" customHeight="false" outlineLevel="0" collapsed="false">
      <c r="A1524" s="9"/>
      <c r="B1524" s="9"/>
      <c r="C1524" s="9"/>
      <c r="D1524" s="9"/>
      <c r="E1524" s="9"/>
      <c r="F1524" s="9"/>
      <c r="G1524" s="9"/>
      <c r="H1524" s="9"/>
      <c r="I1524" s="9"/>
    </row>
    <row r="1525" customFormat="false" ht="15.75" hidden="false" customHeight="false" outlineLevel="0" collapsed="false">
      <c r="A1525" s="9"/>
      <c r="B1525" s="9"/>
      <c r="C1525" s="9"/>
      <c r="D1525" s="9"/>
      <c r="E1525" s="9"/>
      <c r="F1525" s="9"/>
      <c r="G1525" s="9"/>
      <c r="H1525" s="9"/>
      <c r="I1525" s="9"/>
    </row>
    <row r="1526" customFormat="false" ht="15.75" hidden="false" customHeight="false" outlineLevel="0" collapsed="false">
      <c r="A1526" s="9"/>
      <c r="B1526" s="9"/>
      <c r="C1526" s="9"/>
      <c r="D1526" s="9"/>
      <c r="E1526" s="9"/>
      <c r="F1526" s="9"/>
      <c r="G1526" s="9"/>
      <c r="H1526" s="9"/>
      <c r="I1526" s="9"/>
    </row>
    <row r="1527" customFormat="false" ht="15.75" hidden="false" customHeight="false" outlineLevel="0" collapsed="false">
      <c r="A1527" s="9"/>
      <c r="B1527" s="9"/>
      <c r="C1527" s="9"/>
      <c r="D1527" s="9"/>
      <c r="E1527" s="9"/>
      <c r="F1527" s="9"/>
      <c r="G1527" s="9"/>
      <c r="H1527" s="9"/>
      <c r="I1527" s="9"/>
    </row>
    <row r="1528" customFormat="false" ht="15.75" hidden="false" customHeight="false" outlineLevel="0" collapsed="false">
      <c r="A1528" s="9"/>
      <c r="B1528" s="9"/>
      <c r="C1528" s="9"/>
      <c r="D1528" s="9"/>
      <c r="E1528" s="9"/>
      <c r="F1528" s="9"/>
      <c r="G1528" s="9"/>
      <c r="H1528" s="9"/>
      <c r="I1528" s="9"/>
    </row>
    <row r="1529" customFormat="false" ht="15.75" hidden="false" customHeight="false" outlineLevel="0" collapsed="false">
      <c r="A1529" s="9"/>
      <c r="B1529" s="9"/>
      <c r="C1529" s="9"/>
      <c r="D1529" s="9"/>
      <c r="E1529" s="9"/>
      <c r="F1529" s="9"/>
      <c r="G1529" s="9"/>
      <c r="H1529" s="9"/>
      <c r="I1529" s="9"/>
    </row>
    <row r="1530" customFormat="false" ht="15.75" hidden="false" customHeight="false" outlineLevel="0" collapsed="false">
      <c r="A1530" s="9"/>
      <c r="B1530" s="9"/>
      <c r="C1530" s="9"/>
      <c r="D1530" s="9"/>
      <c r="E1530" s="9"/>
      <c r="F1530" s="9"/>
      <c r="G1530" s="9"/>
      <c r="H1530" s="9"/>
      <c r="I1530" s="9"/>
    </row>
    <row r="1531" customFormat="false" ht="15.75" hidden="false" customHeight="false" outlineLevel="0" collapsed="false">
      <c r="A1531" s="9"/>
      <c r="B1531" s="9"/>
      <c r="C1531" s="9"/>
      <c r="D1531" s="9"/>
      <c r="E1531" s="9"/>
      <c r="F1531" s="9"/>
      <c r="G1531" s="9"/>
      <c r="H1531" s="9"/>
      <c r="I1531" s="9"/>
    </row>
    <row r="1532" customFormat="false" ht="15.75" hidden="false" customHeight="false" outlineLevel="0" collapsed="false">
      <c r="A1532" s="9"/>
      <c r="B1532" s="9"/>
      <c r="C1532" s="9"/>
      <c r="D1532" s="9"/>
      <c r="E1532" s="9"/>
      <c r="F1532" s="9"/>
      <c r="G1532" s="9"/>
      <c r="H1532" s="9"/>
      <c r="I1532" s="9"/>
    </row>
    <row r="1533" customFormat="false" ht="15.75" hidden="false" customHeight="false" outlineLevel="0" collapsed="false">
      <c r="A1533" s="9"/>
      <c r="B1533" s="9"/>
      <c r="C1533" s="9"/>
      <c r="D1533" s="9"/>
      <c r="E1533" s="9"/>
      <c r="F1533" s="9"/>
      <c r="G1533" s="9"/>
      <c r="H1533" s="9"/>
      <c r="I1533" s="9"/>
    </row>
    <row r="1534" customFormat="false" ht="15.75" hidden="false" customHeight="false" outlineLevel="0" collapsed="false">
      <c r="A1534" s="9"/>
      <c r="B1534" s="9"/>
      <c r="C1534" s="9"/>
      <c r="D1534" s="9"/>
      <c r="E1534" s="9"/>
      <c r="F1534" s="9"/>
      <c r="G1534" s="9"/>
      <c r="H1534" s="9"/>
      <c r="I1534" s="9"/>
    </row>
    <row r="1535" customFormat="false" ht="15.75" hidden="false" customHeight="false" outlineLevel="0" collapsed="false">
      <c r="A1535" s="9"/>
      <c r="B1535" s="9"/>
      <c r="C1535" s="9"/>
      <c r="D1535" s="9"/>
      <c r="E1535" s="9"/>
      <c r="F1535" s="9"/>
      <c r="G1535" s="9"/>
      <c r="H1535" s="9"/>
      <c r="I1535" s="9"/>
    </row>
    <row r="1536" customFormat="false" ht="15.75" hidden="false" customHeight="false" outlineLevel="0" collapsed="false">
      <c r="A1536" s="9"/>
      <c r="B1536" s="9"/>
      <c r="C1536" s="9"/>
      <c r="D1536" s="9"/>
      <c r="E1536" s="9"/>
      <c r="F1536" s="9"/>
      <c r="G1536" s="9"/>
      <c r="H1536" s="9"/>
      <c r="I1536" s="9"/>
    </row>
    <row r="1537" customFormat="false" ht="15.75" hidden="false" customHeight="false" outlineLevel="0" collapsed="false">
      <c r="A1537" s="9"/>
      <c r="B1537" s="9"/>
      <c r="C1537" s="9"/>
      <c r="D1537" s="9"/>
      <c r="E1537" s="9"/>
      <c r="F1537" s="9"/>
      <c r="G1537" s="9"/>
      <c r="H1537" s="9"/>
      <c r="I1537" s="9"/>
    </row>
    <row r="1538" customFormat="false" ht="15.75" hidden="false" customHeight="false" outlineLevel="0" collapsed="false">
      <c r="A1538" s="9"/>
      <c r="B1538" s="9"/>
      <c r="C1538" s="9"/>
      <c r="D1538" s="9"/>
      <c r="E1538" s="9"/>
      <c r="F1538" s="9"/>
      <c r="G1538" s="9"/>
      <c r="H1538" s="9"/>
      <c r="I1538" s="9"/>
    </row>
    <row r="1539" customFormat="false" ht="15.75" hidden="false" customHeight="false" outlineLevel="0" collapsed="false">
      <c r="A1539" s="9"/>
      <c r="B1539" s="9"/>
      <c r="C1539" s="9"/>
      <c r="D1539" s="9"/>
      <c r="E1539" s="9"/>
      <c r="F1539" s="9"/>
      <c r="G1539" s="9"/>
      <c r="H1539" s="9"/>
      <c r="I1539" s="9"/>
    </row>
    <row r="1540" customFormat="false" ht="15.75" hidden="false" customHeight="false" outlineLevel="0" collapsed="false">
      <c r="A1540" s="9"/>
      <c r="B1540" s="9"/>
      <c r="C1540" s="9"/>
      <c r="D1540" s="9"/>
      <c r="E1540" s="9"/>
      <c r="F1540" s="9"/>
      <c r="G1540" s="9"/>
      <c r="H1540" s="9"/>
      <c r="I1540" s="9"/>
    </row>
    <row r="1541" customFormat="false" ht="15.75" hidden="false" customHeight="false" outlineLevel="0" collapsed="false">
      <c r="A1541" s="9"/>
      <c r="B1541" s="9"/>
      <c r="C1541" s="9"/>
      <c r="D1541" s="9"/>
      <c r="E1541" s="9"/>
      <c r="F1541" s="9"/>
      <c r="G1541" s="9"/>
      <c r="H1541" s="9"/>
      <c r="I1541" s="9"/>
    </row>
    <row r="1542" customFormat="false" ht="15.75" hidden="false" customHeight="false" outlineLevel="0" collapsed="false">
      <c r="A1542" s="9"/>
      <c r="B1542" s="9"/>
      <c r="C1542" s="9"/>
      <c r="D1542" s="9"/>
      <c r="E1542" s="9"/>
      <c r="F1542" s="9"/>
      <c r="G1542" s="9"/>
      <c r="H1542" s="9"/>
      <c r="I1542" s="9"/>
    </row>
    <row r="1543" customFormat="false" ht="15.75" hidden="false" customHeight="false" outlineLevel="0" collapsed="false">
      <c r="A1543" s="9"/>
      <c r="B1543" s="9"/>
      <c r="C1543" s="9"/>
      <c r="D1543" s="9"/>
      <c r="E1543" s="9"/>
      <c r="F1543" s="9"/>
      <c r="G1543" s="9"/>
      <c r="H1543" s="9"/>
      <c r="I1543" s="9"/>
    </row>
    <row r="1544" customFormat="false" ht="15.75" hidden="false" customHeight="false" outlineLevel="0" collapsed="false">
      <c r="A1544" s="9"/>
      <c r="B1544" s="9"/>
      <c r="C1544" s="9"/>
      <c r="D1544" s="9"/>
      <c r="E1544" s="9"/>
      <c r="F1544" s="9"/>
      <c r="G1544" s="9"/>
      <c r="H1544" s="9"/>
      <c r="I1544" s="9"/>
    </row>
    <row r="1545" customFormat="false" ht="15.75" hidden="false" customHeight="false" outlineLevel="0" collapsed="false">
      <c r="A1545" s="9"/>
      <c r="B1545" s="9"/>
      <c r="C1545" s="9"/>
      <c r="D1545" s="9"/>
      <c r="E1545" s="9"/>
      <c r="F1545" s="9"/>
      <c r="G1545" s="9"/>
      <c r="H1545" s="9"/>
      <c r="I1545" s="9"/>
    </row>
    <row r="1546" customFormat="false" ht="15.75" hidden="false" customHeight="false" outlineLevel="0" collapsed="false">
      <c r="A1546" s="9"/>
      <c r="B1546" s="9"/>
      <c r="C1546" s="9"/>
      <c r="D1546" s="9"/>
      <c r="E1546" s="9"/>
      <c r="F1546" s="9"/>
      <c r="G1546" s="9"/>
      <c r="H1546" s="9"/>
      <c r="I1546" s="9"/>
    </row>
    <row r="1547" customFormat="false" ht="15.75" hidden="false" customHeight="false" outlineLevel="0" collapsed="false">
      <c r="A1547" s="9"/>
      <c r="B1547" s="9"/>
      <c r="C1547" s="9"/>
      <c r="D1547" s="9"/>
      <c r="E1547" s="9"/>
      <c r="F1547" s="9"/>
      <c r="G1547" s="9"/>
      <c r="H1547" s="9"/>
      <c r="I1547" s="9"/>
    </row>
    <row r="1548" customFormat="false" ht="15.75" hidden="false" customHeight="false" outlineLevel="0" collapsed="false">
      <c r="A1548" s="9"/>
      <c r="B1548" s="9"/>
      <c r="C1548" s="9"/>
      <c r="D1548" s="9"/>
      <c r="E1548" s="9"/>
      <c r="F1548" s="9"/>
      <c r="G1548" s="9"/>
      <c r="H1548" s="9"/>
      <c r="I1548" s="9"/>
    </row>
    <row r="1549" customFormat="false" ht="15.75" hidden="false" customHeight="false" outlineLevel="0" collapsed="false">
      <c r="A1549" s="9"/>
      <c r="B1549" s="9"/>
      <c r="C1549" s="9"/>
      <c r="D1549" s="9"/>
      <c r="E1549" s="9"/>
      <c r="F1549" s="9"/>
      <c r="G1549" s="9"/>
      <c r="H1549" s="9"/>
      <c r="I1549" s="9"/>
    </row>
    <row r="1550" customFormat="false" ht="15.75" hidden="false" customHeight="false" outlineLevel="0" collapsed="false">
      <c r="A1550" s="9"/>
      <c r="B1550" s="9"/>
      <c r="C1550" s="9"/>
      <c r="D1550" s="9"/>
      <c r="E1550" s="9"/>
      <c r="F1550" s="9"/>
      <c r="G1550" s="9"/>
      <c r="H1550" s="9"/>
      <c r="I1550" s="9"/>
    </row>
    <row r="1551" customFormat="false" ht="15.75" hidden="false" customHeight="false" outlineLevel="0" collapsed="false">
      <c r="A1551" s="9"/>
      <c r="B1551" s="9"/>
      <c r="C1551" s="9"/>
      <c r="D1551" s="9"/>
      <c r="E1551" s="9"/>
      <c r="F1551" s="9"/>
      <c r="G1551" s="9"/>
      <c r="H1551" s="9"/>
      <c r="I1551" s="9"/>
    </row>
    <row r="1552" customFormat="false" ht="15.75" hidden="false" customHeight="false" outlineLevel="0" collapsed="false">
      <c r="A1552" s="9"/>
      <c r="B1552" s="9"/>
      <c r="C1552" s="9"/>
      <c r="D1552" s="9"/>
      <c r="E1552" s="9"/>
      <c r="F1552" s="9"/>
      <c r="G1552" s="9"/>
      <c r="H1552" s="9"/>
      <c r="I1552" s="9"/>
    </row>
    <row r="1553" customFormat="false" ht="15.75" hidden="false" customHeight="false" outlineLevel="0" collapsed="false">
      <c r="A1553" s="9"/>
      <c r="B1553" s="9"/>
      <c r="C1553" s="9"/>
      <c r="D1553" s="9"/>
      <c r="E1553" s="9"/>
      <c r="F1553" s="9"/>
      <c r="G1553" s="9"/>
      <c r="H1553" s="9"/>
      <c r="I1553" s="9"/>
    </row>
    <row r="1554" customFormat="false" ht="15.75" hidden="false" customHeight="false" outlineLevel="0" collapsed="false">
      <c r="A1554" s="9"/>
      <c r="B1554" s="9"/>
      <c r="C1554" s="9"/>
      <c r="D1554" s="9"/>
      <c r="E1554" s="9"/>
      <c r="F1554" s="9"/>
      <c r="G1554" s="9"/>
      <c r="H1554" s="9"/>
      <c r="I1554" s="9"/>
    </row>
    <row r="1555" customFormat="false" ht="15.75" hidden="false" customHeight="false" outlineLevel="0" collapsed="false">
      <c r="A1555" s="9"/>
      <c r="B1555" s="9"/>
      <c r="C1555" s="9"/>
      <c r="D1555" s="9"/>
      <c r="E1555" s="9"/>
      <c r="F1555" s="9"/>
      <c r="G1555" s="9"/>
      <c r="H1555" s="9"/>
      <c r="I1555" s="9"/>
    </row>
    <row r="1556" customFormat="false" ht="15.75" hidden="false" customHeight="false" outlineLevel="0" collapsed="false">
      <c r="A1556" s="9"/>
      <c r="B1556" s="9"/>
      <c r="C1556" s="9"/>
      <c r="D1556" s="9"/>
      <c r="E1556" s="9"/>
      <c r="F1556" s="9"/>
      <c r="G1556" s="9"/>
      <c r="H1556" s="9"/>
      <c r="I1556" s="9"/>
    </row>
    <row r="1557" customFormat="false" ht="15.75" hidden="false" customHeight="false" outlineLevel="0" collapsed="false">
      <c r="A1557" s="9"/>
      <c r="B1557" s="9"/>
      <c r="C1557" s="9"/>
      <c r="D1557" s="9"/>
      <c r="E1557" s="9"/>
      <c r="F1557" s="9"/>
      <c r="G1557" s="9"/>
      <c r="H1557" s="9"/>
      <c r="I1557" s="9"/>
    </row>
    <row r="1558" customFormat="false" ht="15.75" hidden="false" customHeight="false" outlineLevel="0" collapsed="false">
      <c r="A1558" s="9"/>
      <c r="B1558" s="9"/>
      <c r="C1558" s="9"/>
      <c r="D1558" s="9"/>
      <c r="E1558" s="9"/>
      <c r="F1558" s="9"/>
      <c r="G1558" s="9"/>
      <c r="H1558" s="9"/>
      <c r="I1558" s="9"/>
    </row>
    <row r="1559" customFormat="false" ht="15.75" hidden="false" customHeight="false" outlineLevel="0" collapsed="false">
      <c r="A1559" s="9"/>
      <c r="B1559" s="9"/>
      <c r="C1559" s="9"/>
      <c r="D1559" s="9"/>
      <c r="E1559" s="9"/>
      <c r="F1559" s="9"/>
      <c r="G1559" s="9"/>
      <c r="H1559" s="9"/>
      <c r="I1559" s="9"/>
    </row>
    <row r="1560" customFormat="false" ht="15.75" hidden="false" customHeight="false" outlineLevel="0" collapsed="false">
      <c r="A1560" s="9"/>
      <c r="B1560" s="9"/>
      <c r="C1560" s="9"/>
      <c r="D1560" s="9"/>
      <c r="E1560" s="9"/>
      <c r="F1560" s="9"/>
      <c r="G1560" s="9"/>
      <c r="H1560" s="9"/>
      <c r="I1560" s="9"/>
    </row>
    <row r="1561" customFormat="false" ht="15.75" hidden="false" customHeight="false" outlineLevel="0" collapsed="false">
      <c r="A1561" s="9"/>
      <c r="B1561" s="9"/>
      <c r="C1561" s="9"/>
      <c r="D1561" s="9"/>
      <c r="E1561" s="9"/>
      <c r="F1561" s="9"/>
      <c r="G1561" s="9"/>
      <c r="H1561" s="9"/>
      <c r="I1561" s="9"/>
    </row>
    <row r="1562" customFormat="false" ht="15.75" hidden="false" customHeight="false" outlineLevel="0" collapsed="false">
      <c r="A1562" s="9"/>
      <c r="B1562" s="9"/>
      <c r="C1562" s="9"/>
      <c r="D1562" s="9"/>
      <c r="E1562" s="9"/>
      <c r="F1562" s="9"/>
      <c r="G1562" s="9"/>
      <c r="H1562" s="9"/>
      <c r="I1562" s="9"/>
    </row>
    <row r="1563" customFormat="false" ht="15.75" hidden="false" customHeight="false" outlineLevel="0" collapsed="false">
      <c r="A1563" s="9"/>
      <c r="B1563" s="9"/>
      <c r="C1563" s="9"/>
      <c r="D1563" s="9"/>
      <c r="E1563" s="9"/>
      <c r="F1563" s="9"/>
      <c r="G1563" s="9"/>
      <c r="H1563" s="9"/>
      <c r="I1563" s="9"/>
    </row>
    <row r="1564" customFormat="false" ht="15.75" hidden="false" customHeight="false" outlineLevel="0" collapsed="false">
      <c r="A1564" s="9"/>
      <c r="B1564" s="9"/>
      <c r="C1564" s="9"/>
      <c r="D1564" s="9"/>
      <c r="E1564" s="9"/>
      <c r="F1564" s="9"/>
      <c r="G1564" s="9"/>
      <c r="H1564" s="9"/>
      <c r="I1564" s="9"/>
    </row>
    <row r="1565" customFormat="false" ht="15.75" hidden="false" customHeight="false" outlineLevel="0" collapsed="false">
      <c r="A1565" s="9"/>
      <c r="B1565" s="9"/>
      <c r="C1565" s="9"/>
      <c r="D1565" s="9"/>
      <c r="E1565" s="9"/>
      <c r="F1565" s="9"/>
      <c r="G1565" s="9"/>
      <c r="H1565" s="9"/>
      <c r="I1565" s="9"/>
    </row>
    <row r="1566" customFormat="false" ht="15.75" hidden="false" customHeight="false" outlineLevel="0" collapsed="false">
      <c r="A1566" s="9"/>
      <c r="B1566" s="9"/>
      <c r="C1566" s="9"/>
      <c r="D1566" s="9"/>
      <c r="E1566" s="9"/>
      <c r="F1566" s="9"/>
      <c r="G1566" s="9"/>
      <c r="H1566" s="9"/>
      <c r="I1566" s="9"/>
    </row>
    <row r="1567" customFormat="false" ht="15.75" hidden="false" customHeight="false" outlineLevel="0" collapsed="false">
      <c r="A1567" s="9"/>
      <c r="B1567" s="9"/>
      <c r="C1567" s="9"/>
      <c r="D1567" s="9"/>
      <c r="E1567" s="9"/>
      <c r="F1567" s="9"/>
      <c r="G1567" s="9"/>
      <c r="H1567" s="9"/>
      <c r="I1567" s="9"/>
    </row>
    <row r="1568" customFormat="false" ht="15.75" hidden="false" customHeight="false" outlineLevel="0" collapsed="false">
      <c r="A1568" s="9"/>
      <c r="B1568" s="9"/>
      <c r="C1568" s="9"/>
      <c r="D1568" s="9"/>
      <c r="E1568" s="9"/>
      <c r="F1568" s="9"/>
      <c r="G1568" s="9"/>
      <c r="H1568" s="9"/>
      <c r="I1568" s="9"/>
    </row>
    <row r="1569" customFormat="false" ht="15.75" hidden="false" customHeight="false" outlineLevel="0" collapsed="false">
      <c r="A1569" s="9"/>
      <c r="B1569" s="9"/>
      <c r="C1569" s="9"/>
      <c r="D1569" s="9"/>
      <c r="E1569" s="9"/>
      <c r="F1569" s="9"/>
      <c r="G1569" s="9"/>
      <c r="H1569" s="9"/>
      <c r="I1569" s="9"/>
    </row>
    <row r="1570" customFormat="false" ht="15.75" hidden="false" customHeight="false" outlineLevel="0" collapsed="false">
      <c r="A1570" s="9"/>
      <c r="B1570" s="9"/>
      <c r="C1570" s="9"/>
      <c r="D1570" s="9"/>
      <c r="E1570" s="9"/>
      <c r="F1570" s="9"/>
      <c r="G1570" s="9"/>
      <c r="H1570" s="9"/>
      <c r="I1570" s="9"/>
    </row>
    <row r="1571" customFormat="false" ht="15.75" hidden="false" customHeight="false" outlineLevel="0" collapsed="false">
      <c r="A1571" s="9"/>
      <c r="B1571" s="9"/>
      <c r="C1571" s="9"/>
      <c r="D1571" s="9"/>
      <c r="E1571" s="9"/>
      <c r="F1571" s="9"/>
      <c r="G1571" s="9"/>
      <c r="H1571" s="9"/>
      <c r="I1571" s="9"/>
    </row>
    <row r="1572" customFormat="false" ht="15.75" hidden="false" customHeight="false" outlineLevel="0" collapsed="false">
      <c r="A1572" s="9"/>
      <c r="B1572" s="9"/>
      <c r="C1572" s="9"/>
      <c r="D1572" s="9"/>
      <c r="E1572" s="9"/>
      <c r="F1572" s="9"/>
      <c r="G1572" s="9"/>
      <c r="H1572" s="9"/>
      <c r="I1572" s="9"/>
    </row>
    <row r="1573" customFormat="false" ht="15.75" hidden="false" customHeight="false" outlineLevel="0" collapsed="false">
      <c r="A1573" s="9"/>
      <c r="B1573" s="9"/>
      <c r="C1573" s="9"/>
      <c r="D1573" s="9"/>
      <c r="E1573" s="9"/>
      <c r="F1573" s="9"/>
      <c r="G1573" s="9"/>
      <c r="H1573" s="9"/>
      <c r="I1573" s="9"/>
    </row>
    <row r="1574" customFormat="false" ht="15.75" hidden="false" customHeight="false" outlineLevel="0" collapsed="false">
      <c r="A1574" s="9"/>
      <c r="B1574" s="9"/>
      <c r="C1574" s="9"/>
      <c r="D1574" s="9"/>
      <c r="E1574" s="9"/>
      <c r="F1574" s="9"/>
      <c r="G1574" s="9"/>
      <c r="H1574" s="9"/>
      <c r="I1574" s="9"/>
    </row>
    <row r="1575" customFormat="false" ht="15.75" hidden="false" customHeight="false" outlineLevel="0" collapsed="false">
      <c r="A1575" s="9"/>
      <c r="B1575" s="9"/>
      <c r="C1575" s="9"/>
      <c r="D1575" s="9"/>
      <c r="E1575" s="9"/>
      <c r="F1575" s="9"/>
      <c r="G1575" s="9"/>
      <c r="H1575" s="9"/>
      <c r="I1575" s="9"/>
    </row>
    <row r="1576" customFormat="false" ht="15.75" hidden="false" customHeight="false" outlineLevel="0" collapsed="false">
      <c r="A1576" s="9"/>
      <c r="B1576" s="9"/>
      <c r="C1576" s="9"/>
      <c r="D1576" s="9"/>
      <c r="E1576" s="9"/>
      <c r="F1576" s="9"/>
      <c r="G1576" s="9"/>
      <c r="H1576" s="9"/>
      <c r="I1576" s="9"/>
    </row>
    <row r="1577" customFormat="false" ht="15.75" hidden="false" customHeight="false" outlineLevel="0" collapsed="false">
      <c r="A1577" s="9"/>
      <c r="B1577" s="9"/>
      <c r="C1577" s="9"/>
      <c r="D1577" s="9"/>
      <c r="E1577" s="9"/>
      <c r="F1577" s="9"/>
      <c r="G1577" s="9"/>
      <c r="H1577" s="9"/>
      <c r="I1577" s="9"/>
    </row>
    <row r="1578" customFormat="false" ht="15.75" hidden="false" customHeight="false" outlineLevel="0" collapsed="false">
      <c r="A1578" s="9"/>
      <c r="B1578" s="9"/>
      <c r="C1578" s="9"/>
      <c r="D1578" s="9"/>
      <c r="E1578" s="9"/>
      <c r="F1578" s="9"/>
      <c r="G1578" s="9"/>
      <c r="H1578" s="9"/>
      <c r="I1578" s="9"/>
    </row>
    <row r="1579" customFormat="false" ht="15.75" hidden="false" customHeight="false" outlineLevel="0" collapsed="false">
      <c r="A1579" s="9"/>
      <c r="B1579" s="9"/>
      <c r="C1579" s="9"/>
      <c r="D1579" s="9"/>
      <c r="E1579" s="9"/>
      <c r="F1579" s="9"/>
      <c r="G1579" s="9"/>
      <c r="H1579" s="9"/>
      <c r="I1579" s="9"/>
    </row>
    <row r="1580" customFormat="false" ht="15.75" hidden="false" customHeight="false" outlineLevel="0" collapsed="false">
      <c r="A1580" s="9"/>
      <c r="B1580" s="9"/>
      <c r="C1580" s="9"/>
      <c r="D1580" s="9"/>
      <c r="E1580" s="9"/>
      <c r="F1580" s="9"/>
      <c r="G1580" s="9"/>
      <c r="H1580" s="9"/>
      <c r="I1580" s="9"/>
    </row>
    <row r="1581" customFormat="false" ht="15.75" hidden="false" customHeight="false" outlineLevel="0" collapsed="false">
      <c r="A1581" s="9"/>
      <c r="B1581" s="9"/>
      <c r="C1581" s="9"/>
      <c r="D1581" s="9"/>
      <c r="E1581" s="9"/>
      <c r="F1581" s="9"/>
      <c r="G1581" s="9"/>
      <c r="H1581" s="9"/>
      <c r="I1581" s="9"/>
    </row>
    <row r="1582" customFormat="false" ht="15.75" hidden="false" customHeight="false" outlineLevel="0" collapsed="false">
      <c r="A1582" s="9"/>
      <c r="B1582" s="9"/>
      <c r="C1582" s="9"/>
      <c r="D1582" s="9"/>
      <c r="E1582" s="9"/>
      <c r="F1582" s="9"/>
      <c r="G1582" s="9"/>
      <c r="H1582" s="9"/>
      <c r="I1582" s="9"/>
    </row>
    <row r="1583" customFormat="false" ht="15.75" hidden="false" customHeight="false" outlineLevel="0" collapsed="false">
      <c r="A1583" s="9"/>
      <c r="B1583" s="9"/>
      <c r="C1583" s="9"/>
      <c r="D1583" s="9"/>
      <c r="E1583" s="9"/>
      <c r="F1583" s="9"/>
      <c r="G1583" s="9"/>
      <c r="H1583" s="9"/>
      <c r="I1583" s="9"/>
    </row>
    <row r="1584" customFormat="false" ht="15.75" hidden="false" customHeight="false" outlineLevel="0" collapsed="false">
      <c r="A1584" s="9"/>
      <c r="B1584" s="9"/>
      <c r="C1584" s="9"/>
      <c r="D1584" s="9"/>
      <c r="E1584" s="9"/>
      <c r="F1584" s="9"/>
      <c r="G1584" s="9"/>
      <c r="H1584" s="9"/>
      <c r="I1584" s="9"/>
    </row>
    <row r="1585" customFormat="false" ht="15.75" hidden="false" customHeight="false" outlineLevel="0" collapsed="false">
      <c r="A1585" s="9"/>
      <c r="B1585" s="9"/>
      <c r="C1585" s="9"/>
      <c r="D1585" s="9"/>
      <c r="E1585" s="9"/>
      <c r="F1585" s="9"/>
      <c r="G1585" s="9"/>
      <c r="H1585" s="9"/>
      <c r="I1585" s="9"/>
    </row>
    <row r="1586" customFormat="false" ht="15.75" hidden="false" customHeight="false" outlineLevel="0" collapsed="false">
      <c r="A1586" s="9"/>
      <c r="B1586" s="9"/>
      <c r="C1586" s="9"/>
      <c r="D1586" s="9"/>
      <c r="E1586" s="9"/>
      <c r="F1586" s="9"/>
      <c r="G1586" s="9"/>
      <c r="H1586" s="9"/>
      <c r="I1586" s="9"/>
    </row>
    <row r="1587" customFormat="false" ht="15.75" hidden="false" customHeight="false" outlineLevel="0" collapsed="false">
      <c r="A1587" s="9"/>
      <c r="B1587" s="9"/>
      <c r="C1587" s="9"/>
      <c r="D1587" s="9"/>
      <c r="E1587" s="9"/>
      <c r="F1587" s="9"/>
      <c r="G1587" s="9"/>
      <c r="H1587" s="9"/>
      <c r="I1587" s="9"/>
    </row>
    <row r="1588" customFormat="false" ht="15.75" hidden="false" customHeight="false" outlineLevel="0" collapsed="false">
      <c r="A1588" s="9"/>
      <c r="B1588" s="9"/>
      <c r="C1588" s="9"/>
      <c r="D1588" s="9"/>
      <c r="E1588" s="9"/>
      <c r="F1588" s="9"/>
      <c r="G1588" s="9"/>
      <c r="H1588" s="9"/>
      <c r="I1588" s="9"/>
    </row>
    <row r="1589" customFormat="false" ht="15.75" hidden="false" customHeight="false" outlineLevel="0" collapsed="false">
      <c r="A1589" s="9"/>
      <c r="B1589" s="9"/>
      <c r="C1589" s="9"/>
      <c r="D1589" s="9"/>
      <c r="E1589" s="9"/>
      <c r="F1589" s="9"/>
      <c r="G1589" s="9"/>
      <c r="H1589" s="9"/>
      <c r="I1589" s="9"/>
    </row>
    <row r="1590" customFormat="false" ht="15.75" hidden="false" customHeight="false" outlineLevel="0" collapsed="false">
      <c r="A1590" s="9"/>
      <c r="B1590" s="9"/>
      <c r="C1590" s="9"/>
      <c r="D1590" s="9"/>
      <c r="E1590" s="9"/>
      <c r="F1590" s="9"/>
      <c r="G1590" s="9"/>
      <c r="H1590" s="9"/>
      <c r="I1590" s="9"/>
    </row>
    <row r="1591" customFormat="false" ht="15.75" hidden="false" customHeight="false" outlineLevel="0" collapsed="false">
      <c r="A1591" s="9"/>
      <c r="B1591" s="9"/>
      <c r="C1591" s="9"/>
      <c r="D1591" s="9"/>
      <c r="E1591" s="9"/>
      <c r="F1591" s="9"/>
      <c r="G1591" s="9"/>
      <c r="H1591" s="9"/>
      <c r="I1591" s="9"/>
    </row>
    <row r="1592" customFormat="false" ht="15.75" hidden="false" customHeight="false" outlineLevel="0" collapsed="false">
      <c r="A1592" s="9"/>
      <c r="B1592" s="9"/>
      <c r="C1592" s="9"/>
      <c r="D1592" s="9"/>
      <c r="E1592" s="9"/>
      <c r="F1592" s="9"/>
      <c r="G1592" s="9"/>
      <c r="H1592" s="9"/>
      <c r="I1592" s="9"/>
    </row>
    <row r="1593" customFormat="false" ht="15.75" hidden="false" customHeight="false" outlineLevel="0" collapsed="false">
      <c r="A1593" s="9"/>
      <c r="B1593" s="9"/>
      <c r="C1593" s="9"/>
      <c r="D1593" s="9"/>
      <c r="E1593" s="9"/>
      <c r="F1593" s="9"/>
      <c r="G1593" s="9"/>
      <c r="H1593" s="9"/>
      <c r="I1593" s="9"/>
    </row>
    <row r="1594" customFormat="false" ht="15.75" hidden="false" customHeight="false" outlineLevel="0" collapsed="false">
      <c r="A1594" s="9"/>
      <c r="B1594" s="9"/>
      <c r="C1594" s="9"/>
      <c r="D1594" s="9"/>
      <c r="E1594" s="9"/>
      <c r="F1594" s="9"/>
      <c r="G1594" s="9"/>
      <c r="H1594" s="9"/>
      <c r="I1594" s="9"/>
    </row>
    <row r="1595" customFormat="false" ht="15.75" hidden="false" customHeight="false" outlineLevel="0" collapsed="false">
      <c r="A1595" s="9"/>
      <c r="B1595" s="9"/>
      <c r="C1595" s="9"/>
      <c r="D1595" s="9"/>
      <c r="E1595" s="9"/>
      <c r="F1595" s="9"/>
      <c r="G1595" s="9"/>
      <c r="H1595" s="9"/>
      <c r="I1595" s="9"/>
    </row>
    <row r="1596" customFormat="false" ht="15.75" hidden="false" customHeight="false" outlineLevel="0" collapsed="false">
      <c r="A1596" s="9"/>
      <c r="B1596" s="9"/>
      <c r="C1596" s="9"/>
      <c r="D1596" s="9"/>
      <c r="E1596" s="9"/>
      <c r="F1596" s="9"/>
      <c r="G1596" s="9"/>
      <c r="H1596" s="9"/>
      <c r="I1596" s="9"/>
    </row>
    <row r="1597" customFormat="false" ht="15.75" hidden="false" customHeight="false" outlineLevel="0" collapsed="false">
      <c r="A1597" s="9"/>
      <c r="B1597" s="9"/>
      <c r="C1597" s="9"/>
      <c r="D1597" s="9"/>
      <c r="E1597" s="9"/>
      <c r="F1597" s="9"/>
      <c r="G1597" s="9"/>
      <c r="H1597" s="9"/>
      <c r="I1597" s="9"/>
    </row>
    <row r="1598" customFormat="false" ht="15.75" hidden="false" customHeight="false" outlineLevel="0" collapsed="false">
      <c r="A1598" s="9"/>
      <c r="B1598" s="9"/>
      <c r="C1598" s="9"/>
      <c r="D1598" s="9"/>
      <c r="E1598" s="9"/>
      <c r="F1598" s="9"/>
      <c r="G1598" s="9"/>
      <c r="H1598" s="9"/>
      <c r="I1598" s="9"/>
    </row>
    <row r="1599" customFormat="false" ht="15.75" hidden="false" customHeight="false" outlineLevel="0" collapsed="false">
      <c r="A1599" s="9"/>
      <c r="B1599" s="9"/>
      <c r="C1599" s="9"/>
      <c r="D1599" s="9"/>
      <c r="E1599" s="9"/>
      <c r="F1599" s="9"/>
      <c r="G1599" s="9"/>
      <c r="H1599" s="9"/>
      <c r="I1599" s="9"/>
    </row>
    <row r="1600" customFormat="false" ht="15.75" hidden="false" customHeight="false" outlineLevel="0" collapsed="false">
      <c r="A1600" s="9"/>
      <c r="B1600" s="9"/>
      <c r="C1600" s="9"/>
      <c r="D1600" s="9"/>
      <c r="E1600" s="9"/>
      <c r="F1600" s="9"/>
      <c r="G1600" s="9"/>
      <c r="H1600" s="9"/>
      <c r="I1600" s="9"/>
    </row>
    <row r="1601" customFormat="false" ht="15.75" hidden="false" customHeight="false" outlineLevel="0" collapsed="false">
      <c r="A1601" s="9"/>
      <c r="B1601" s="9"/>
      <c r="C1601" s="9"/>
      <c r="D1601" s="9"/>
      <c r="E1601" s="9"/>
      <c r="F1601" s="9"/>
      <c r="G1601" s="9"/>
      <c r="H1601" s="9"/>
      <c r="I1601" s="9"/>
    </row>
  </sheetData>
  <conditionalFormatting sqref="D2:D1475">
    <cfRule type="colorScale" priority="2">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C167:C170 C172:C175 C177:C180 C182:C185 C187:C190 C192:C195 C197:C200 C202:C205 C207:C210 C212:C215 C217:C220 C222:C225 C227:C230 C232:C235 C237:C240 C242:C245 C247:C250 C252:C255 C257:C260 C262:C265 C267:C270 C272:C275 C277:C280 C282:C285 C287:C290 C292:C295 C297:C300 C302:C305 C307:C310 C312:C315 C317:C320 C322:C325 C327:C330 C332:C335 C337:C340 C342:C345 C347:C350 C352:C355 C357:C360 C362:C365 C367:C370 C372:C375 C377:C380 C382:C385 C387:C390 C392:C395 C397:C400 C402:C405 C407:C410 C412:C415 C417:C420 C422:C425 C427:C430 C432:C435 C437:C440 C442:C445 C447:C450 C452:C455 C457:C460 C462:C465 C467:C470 C472:C475 C477:C480 C482:C485 C487:C490 C492:C495 C497:C500 C502:C505 C507:C510 C512:C515 C517:C520 C522:C525 C527:C530 C532:C535 C537:C540 C542:C545 C547:C550 C552:C555 C557:C560 C562:C565 C567:C570 C572:C575 C577:C580 C582:C585 C587:C590 C592:C595 C597:C600 C602:C605 C607:C610 C612:C615 C617:C620 C622:C625 C627:C630 C632:C635 C637:C640 C642:C645 C647:C650 C652:C655 C657:C660 C662:C665 C667:C670 C672:C675 C677:C680 C682:C685 C687:C690 C692:C695 C697:C700 C702:C705 C707:C710 C712:C715 C717:C720 C722:C725 C727:C730 C732:C735 C737:C740 C742:C745 C747:C750 C752:C755 C757:C760 C762:C765 C767:C770 C772:C775 C777:C780 C782:C785 C787:C790 C792:C795 C797:C800 C802:C805 C807:C810 C812:C815 C817:C820 C822:C825 C827:C830 C832:C835 C837:C840 C842:C845 C847:C850 C852:C855 C857:C860 C862:C865 C867:C870 C872:C875 C877:C880 C882:C885 C887:C890 C892:C895 C897:C900 C902:C905 C907:C910 C912:C915 C917:C920 C922:C925 C927:C930 C932:C935 C937:C940 C942:C945 C947:C950 C952:C955 C957:C960 C962:C965 C967:C970 C972:C975 C977:C980 C982:C985 C987:C990" type="list">
      <formula1>"5W1H,Base,CoT,tldr,Heading,Jeremy,Begoña,Alba,Naiara"</formula1>
      <formula2>0</formula2>
    </dataValidation>
    <dataValidation allowBlank="true" errorStyle="stop" operator="between" showDropDown="false" showErrorMessage="true" showInputMessage="false" sqref="E2:I5 E7:I10 E12:I15 E17:I20 E22:I25 E27:I30 E32:I35 E37:I40 E42:I45 E47:I50 E52:I55 E57:I60 E62:I65 E67:I70 E72:I75 E77:I80 E82:I85 E87:I90 E92:I95 E97:I100 E102:I105 E107:I110 E112:I115 E117:I120 E122:I125 E127:I130 E132:I135 E137:I140 E142:I145 E147:I150 E152:I155 E157:I160 E162:I165 E167:I170 E172:I175 E177:I180 E182:I185 E187:I190 E192:I195 E197:I200 E202:I205 E207:I210 E212:I215 E217:I220 E222:I225 E227:I230 E232:I235 E237:I240 E242:I245 E247:I250 E252:I255 E257:I260 E262:I265 E267:I270 E272:I275 E277:I280 E282:I285 E287:I290 E292:I295 E297:I300 E302:I305 E307:I310 E312:I315 E317:I320 E322:I325 E327:I330 E332:I335 E337:I340 E342:I345 E347:I350 E352:I355 E357:I360 E362:I365 E367:I370 E372:I375 E377:I380 E382:I385 E387:I390 E392:I395 E397:I400 E402:I405 E407:I410 E412:I415 E417:I420 E422:I425 E427:I430 E432:I435 E437:I440 E442:I445 E447:I450 E452:I455 E457:I460 E462:I465 E467:I470 E472:I475 E477:I480 E482:I485 E487:I490 E492:I495 E497:I500 E502:I505 E507:I510 E512:I515 E517:I520 E522:I525 E527:I530 E532:I535 E537:I540 E542:I545 E547:I550 E552:I555 E557:I560 E562:I565 E567:I570 E572:I575 E577:I580 E582:I585 E587:I590 E592:I595 E597:I600 E602:I605 E607:I610 E612:I615 E617:I620 E622:I625 E627:I630 E632:I635 E637:I640 E642:I645 E647:I650 E652:I655 E657:I660 E662:I665 E667:I670 E672:I675 E677:I680 E682:I685 E687:I690 E692:I695 E697:I700 E702:I705 E707:I710 E712:I715 E717:I720 E722:I725 E727:I730 E732:I735 E737:I740 E742:I745 E747:I750 E752:I755 E757:I760 E762:I765 E767:I770 E772:I775 E777:I780 E782:I785 E787:I790 E792:I795 E797:I800 E802:I805 E807:I810 E812:I815 E817:I820 E822:I825 E827:I830 E832:I835 E837:I840 E842:I845 E847:I850 E852:I855 E857:I860 E862:I865 E867:I870 E872:I875 E877:I880 E882:I885 E887:I890 E892:I895 E897:I900 E902:I905 E907:I910 E912:I915 E917:I920 E922:I925 E927:I930 E932:I935 E937:I940 E942:I945 E947:I950 E952:I955 E957:I960 E962:I965 E967:I970 E972:I975 E977:I980 E982:I985 E987:I990" type="list">
      <formula1>"1,2,3,4,5"</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1" width="152.13"/>
  </cols>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9" t="s">
        <v>17</v>
      </c>
      <c r="B1" s="9" t="n">
        <v>1</v>
      </c>
    </row>
    <row r="2" customFormat="false" ht="15.75" hidden="false" customHeight="false" outlineLevel="0" collapsed="false">
      <c r="A2" s="9" t="s">
        <v>21</v>
      </c>
      <c r="B2" s="9" t="n">
        <v>2</v>
      </c>
    </row>
    <row r="3" customFormat="false" ht="15.75" hidden="false" customHeight="false" outlineLevel="0" collapsed="false">
      <c r="A3" s="9" t="s">
        <v>22</v>
      </c>
      <c r="B3" s="9" t="n">
        <v>3</v>
      </c>
    </row>
    <row r="4" customFormat="false" ht="15.75" hidden="false" customHeight="false" outlineLevel="0" collapsed="false">
      <c r="A4" s="9" t="s">
        <v>23</v>
      </c>
      <c r="B4" s="9" t="n">
        <v>4</v>
      </c>
    </row>
    <row r="5" customFormat="false" ht="15.75" hidden="false" customHeight="false" outlineLevel="0" collapsed="false">
      <c r="A5" s="9" t="s">
        <v>18</v>
      </c>
      <c r="B5" s="9" t="n">
        <v>10</v>
      </c>
    </row>
    <row r="6" customFormat="false" ht="15.75" hidden="false" customHeight="false" outlineLevel="0" collapsed="false">
      <c r="A6" s="9" t="s">
        <v>19</v>
      </c>
      <c r="B6" s="9" t="n">
        <v>11</v>
      </c>
    </row>
    <row r="7" customFormat="false" ht="15.75" hidden="false" customHeight="false" outlineLevel="0" collapsed="false">
      <c r="A7" s="9" t="s">
        <v>8</v>
      </c>
      <c r="B7" s="9" t="n">
        <v>12</v>
      </c>
    </row>
    <row r="8" customFormat="false" ht="15.75" hidden="false" customHeight="false" outlineLevel="0" collapsed="false">
      <c r="A8" s="9" t="s">
        <v>20</v>
      </c>
      <c r="B8" s="9" t="n">
        <v>13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2025-02-10T11:16:13Z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