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 Human" sheetId="2" r:id="rId5"/>
    <sheet state="visible" name="🤖 Claude Sonnet 3.5" sheetId="3" r:id="rId6"/>
    <sheet state="visible" name="🤖 Command R+" sheetId="4" r:id="rId7"/>
    <sheet state="visible" name="🤖 GPT 4o" sheetId="5" r:id="rId8"/>
    <sheet state="visible" name="🤖 Reka Core" sheetId="6" r:id="rId9"/>
    <sheet state="visible" name="🤖 Llama 3.1 70B" sheetId="7" r:id="rId10"/>
    <sheet state="visible" name="__flatlist__" sheetId="8" r:id="rId11"/>
    <sheet state="visible" name="📚 Glossary" sheetId="9" r:id="rId12"/>
    <sheet state="visible" name="✏️ Notes" sheetId="10" r:id="rId13"/>
    <sheet state="hidden" name="__lookup__" sheetId="11" r:id="rId14"/>
  </sheets>
  <definedNames>
    <definedName hidden="1" localSheetId="0" name="_xlnm._FilterDatabase">Summary!$A$1:$K$19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8">
      <text>
        <t xml:space="preserve">model inserted correct external knowledge (underlined); should this be considered an error for consistency as are hallucinations? I'd say no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sharedStrings.xml><?xml version="1.0" encoding="utf-8"?>
<sst xmlns="http://schemas.openxmlformats.org/spreadsheetml/2006/main" count="544" uniqueCount="178">
  <si>
    <t>ID</t>
  </si>
  <si>
    <t>Model</t>
  </si>
  <si>
    <t>Prompt</t>
  </si>
  <si>
    <t>wc</t>
  </si>
  <si>
    <t>Coherence</t>
  </si>
  <si>
    <t>Consistency</t>
  </si>
  <si>
    <t>Fluency</t>
  </si>
  <si>
    <t>Relevance</t>
  </si>
  <si>
    <t>5W1H</t>
  </si>
  <si>
    <t>avg</t>
  </si>
  <si>
    <t>rank</t>
  </si>
  <si>
    <t>coh</t>
  </si>
  <si>
    <t>cons</t>
  </si>
  <si>
    <t>fluen</t>
  </si>
  <si>
    <t>rel</t>
  </si>
  <si>
    <t>Human</t>
  </si>
  <si>
    <t>Heading</t>
  </si>
  <si>
    <t>Jeremy</t>
  </si>
  <si>
    <t>Claude Sonnet 3.5</t>
  </si>
  <si>
    <t>Base</t>
  </si>
  <si>
    <t>CoT</t>
  </si>
  <si>
    <t>tldr</t>
  </si>
  <si>
    <t>Command R+</t>
  </si>
  <si>
    <t>GPT 4o</t>
  </si>
  <si>
    <t>Reka Core</t>
  </si>
  <si>
    <t>AVERAGE</t>
  </si>
  <si>
    <t>STDEV</t>
  </si>
  <si>
    <t>Text</t>
  </si>
  <si>
    <t>Author</t>
  </si>
  <si>
    <t>Summary</t>
  </si>
  <si>
    <t>www.berria.eus/euskal-herria/ehunka-herritarrek-etxebarriko-sexu-erasoa-salatu-dute_2126343_102.html</t>
  </si>
  <si>
    <t>Emakume batek sexu eraso bat jasan zuela salatu zuen atzo goizaldean, Etxebarrin (Bizkaia). Herriko jaiak ospatzen ari dira, eta kalean jarri ohi dituzten komunetan jazo zen erasoa. Etxebarriko Udalak bertan behera utzi zituen atzorako antolatuta zeuden ekitaldi guztiak. Udalak, sanantonioetako jai batzordeak eta txosnek elkarretaratzea egin dute Zintururi plazan, eta ehunka herritar bildu dira 'Erasorik ez, erantzunik gabe' lelopean. Ertzaintzak ikerketa abiatu du, eta ez dute inor atxilotu.
«Gure jaiak elkartzeko eta dibertitzeko guneak dira, eta gozatu nahi duten pertsona guztiak gonbidatzen ditugu, betiere askatasuna eta bizikidetza errespetatuz. Mezu hau ulertzen ez duten eta bestelako helburuak dituzten pertsonak ez dira ongi etorriak», adierazi du udalak ohar bidez.</t>
  </si>
  <si>
    <r>
      <rPr>
        <rFont val="Arial"/>
        <color rgb="FFFF0000"/>
        <sz val="9.0"/>
      </rPr>
      <t>Ehunka herritarrek</t>
    </r>
    <r>
      <rPr>
        <rFont val="Arial"/>
        <color theme="1"/>
        <sz val="9.0"/>
      </rPr>
      <t xml:space="preserve"> </t>
    </r>
    <r>
      <rPr>
        <rFont val="Arial"/>
        <color rgb="FFFF9900"/>
        <sz val="9.0"/>
      </rPr>
      <t>Etxebarriko</t>
    </r>
    <r>
      <rPr>
        <rFont val="Arial"/>
        <color theme="1"/>
        <sz val="9.0"/>
      </rPr>
      <t xml:space="preserve"> </t>
    </r>
    <r>
      <rPr>
        <rFont val="Arial"/>
        <color rgb="FF38761D"/>
        <sz val="9.0"/>
      </rPr>
      <t>sexu erasoa salatu dute</t>
    </r>
    <r>
      <rPr>
        <rFont val="Arial"/>
        <color theme="1"/>
        <sz val="9.0"/>
      </rPr>
      <t xml:space="preserve">. </t>
    </r>
    <r>
      <rPr>
        <rFont val="Arial"/>
        <color rgb="FF38761D"/>
        <sz val="9.0"/>
      </rPr>
      <t>Elkarretaratzea egin dute</t>
    </r>
    <r>
      <rPr>
        <rFont val="Arial"/>
        <color theme="1"/>
        <sz val="9.0"/>
      </rPr>
      <t xml:space="preserve"> </t>
    </r>
    <r>
      <rPr>
        <rFont val="Arial"/>
        <strike/>
        <color theme="1"/>
        <sz val="9.0"/>
      </rPr>
      <t>17:00etan</t>
    </r>
    <r>
      <rPr>
        <rFont val="Arial"/>
        <color theme="1"/>
        <sz val="9.0"/>
      </rPr>
      <t xml:space="preserve">, </t>
    </r>
    <r>
      <rPr>
        <rFont val="Arial"/>
        <color rgb="FFFF9900"/>
        <sz val="9.0"/>
      </rPr>
      <t>Zintururi plazan</t>
    </r>
    <r>
      <rPr>
        <rFont val="Arial"/>
        <color theme="1"/>
        <sz val="9.0"/>
      </rPr>
      <t xml:space="preserve">. </t>
    </r>
    <r>
      <rPr>
        <rFont val="Arial"/>
        <color rgb="FFFF0000"/>
        <sz val="9.0"/>
      </rPr>
      <t>Ertzaintzak</t>
    </r>
    <r>
      <rPr>
        <rFont val="Arial"/>
        <color theme="1"/>
        <sz val="9.0"/>
      </rPr>
      <t xml:space="preserve"> </t>
    </r>
    <r>
      <rPr>
        <rFont val="Arial"/>
        <color rgb="FF38761D"/>
        <sz val="9.0"/>
      </rPr>
      <t>ikerketa abiatu du</t>
    </r>
    <r>
      <rPr>
        <rFont val="Arial"/>
        <color theme="1"/>
        <sz val="9.0"/>
      </rPr>
      <t>, eta ez dute inor atxilotu.</t>
    </r>
  </si>
  <si>
    <t>https://www.berria.eus/euskal-herria/erramun-baxok-ohorezko-euskaltzaina-zendu-da_2126101_102.html</t>
  </si>
  <si>
    <t>Euskaltzaindiak jakinarazi du Erramun Baxok ohorezko euskaltzainak azken hatsa eman duela; 96 urte zituen. Filosofian doktorea zen Baxok, eta irakasle eta ikerlari gisa aritu izan da lanean. Euskal Herriko mundu pedagogikoan, soziolinguistikoan eta kulturalean inplikatua izan da. Pizkundean eta Euskal Konfederazioan parte hartu zuen, eta Euskal Kultur Erakundearen buru izan zen 1990etik 2005era. Euskaltzaindiak ohorezko kide izendatu zuen 2010ean. «Euskaltzain jakintsua, euskararen geroaz kezkatuta beti, eta soziolinguistikan goren mailako aditua» zela oroitu du Andres Urrutia euskaltzainburuak.
Suhuskunen (Nafarroa Beherea) sortu zen Baxok, 1928an, sei haurrideko familia batean. Gurasoak euskaldun elebakarrak zituen, eta frantsesezko hitz gutxi zekizkiela hasi zen herriko eskola publikoan, sei urterekin. «Eskolan dena frantsesez egiten genuen, errientsa euskalduna zelarik». Euskaltzaleen Biltzarrarekin harremana izan zuen, baina bere baitarik landu zuen euskara nagusiki, Piarres Lafitteren hiztegiarekin, eta gerora Xarles Bidegainekin. Terexa Lekunberrik elkarrizketatu zuen 2010ean, Ipar Euskal Herriko ahozko memoria biltzea helburu duen Mintzoak proiektuarentzat, eta orduan kontatu zuen oroitzapen hori.
Seminarioan egin zituen ikasketak, Landetan, Bretainian eta Frantzian; unibertsitateko ikasketen ondotik, Filosofiako lizentzia eskuratu zuen 1953an. Apaiza eta filosofia irakaslea izan zen 1967 arte.
Gerora, Renee Samsonekin ezkondu, eta 1968tik 1978ra Quebecen bizi izan ziren. Han sortu ziren haien hiru haurrak. Ikasketekin segitu zuen Quebecen, eta pertsonalismoari buruzko doktoretza aurkeztu zuen 1976an. Soziolinguistikari buruzko ikasketak egin zituen ondotik, Elebitasunari Buruzko Ikerketen Nazioarteko Zentroan (CIRB).
Euskal Herrira itzuli zenean, hizkuntzalaritza aplikatua irakasten aritu zen, baina Quebecen eskolak ematen ere segitu zuen. Euskal Herriko proiektu anitzetan hartu zuen parte, hala nola Ikas pedagogia zentroan: Euskaraz Bizi multimedia metodoa sortzen aritu zen. Euskararen eta euskal kulturaren jardunaldietan parte hartu zuen, eta Pizkundea elkarteko eta Euskal Konfederazioko zuzendaritzako kide izan zen. 1991tik 2011 bitartean, bost urtean behin egin ziren inkesta soziolinguistikoetan parte hartu zuen.
Soziolinguistikan ekarpena
1995 eta 2000 bitartean, hizkuntzaren antolaketa eskemaren idazketan parte hartu zuen Baxokek, Euskal Herriko Garapen Kontseiluan. Halaber, EKE Euskal Kultur Erakundeko eta Euskararen Erakunde Publikoko soziolinguistika aholkularia zen, eta Euskaltzaindiko euskararen sustapen saileko kide aktiboa. 2005ean, EKE utzi zuenenean, Erramuzpek hartu zuen Baxoken segida lehendakaritzan. Eskerrak eman nahi izan dizkio, «kuraia eta konfiantza» handia eman ziolako. «Jendekina zen biziki, eta jakintsu handia zen enetzat», oroitu du.
Soziolinguistika arloan egin zuen ekarpena azpimarratu du Xarles Bidegain euskaltzainak. «Quebecen hizkuntzaren inguruan egiten zuten lana ikertu zuen, eta hona ekarri zuen». Erran du hizkuntza politika bat zutik ezartzeko «ikuspegia» ekarria zuela Baxokek, «euskara ez zela norberaren problema, problema publikoa baizik». Gauza bera nabarmendu du Mikel Erramuzpek ere: «Ekarpen ikaragarria egin zuen: Quebeceko kontzeptuak eta irakurketak ekarri zituen Euskal Herrira. Guk ez genekizkien gauza horiek. Euskararen alde ginen, bai, baina nola funtzionatzen du hizkuntza batek gizarte batean? Hori ekarri zuen Baxokek».
X sarean zabaldutako mezu batean, Soziolinguista Klusterrak jakinarazi du Baxokek egindako proposamenetatik abiatu zirela Klusterraren sorrerarako lehen hausnarketak. «Euskal Herrian Quebecen ezagututakoen antzeko soziolinguistika ikergune bat sortzeko beharra azaleratu zuen». Hogei urte beteko ditu aurten Soziolinguistika Klusterrak.
«Langile porrokatua» izan zela adierazi du EKEk, sareetan zabaldutako mezu batean, eta doluminak adierazi dizkio familiari. Euskalgintzaren Kontseiluak besarkada estua helarazi die «bidelagun» izan zutenaren adiskide eta senideei. «Herriak militante bat galdu du. Milesker euskararen alde egindako lan guziagatik», adierazi du EH Baik. «Euskararen aldeko defendatzaile nekaezina» omendu du EAJk.
BERRIAk elkarrizketa egin zion 2013an, BERRIAlaguna kanpainaren harira. Euskarazko hedabidea laguntzeko beharraz aritu zen: «Lehenik Euskaldunon Egunkaria, eta gero BERRIA; beti irakurri ditut biak. Ideia nuen BERRIAri ez zitzaiola gertatu behar Egunkaria-ri gertatu zitzaiona, ez behintzat gure faltagatik».</t>
  </si>
  <si>
    <r>
      <rPr>
        <rFont val="Arial"/>
        <color rgb="FFFF0000"/>
        <sz val="9.0"/>
      </rPr>
      <t>Erramun Baxok ohorezko euskaltzaina</t>
    </r>
    <r>
      <rPr>
        <rFont val="Arial"/>
        <color theme="1"/>
        <sz val="9.0"/>
      </rPr>
      <t xml:space="preserve"> </t>
    </r>
    <r>
      <rPr>
        <rFont val="Arial"/>
        <color rgb="FF38761D"/>
        <sz val="9.0"/>
      </rPr>
      <t>zendu da</t>
    </r>
    <r>
      <rPr>
        <rFont val="Arial"/>
        <color theme="1"/>
        <sz val="9.0"/>
      </rPr>
      <t>. Mundu pedagogikoan, soziolinguistikoan eta kulturalean inplikatua izan da. Euskal Kultur Erakundeko lehendakari izan zen 1990etik 2005era.</t>
    </r>
  </si>
  <si>
    <t>https://www.berria.eus/euskal-herria/etxelekuren-kargugabetzea-kritikatu-dute-errobiko-bederatzi-hautetsik_2125690_102.html</t>
  </si>
  <si>
    <t>Errobiko bederatzi hautetsik agiria zabaldu dute Peio Etxelekuri lurralde eremuko ordezkaritza kendu izana kritikatzeko. Etxelekuren kontra jo zuten sei auzapezen jarrera salatu dute, eta ez dute ontzat eman Jean Rene Etxegarai Euskal Hirigune Elkargoko lehendakariak kargua kentzeko erabakia hartu izana, lurralde eremuko batzordea «informatu eta kontsultatu gabe».
Ikusi gehiago
Hauek dira adierazpena izenpetu duten hautetsiak: Yannick Bassier eta Emmanuelle Dallet (Basusarri), Denise Cedarry, Mikel Goienetxe, Erik Mailharrancin eta Françoise Gallois (Uztaritze), Laetitia Croc eta Nicole Etxamendi (Itsasu), eta Argitxu Hiriart Urruti. Mikel Hiribarren Itsasuko auzapezak ere izenpetu du testua —ez du lurralde eremuan parte hartzen—.
Sei auzapezek Etxelekuren kontra gutun bat idaztearen «printzipioa» bera salatu dute hautetsi izenpetzaileek, eta baita Etxegarairen «presakako eta errekurtsorik gabeko» erabakia ere. «Lurralde eremuko 11 auzapezetatik seik sinatzea gehiengo eskasa da. Hiru auzapezek ez dute gutuna izenpetzea onartu, eta beste biei ez zaie jakinarazi ere egin», gaineratu dute.
Izenpetzaileen hitzetan, lehendakariak «berehala» kendu dio ordezkaritza Etxelekuri, «haren argudioak entzun gabe, eta sinatzaile ez diren auzapezen jarrera ezagutzen saiatu gabe». Horrez gain, azpimarratu dute lurralde eremua «informatu eta kontsultatu» gabe jardun dela.
Euskal Hirigune Elkargoko gobernantza itunaren kontrakoa da hori, hautetsien iritziz. Izan ere, bertan idatzia da lurralde eremuak egindako proposamenetan oinarrituko dela lehendakaria eremu bakoitzeko ordezkariak izendatzeko. «Lurralde batzordeko kideak izan dira, haien artean kargu hori zuten auzapezak, beren erreferentearen proposamenaren alde bozkatu dutenak eta, ondorioz, beren burua zilegitzat jotzen dutenak balioesteko ea erreferenteak bere eginkizuna behar bezala betetzen ote duen».
Hautetsiek erran dute ez dutela «onartzen» gertatu dena, eta eskatu dute gobernantza itunean «zehaztua eta berriz aztertua» izan dadila lurralde batzordeetako kideek duten «rola eta zilegitasuna».
Lurralde eremuetako batzordeak
2020ko agintaldia hasterako sortu zituzten lurralde eremuetako batzordeak Euskal Hirigune Elkargoan. Erakundea sortu aitzin ziren hamar herri elkargoen perimetroak hautatu zituzten. Elkarrizketa eta eztabaidarako eremuak dira, hirigune elkargoan aztergai dituzten gaiak lantzeko. Errobiko lurralde eremuan, Lapurdi barnealdeko 11 herri daude: Arrangoitze, Basusarri, Larresoro, Zuraide, Ezpeleta, Itsasu, Luhuso, Kanbo, Haltsu, Jatsu eta Uztaritze. 35 hautetsik parte hartzen dute; batzuk herriko bozetan elkargoko hautetsi izendatu zituzten, eta gainerakoak herriko kontseiluetan izendatu zituzten. Errobiko zortzi auzapez dira lurralde batzordeko kide; gainerako hirurek herriko beste hautetsi baten esku utzi dute funtzioa.</t>
  </si>
  <si>
    <r>
      <rPr>
        <rFont val="Arial"/>
        <color rgb="FF38761D"/>
        <sz val="9.0"/>
      </rPr>
      <t>Etxelekuren kargugabetzea kritikatu dute</t>
    </r>
    <r>
      <rPr>
        <rFont val="Arial"/>
        <color theme="1"/>
        <sz val="9.0"/>
      </rPr>
      <t xml:space="preserve"> </t>
    </r>
    <r>
      <rPr>
        <rFont val="Arial"/>
        <color rgb="FFFF0000"/>
        <sz val="9.0"/>
      </rPr>
      <t>Errobiko bederatzi hautetsik</t>
    </r>
    <r>
      <rPr>
        <rFont val="Arial"/>
        <color theme="1"/>
        <sz val="9.0"/>
      </rPr>
      <t xml:space="preserve">. </t>
    </r>
    <r>
      <rPr>
        <rFont val="Arial"/>
        <color rgb="FF38761D"/>
        <sz val="9.0"/>
      </rPr>
      <t>Etxegarai lehendakariaren egiteko moldea gaitzetsi dute, eta adierazi dute ez duela errespetatu elkargoaren gobernantza ituna</t>
    </r>
    <r>
      <rPr>
        <rFont val="Arial"/>
        <color theme="1"/>
        <sz val="9.0"/>
      </rPr>
      <t>.</t>
    </r>
  </si>
  <si>
    <t>https://www.berria.eus/euskal-herria/itziar-lakari-eman-diote-eusko-ikaskuntzaren-saria_2125317_102.html</t>
  </si>
  <si>
    <t>Eusko Ikaskuntzak iragarri duenez, Itziar Lakari emango diote Eusko Ikaskuntza-Laboral Kutxaren Humanitateen, Kulturaren, Arteen eta Gizarte Zientzien Saria. Nabarmendu dutenez, Lakak «ekarpen berritzaileak» egin ditu euskararen garapenerako eta «hizkuntza gaitasunak gobernatzen dituzten mekanismoetan» sakontzeko: «Ekarpen nabarmena egin du euskararen eta Euskal Herriko garapen zientifikoaren eta kulturalaren inguruan».
Laka Getxon sortua da (Bizkaia), 1962an, eta hizkuntzalaria. Eusko Ikaskuntzak nabarmendu duenez, hizkuntzalaritza esperimentala eta neurohizkuntzalaritza lantzen dituen lehenengo ikerketa taldea sortu zuen 2010ean. Halaber, hainbat proiekturen ikertzaile nagusi izan da, eta zenbait unibertsitatetan irakasle ere aritu da. Epaimahaiak Lakak egindako ibilbidea saritu du: «Eredu handia izan da, gazteen artean ere, euskara goreneko maila zientifikoan jarriz, metodologia berriak baliatuz, punta-puntako ikerketekin landuz, egun berebiziko garrantzia duten alorrak jorratuz».
Ibilbide horretan, epaimahaiaren ustez, «funtsezko dimentsioa» izan da euskara unibertsitatean eta gizartean sustatzea. Gaur egun, Euskara Sustatzeko Zuzendaritzako buru da EHU Euskal Herriko Unibertsitateko EuskaraREN, KulturaREN eta Nazioartekotzearen arloko errektoreordetzan, eta, EHUko Euskara Institutuarekin lankidetzan, hizkuntzalaritza lan klasikoen itzulpena sustatu du. Gainera, adierazi dute Lakak «lan itzela» egin duela zientziaren eta zientzia kulturaren zabalpenean: «Elebitasunaren inguruan egon diren mito batzuk ebidentzia zientifikoaren bitartez bertan behera utzi ditu, eta, euskarari ez ezik, hizkuntzalaritzari bere osotasunean ere ekarpen nabaria eta agerikoa egin».</t>
  </si>
  <si>
    <t>Itziar Lakari eman diote Eusko Ikaskuntzaren saria. Eusko Ikaskuntzaren irudiko, «ekarpen nabarmena» egin du euskararen eta Euskal Herriko garapen zientifikoaren eta kulturalaren inguruan. Horregatik emango diote Eusko Ikaskuntzako Humanitateen, Kulturaren, Arteen eta Gizarte Zientzien Saria.</t>
  </si>
  <si>
    <t>https://www.berria.eus/euskal-herria/sexu-indarkeriaren-biktimentzako-zentro-bat-zabaldu-dute-araban_2124914_102.html</t>
  </si>
  <si>
    <t>Sexu indarkeria jasaten duten emakumeei arreta integrala emateko zentro bat zabaldu du Arabako Foru Aldundiak. «Krisi eta larrialdi egoeretan» artatuko dituzte andreak, egunean 24 orduz eta urtean 365 egunez, aurrez aurre, telefonoz zein online. Apirilaren 19tik dago martxan Tximeletak zentroa, Gasteizko erdigunean, baina ez dute zehaztu non dagoen, erabiltzaileen konfidentzialtasuna bermatze aldera. Sexu bortizkeria nozitu duten emakumeei eta haien gertukoei arreta integrala emateko ireki dute gunea, eta biktimen lehengoratze psikologikoa sustatuko du, laguntza sozial eta juridikorako tresnak haien esku jarrita.
Gorka Urtaran Gizarte Politiketarako diputatuak eta Maika Diez Bermejo Esku Hartze Sozialeko zuzendariorde teknikoak eman dituzte zentro berriaren xehetasunak. Biktimak babesteko, laguntzeko eta osatzeko lan egingo dute zentroan, eta gainerako arreta zerbitzuekin koordinatuta arituko dira, bortizkeriaren biktimak bertara bideratu ditzaten. Baina andrazkoek euren kabuz ere jo dezakete hara, bai telefonoz (650-80 10 80), bai posta elektronikoz ([email protected]), bai webgunearen bidez (www.tximeletak24h.araba.eus).
Sexu indarkeriaren biktimei arreta osoa emate aldera, Hego Euskal Herriko herrialde guztietan zabaldu behar dute horrelako zentro bat, Istanbulgo Hitzarmenak eta soilik baietz da baietz legeak hala zehaztuta. Jada zentro bat zabaldua dute Nafarroan, baita Bizkaian ere —beste bat irekitzea aurreikusi dute han—, eta hiru irekiko dituzte Gipuzkoan.
Urtaranek esplikatu du indarrean den legediak zehazten duela sexu indarkeria giza eskubideen urraketa «larria» eta «egiturazkoa» dela, baina maiz «ezkutuan» dagoela. Hala, ireki berri duten zentroan, diziplina askotako profesional talde batek aurrez aurreko laguntza eskainiko dio biktimari krisi eta larrialdi egoeretan, arreta psikologikoa eta aholkularitza juridikoa barne.
Beharrezkoa bada, biktimari laguntza eskainiko diote Osakidetzako larrialdietara edo lehen mailako arretara jotzeko, salaketa jartzeko edota bere gertuko senide edo lagunekin elkartzeko. Biktimen detekzioan, prebentzioan eta arretan lan egiten duten eragile guztien koordinazioa bermatuko dute hala: harrera eta komunikazio protokoloak landu dituzte Ertzaintzarekin, Osakidetzarekin, Justiziarekin, Emakunderekin eta beste gizarte zerbitzuekin.
«Sexu indarkeria giza eskubideen urraketa larria eta egiturazkoa da, baina, maiz, ezkutuan dago».
GORKA URTARANArabako Gizarte Politiketako diputatua
Sexu bortizkeria noiznahi jasan duten emakumeek jo dezakete zentrora, 18 urte baino gehiago badituzte edo adingabe emantzipatuak badira, eta ez da beharrezkoa aurrez salaketa jarria izatea. Artatuak izango dira sexu-indarkeria molde guztiak pairatu dituzten andrazkoak, hala nola sexu erasoak, jazarpena, sexu konnotazioa duen jazarpena, eremu digitaleko sexu indarkeria eta sexu indarkeriarekin lotutako hilketak.
Biktimentzako «abaroa»
Biktimen «lehengoratze integrala» sustatuko dute bertan, besteak beste informazioa, aholkularitza eta arreta soziala, juridikoa eta psikologikoa eskainita. Indarkeria sexualaren ondorioen aurkako estrategia baten barruan lan egingo dute, helburua baita biktimaren erreparazioa lortzea, emakume kaltetuek bizitako esperientzia traumatikoen ondoren euren bizitzarekin jarraitu ahal izan dezaten.
«Sexu eraso batek shock egoera bat sortzen du, eta esku hartzea ezinbestekoa da, trauma bihurtu ez dadin», azaldu du Urtaranek. Biktimentzako «abaro» izan nahi du zentroak, «babestuta, zainduta eta onartuta» sentitu daitezen, eta haien testigantzei sinesgarritasuna emango zaie, haien «birbiktimizazioa» saihesteko. Mezu horretan jarri du indarra Diezek: «Gure premisa zera da: sinesten dizugu, entzuten dizugu, eta lagunduko dizugu».
Ia laurehun metro koadroko lokala atondu dute hiriaren erdigunean, biktimak «babestuta, zainduta eta onartuta» egon daitezen. Biktimei arreta emateko bulegoak, patio bat, eta hitzaldietarako eta prestakuntzarako gelak ditu. Zentroa Europako Batasunaren Next Generation funtsekin eraiki dute; denera, 1,4 miloi euro. Kudeaketa gastuak bere gain hartuko ditu Arabako Foru Aldundiak, eta datozen bi urteetan milioi bat euro bideratuko dizkio egitasmoari.
1092023an zenbat biktima Araban. 2023. urtean sexu askatasunaren aurkako delituen biktima izan ziren 109 emakume artatu zituzten Hegoak foru zerbitzuan. Kasu horiekin batera, zuzeneko biktimak izan ziren 23 adingaberi eta 45 senideri ere arreta eskaini zieten. Orain arte Hegoak erakundeak artatu dituen sexu indarkeriaren biktimak hartuko ditu aurrerantzean Tximeletak krisi zentroak. Emakunderen datuen arabera, 2023an 92 emakumek aurkeztu zuten salaketa Araban sexu askatasunaren aurkako delituengatik. Aurtengo lehen hiruhilekoan sexu indarkeriagatiko 19 salaketa erregistratu dira, iazko aldi berean zenbatutakoak halako lau.</t>
  </si>
  <si>
    <r>
      <rPr>
        <rFont val="Arial"/>
        <color rgb="FF38761D"/>
        <sz val="9.0"/>
      </rPr>
      <t>Sexu indarkeriaren biktimentzako zentro bat zabaldu dute</t>
    </r>
    <r>
      <rPr>
        <rFont val="Arial"/>
        <color theme="1"/>
        <sz val="9.0"/>
      </rPr>
      <t xml:space="preserve"> </t>
    </r>
    <r>
      <rPr>
        <rFont val="Arial"/>
        <color rgb="FFFF9900"/>
        <sz val="9.0"/>
      </rPr>
      <t>Araban</t>
    </r>
    <r>
      <rPr>
        <rFont val="Arial"/>
        <color theme="1"/>
        <sz val="9.0"/>
      </rPr>
      <t>. Bortxa sexuala jasan duten andreei arta «integrala» ematea du helburu, «krisi eta larrialdi egoeretan».</t>
    </r>
  </si>
  <si>
    <r>
      <rPr>
        <rFont val="Arial"/>
        <color rgb="FF666666"/>
        <sz val="9.0"/>
      </rPr>
      <t>Testu horren analisia egingo dut:</t>
    </r>
    <r>
      <rPr>
        <rFont val="Arial"/>
        <color theme="1"/>
        <sz val="9.0"/>
      </rPr>
      <t xml:space="preserve">
GERTAERA NAGUSIA:
- </t>
    </r>
    <r>
      <rPr>
        <rFont val="Arial"/>
        <color rgb="FF38761D"/>
        <sz val="9.0"/>
      </rPr>
      <t>Sexu eraso bat gertatu da</t>
    </r>
    <r>
      <rPr>
        <rFont val="Arial"/>
        <color theme="1"/>
        <sz val="9.0"/>
      </rPr>
      <t xml:space="preserve"> </t>
    </r>
    <r>
      <rPr>
        <rFont val="Arial"/>
        <color rgb="FFFF9900"/>
        <sz val="9.0"/>
      </rPr>
      <t>Etxebarriko (Bizkaia)</t>
    </r>
    <r>
      <rPr>
        <rFont val="Arial"/>
        <color theme="1"/>
        <sz val="9.0"/>
      </rPr>
      <t xml:space="preserve"> </t>
    </r>
    <r>
      <rPr>
        <rFont val="Arial"/>
        <color rgb="FF4A86E8"/>
        <sz val="9.0"/>
      </rPr>
      <t>jaietan</t>
    </r>
    <r>
      <rPr>
        <rFont val="Arial"/>
        <color theme="1"/>
        <sz val="9.0"/>
      </rPr>
      <t xml:space="preserve">, zehazki </t>
    </r>
    <r>
      <rPr>
        <rFont val="Arial"/>
        <color rgb="FFFF9900"/>
        <sz val="9.0"/>
      </rPr>
      <t>komun publikoetan</t>
    </r>
    <r>
      <rPr>
        <rFont val="Arial"/>
        <color theme="1"/>
        <sz val="9.0"/>
      </rPr>
      <t xml:space="preserve"> </t>
    </r>
    <r>
      <rPr>
        <rFont val="Arial"/>
        <strike/>
        <color theme="1"/>
        <sz val="9.0"/>
      </rPr>
      <t>goizaldean</t>
    </r>
    <r>
      <rPr>
        <rFont val="Arial"/>
        <color theme="1"/>
        <sz val="9.0"/>
      </rPr>
      <t xml:space="preserve">
ONDORIOAK:
1. Instituzionala:
- </t>
    </r>
    <r>
      <rPr>
        <rFont val="Arial"/>
        <color rgb="FFFF0000"/>
        <sz val="9.0"/>
      </rPr>
      <t>Udalak</t>
    </r>
    <r>
      <rPr>
        <rFont val="Arial"/>
        <color theme="1"/>
        <sz val="9.0"/>
      </rPr>
      <t xml:space="preserve"> </t>
    </r>
    <r>
      <rPr>
        <rFont val="Arial"/>
        <color rgb="FF38761D"/>
        <sz val="9.0"/>
      </rPr>
      <t>egun horretarako programatutako ekitaldi guztiak bertan behera utzi ditu</t>
    </r>
    <r>
      <rPr>
        <rFont val="Arial"/>
        <color theme="1"/>
        <sz val="9.0"/>
      </rPr>
      <t xml:space="preserve">
- </t>
    </r>
    <r>
      <rPr>
        <rFont val="Arial"/>
        <color rgb="FFFF0000"/>
        <sz val="9.0"/>
      </rPr>
      <t>Ertzaintzak</t>
    </r>
    <r>
      <rPr>
        <rFont val="Arial"/>
        <color theme="1"/>
        <sz val="9.0"/>
      </rPr>
      <t xml:space="preserve"> </t>
    </r>
    <r>
      <rPr>
        <rFont val="Arial"/>
        <color rgb="FF38761D"/>
        <sz val="9.0"/>
      </rPr>
      <t>ikerketa hasi du</t>
    </r>
    <r>
      <rPr>
        <rFont val="Arial"/>
        <color theme="1"/>
        <sz val="9.0"/>
      </rPr>
      <t xml:space="preserve">, baina oraingoz ez dago atxiloturik
2. Herritarren erantzuna:
- </t>
    </r>
    <r>
      <rPr>
        <rFont val="Arial"/>
        <color rgb="FF38761D"/>
        <sz val="9.0"/>
      </rPr>
      <t>Elkarretaratzea antolatu dute</t>
    </r>
    <r>
      <rPr>
        <rFont val="Arial"/>
        <color theme="1"/>
        <sz val="9.0"/>
      </rPr>
      <t xml:space="preserve"> hainbat erakundek:
  * </t>
    </r>
    <r>
      <rPr>
        <rFont val="Arial"/>
        <color rgb="FFFF0000"/>
        <sz val="9.0"/>
      </rPr>
      <t xml:space="preserve">Udala
</t>
    </r>
    <r>
      <rPr>
        <rFont val="Arial"/>
        <color theme="1"/>
        <sz val="9.0"/>
      </rPr>
      <t xml:space="preserve">  * </t>
    </r>
    <r>
      <rPr>
        <rFont val="Arial"/>
        <color rgb="FFFF0000"/>
        <sz val="9.0"/>
      </rPr>
      <t xml:space="preserve">Jai batzordea
</t>
    </r>
    <r>
      <rPr>
        <rFont val="Arial"/>
        <color theme="1"/>
        <sz val="9.0"/>
      </rPr>
      <t xml:space="preserve">  * </t>
    </r>
    <r>
      <rPr>
        <rFont val="Arial"/>
        <color rgb="FFFF0000"/>
        <sz val="9.0"/>
      </rPr>
      <t>Txosnak</t>
    </r>
    <r>
      <rPr>
        <rFont val="Arial"/>
        <color theme="1"/>
        <sz val="9.0"/>
      </rPr>
      <t xml:space="preserve">
- </t>
    </r>
    <r>
      <rPr>
        <rFont val="Arial"/>
        <color rgb="FFFF0000"/>
        <sz val="9.0"/>
      </rPr>
      <t>Ehunka herritar</t>
    </r>
    <r>
      <rPr>
        <rFont val="Arial"/>
        <color theme="1"/>
        <sz val="9.0"/>
      </rPr>
      <t xml:space="preserve"> </t>
    </r>
    <r>
      <rPr>
        <rFont val="Arial"/>
        <color rgb="FF38761D"/>
        <sz val="9.0"/>
      </rPr>
      <t>bildu dira protestatzeko</t>
    </r>
    <r>
      <rPr>
        <rFont val="Arial"/>
        <color theme="1"/>
        <sz val="9.0"/>
      </rPr>
      <t xml:space="preserve">
- </t>
    </r>
    <r>
      <rPr>
        <rFont val="Arial"/>
        <color rgb="FFBF9000"/>
        <sz val="9.0"/>
      </rPr>
      <t>Leloa: "Erasorik ez, erantzunik gabe"</t>
    </r>
    <r>
      <rPr>
        <rFont val="Arial"/>
        <color theme="1"/>
        <sz val="9.0"/>
      </rPr>
      <t xml:space="preserve">
UDALAREN JARRERA:
- Argi utzi du jaiak dibertitzeko eta elkartzeko guneak direla
- Askatasuna eta bizikidetza errespetatzea ezinbestekotzat jo du
- Helburu desegokiak dituzten pertsonak ez direla ongi etorriak azpimarratu du
</t>
    </r>
    <r>
      <rPr>
        <rFont val="Arial"/>
        <color rgb="FF666666"/>
        <sz val="9.0"/>
      </rPr>
      <t xml:space="preserve">
Testuak erakusten du nola </t>
    </r>
    <r>
      <rPr>
        <rFont val="Arial"/>
        <color theme="1"/>
        <sz val="9.0"/>
      </rPr>
      <t>komunitate batek sexu eraso</t>
    </r>
    <r>
      <rPr>
        <rFont val="Arial"/>
        <strike/>
        <color theme="1"/>
        <sz val="9.0"/>
      </rPr>
      <t>en</t>
    </r>
    <r>
      <rPr>
        <rFont val="Arial"/>
        <color theme="1"/>
        <sz val="9.0"/>
      </rPr>
      <t xml:space="preserve"> aurrean erantzun duen, bai instituzionalki bai herritarren aldetik, gertaera larri honen aurrean elkartasuna eta gaitzespena adieraziz.</t>
    </r>
  </si>
  <si>
    <r>
      <rPr>
        <rFont val="Arial"/>
        <color rgb="FF666666"/>
        <sz val="9.0"/>
      </rPr>
      <t>Testuaren edukirik garrantzitsuena da</t>
    </r>
    <r>
      <rPr>
        <rFont val="Arial"/>
        <color theme="1"/>
        <sz val="9.0"/>
      </rPr>
      <t xml:space="preserve"> </t>
    </r>
    <r>
      <rPr>
        <rFont val="Arial"/>
        <color rgb="FF4A86E8"/>
        <sz val="9.0"/>
      </rPr>
      <t>Etxebarriko (Bizkaia) jaietan</t>
    </r>
    <r>
      <rPr>
        <rFont val="Arial"/>
        <color theme="1"/>
        <sz val="9.0"/>
      </rPr>
      <t xml:space="preserve"> </t>
    </r>
    <r>
      <rPr>
        <rFont val="Arial"/>
        <color rgb="FF38761D"/>
        <sz val="9.0"/>
      </rPr>
      <t>sexu eraso bat gertatu zela</t>
    </r>
    <r>
      <rPr>
        <rFont val="Arial"/>
        <color theme="1"/>
        <sz val="9.0"/>
      </rPr>
      <t xml:space="preserve"> eta horren ondorioz </t>
    </r>
    <r>
      <rPr>
        <rFont val="Arial"/>
        <color rgb="FFFF0000"/>
        <sz val="9.0"/>
      </rPr>
      <t>herriak</t>
    </r>
    <r>
      <rPr>
        <rFont val="Arial"/>
        <color theme="1"/>
        <sz val="9.0"/>
      </rPr>
      <t xml:space="preserve"> </t>
    </r>
    <r>
      <rPr>
        <rFont val="Arial"/>
        <color rgb="FF38761D"/>
        <sz val="9.0"/>
      </rPr>
      <t>erantzun sendoa eman zuela</t>
    </r>
    <r>
      <rPr>
        <rFont val="Arial"/>
        <color theme="1"/>
        <sz val="9.0"/>
      </rPr>
      <t xml:space="preserve">.
</t>
    </r>
    <r>
      <rPr>
        <rFont val="Arial"/>
        <color rgb="FF666666"/>
        <sz val="9.0"/>
      </rPr>
      <t>Laburpena eduki nagusian oinarrituta:</t>
    </r>
    <r>
      <rPr>
        <rFont val="Arial"/>
        <color theme="1"/>
        <sz val="9.0"/>
      </rPr>
      <t xml:space="preserve">
</t>
    </r>
    <r>
      <rPr>
        <rFont val="Arial"/>
        <color rgb="FF4A86E8"/>
        <sz val="9.0"/>
      </rPr>
      <t>Etxebarriko jaietan</t>
    </r>
    <r>
      <rPr>
        <rFont val="Arial"/>
        <color theme="1"/>
        <sz val="9.0"/>
      </rPr>
      <t xml:space="preserve"> </t>
    </r>
    <r>
      <rPr>
        <rFont val="Arial"/>
        <color rgb="FFFF0000"/>
        <sz val="9.0"/>
      </rPr>
      <t>emakume batek</t>
    </r>
    <r>
      <rPr>
        <rFont val="Arial"/>
        <color theme="1"/>
        <sz val="9.0"/>
      </rPr>
      <t xml:space="preserve"> </t>
    </r>
    <r>
      <rPr>
        <rFont val="Arial"/>
        <color rgb="FF38761D"/>
        <sz val="9.0"/>
      </rPr>
      <t>sexu erasoa jasan zuen</t>
    </r>
    <r>
      <rPr>
        <rFont val="Arial"/>
        <color theme="1"/>
        <sz val="9.0"/>
      </rPr>
      <t xml:space="preserve"> </t>
    </r>
    <r>
      <rPr>
        <rFont val="Arial"/>
        <color rgb="FFFF9900"/>
        <sz val="9.0"/>
      </rPr>
      <t>herriko komun publikoetan</t>
    </r>
    <r>
      <rPr>
        <rFont val="Arial"/>
        <color theme="1"/>
        <sz val="9.0"/>
      </rPr>
      <t xml:space="preserve">. </t>
    </r>
    <r>
      <rPr>
        <rFont val="Arial"/>
        <color rgb="FF674EA7"/>
        <sz val="9.0"/>
      </rPr>
      <t>Gertaeraren aurrean</t>
    </r>
    <r>
      <rPr>
        <rFont val="Arial"/>
        <color theme="1"/>
        <sz val="9.0"/>
      </rPr>
      <t xml:space="preserve">, </t>
    </r>
    <r>
      <rPr>
        <rFont val="Arial"/>
        <color rgb="FFFF0000"/>
        <sz val="9.0"/>
      </rPr>
      <t>udalak</t>
    </r>
    <r>
      <rPr>
        <rFont val="Arial"/>
        <color theme="1"/>
        <sz val="9.0"/>
      </rPr>
      <t xml:space="preserve"> </t>
    </r>
    <r>
      <rPr>
        <rFont val="Arial"/>
        <color rgb="FF38761D"/>
        <sz val="9.0"/>
      </rPr>
      <t>eguneko ekitaldiak bertan behera utzi zituen</t>
    </r>
    <r>
      <rPr>
        <rFont val="Arial"/>
        <color theme="1"/>
        <sz val="9.0"/>
      </rPr>
      <t xml:space="preserve"> eta </t>
    </r>
    <r>
      <rPr>
        <rFont val="Arial"/>
        <color rgb="FFFF0000"/>
        <sz val="9.0"/>
      </rPr>
      <t>herritarrek</t>
    </r>
    <r>
      <rPr>
        <rFont val="Arial"/>
        <color theme="1"/>
        <sz val="9.0"/>
      </rPr>
      <t xml:space="preserve"> </t>
    </r>
    <r>
      <rPr>
        <rFont val="Arial"/>
        <color rgb="FF38761D"/>
        <sz val="9.0"/>
      </rPr>
      <t>elkarretaratzea egin zuten</t>
    </r>
    <r>
      <rPr>
        <rFont val="Arial"/>
        <color theme="1"/>
        <sz val="9.0"/>
      </rPr>
      <t xml:space="preserve"> </t>
    </r>
    <r>
      <rPr>
        <rFont val="Arial"/>
        <color rgb="FFBF9000"/>
        <sz val="9.0"/>
      </rPr>
      <t>'Erasorik ez, erantzunik gabe' lelopean</t>
    </r>
    <r>
      <rPr>
        <rFont val="Arial"/>
        <color theme="1"/>
        <sz val="9.0"/>
      </rPr>
      <t xml:space="preserve">. </t>
    </r>
    <r>
      <rPr>
        <rFont val="Arial"/>
        <color rgb="FFFF0000"/>
        <sz val="9.0"/>
      </rPr>
      <t>Ertzaintza</t>
    </r>
    <r>
      <rPr>
        <rFont val="Arial"/>
        <color theme="1"/>
        <sz val="9.0"/>
      </rPr>
      <t xml:space="preserve"> </t>
    </r>
    <r>
      <rPr>
        <rFont val="Arial"/>
        <color rgb="FF38761D"/>
        <sz val="9.0"/>
      </rPr>
      <t>gertaera ikertzen ari da</t>
    </r>
    <r>
      <rPr>
        <rFont val="Arial"/>
        <color theme="1"/>
        <sz val="9.0"/>
      </rPr>
      <t>.</t>
    </r>
  </si>
  <si>
    <r>
      <rPr>
        <rFont val="Arial"/>
        <color rgb="FF666666"/>
        <sz val="9.0"/>
      </rPr>
      <t>Hona hemen 5W1H metodoa erabiliz egindako analisia:</t>
    </r>
    <r>
      <rPr>
        <rFont val="Arial"/>
        <color theme="1"/>
        <sz val="9.0"/>
      </rPr>
      <t xml:space="preserve">
ZER? (What?)
- </t>
    </r>
    <r>
      <rPr>
        <rFont val="Arial"/>
        <color rgb="FF38761D"/>
        <sz val="9.0"/>
      </rPr>
      <t>Sexu eraso bat gertatu zen</t>
    </r>
    <r>
      <rPr>
        <rFont val="Arial"/>
        <color theme="1"/>
        <sz val="9.0"/>
      </rPr>
      <t xml:space="preserve">
- </t>
    </r>
    <r>
      <rPr>
        <rFont val="Arial"/>
        <color rgb="FFFF0000"/>
        <sz val="9.0"/>
      </rPr>
      <t>Udalak</t>
    </r>
    <r>
      <rPr>
        <rFont val="Arial"/>
        <color theme="1"/>
        <sz val="9.0"/>
      </rPr>
      <t xml:space="preserve"> </t>
    </r>
    <r>
      <rPr>
        <rFont val="Arial"/>
        <color rgb="FF38761D"/>
        <sz val="9.0"/>
      </rPr>
      <t>eguneko ekitaldi guztiak bertan behera utzi zituen</t>
    </r>
    <r>
      <rPr>
        <rFont val="Arial"/>
        <color theme="1"/>
        <sz val="9.0"/>
      </rPr>
      <t xml:space="preserve">
- </t>
    </r>
    <r>
      <rPr>
        <rFont val="Arial"/>
        <color rgb="FF38761D"/>
        <sz val="9.0"/>
      </rPr>
      <t>Elkarretaratzea egin zen protesta moduan</t>
    </r>
    <r>
      <rPr>
        <rFont val="Arial"/>
        <color theme="1"/>
        <sz val="9.0"/>
      </rPr>
      <t xml:space="preserve">
- </t>
    </r>
    <r>
      <rPr>
        <rFont val="Arial"/>
        <color rgb="FFFF0000"/>
        <sz val="9.0"/>
      </rPr>
      <t>Ertzaintzak</t>
    </r>
    <r>
      <rPr>
        <rFont val="Arial"/>
        <color rgb="FF38761D"/>
        <sz val="9.0"/>
      </rPr>
      <t xml:space="preserve"> ikerketa bat abiatu zuen</t>
    </r>
    <r>
      <rPr>
        <rFont val="Arial"/>
        <color theme="1"/>
        <sz val="9.0"/>
      </rPr>
      <t xml:space="preserve">
NORK? (Who?)
- </t>
    </r>
    <r>
      <rPr>
        <rFont val="Arial"/>
        <color rgb="FFFF0000"/>
        <sz val="9.0"/>
      </rPr>
      <t>Biktima: Emakume bat</t>
    </r>
    <r>
      <rPr>
        <rFont val="Arial"/>
        <color theme="1"/>
        <sz val="9.0"/>
      </rPr>
      <t xml:space="preserve">
- Antolatzaileak: Etxebarriko Udala, sanantonioetako jai batzordea eta txosnak
- Parte-hartzaileak: </t>
    </r>
    <r>
      <rPr>
        <rFont val="Arial"/>
        <color rgb="FFFF0000"/>
        <sz val="9.0"/>
      </rPr>
      <t>Ehunka herritar</t>
    </r>
    <r>
      <rPr>
        <rFont val="Arial"/>
        <color theme="1"/>
        <sz val="9.0"/>
      </rPr>
      <t xml:space="preserve"> </t>
    </r>
    <r>
      <rPr>
        <rFont val="Arial"/>
        <color rgb="FF38761D"/>
        <sz val="9.0"/>
      </rPr>
      <t>elkarretaratzean</t>
    </r>
    <r>
      <rPr>
        <rFont val="Arial"/>
        <color theme="1"/>
        <sz val="9.0"/>
      </rPr>
      <t xml:space="preserve">
- Ikertzaileak: Ertzaintza
NOIZ? (When?)
- </t>
    </r>
    <r>
      <rPr>
        <rFont val="Arial"/>
        <strike/>
        <color theme="1"/>
        <sz val="9.0"/>
      </rPr>
      <t>Atzo goizaldean gertatu zen erasoa</t>
    </r>
    <r>
      <rPr>
        <rFont val="Arial"/>
        <color theme="1"/>
        <sz val="9.0"/>
      </rPr>
      <t xml:space="preserve">
- </t>
    </r>
    <r>
      <rPr>
        <rFont val="Arial"/>
        <color rgb="FF4A86E8"/>
        <sz val="9.0"/>
      </rPr>
      <t>Herriko jaiak ospatzen ari ziren momentuan</t>
    </r>
    <r>
      <rPr>
        <rFont val="Arial"/>
        <color theme="1"/>
        <sz val="9.0"/>
      </rPr>
      <t xml:space="preserve">
NON? (Where?)
- </t>
    </r>
    <r>
      <rPr>
        <rFont val="Arial"/>
        <color rgb="FFFF9900"/>
        <sz val="9.0"/>
      </rPr>
      <t>Etxebarrin (Bizkaia)</t>
    </r>
    <r>
      <rPr>
        <rFont val="Arial"/>
        <color theme="1"/>
        <sz val="9.0"/>
      </rPr>
      <t xml:space="preserve">
- Zehazki, </t>
    </r>
    <r>
      <rPr>
        <rFont val="Arial"/>
        <color rgb="FFFF9900"/>
        <sz val="9.0"/>
      </rPr>
      <t>kalean jarritako komunetan</t>
    </r>
    <r>
      <rPr>
        <rFont val="Arial"/>
        <color theme="1"/>
        <sz val="9.0"/>
      </rPr>
      <t xml:space="preserve">
- </t>
    </r>
    <r>
      <rPr>
        <rFont val="Arial"/>
        <color rgb="FF38761D"/>
        <sz val="9.0"/>
      </rPr>
      <t>Elkarretaratzea</t>
    </r>
    <r>
      <rPr>
        <rFont val="Arial"/>
        <color theme="1"/>
        <sz val="9.0"/>
      </rPr>
      <t xml:space="preserve"> </t>
    </r>
    <r>
      <rPr>
        <rFont val="Arial"/>
        <color rgb="FFFF9900"/>
        <sz val="9.0"/>
      </rPr>
      <t>Zintururi plazan</t>
    </r>
    <r>
      <rPr>
        <rFont val="Arial"/>
        <color theme="1"/>
        <sz val="9.0"/>
      </rPr>
      <t xml:space="preserve"> egin zen
ZERGATIK? (Why?)
- Sexu eraso bat salatu zelako
- Udalak argi utzi nahi zuelako jaiak dibertitzeko eta elkartzeko guneak direla, ez erasotzeko
NOLA? (How?)
- Erasoaren ondoren, udalak erantzun instituzionala eman zuen:
  * </t>
    </r>
    <r>
      <rPr>
        <rFont val="Arial"/>
        <color rgb="FF38761D"/>
        <sz val="9.0"/>
      </rPr>
      <t>Eguneko ekitaldiak bertan behera utzi</t>
    </r>
    <r>
      <rPr>
        <rFont val="Arial"/>
        <color theme="1"/>
        <sz val="9.0"/>
      </rPr>
      <t xml:space="preserve">
  * Elkarretaratzea antolatu "Erasorik ez, erantzunik gabe" lelopean
  * Ohar bat kaleratu, jarrera erasotzaileak gaitzesteko
- </t>
    </r>
    <r>
      <rPr>
        <rFont val="Arial"/>
        <color rgb="FFFF0000"/>
        <sz val="9.0"/>
      </rPr>
      <t>Ertzaintzak</t>
    </r>
    <r>
      <rPr>
        <rFont val="Arial"/>
        <color theme="1"/>
        <sz val="9.0"/>
      </rPr>
      <t xml:space="preserve"> </t>
    </r>
    <r>
      <rPr>
        <rFont val="Arial"/>
        <color rgb="FF38761D"/>
        <sz val="9.0"/>
      </rPr>
      <t>ikerketa abiatu zuen</t>
    </r>
    <r>
      <rPr>
        <rFont val="Arial"/>
        <color theme="1"/>
        <sz val="9.0"/>
      </rPr>
      <t>, baina oraindik ez dute inor atxilotu</t>
    </r>
  </si>
  <si>
    <r>
      <rPr>
        <rFont val="Arial"/>
        <color rgb="FF666666"/>
        <sz val="9.0"/>
      </rPr>
      <t>Hona hemen gertaeren laburpena:</t>
    </r>
    <r>
      <rPr>
        <rFont val="Arial"/>
        <color theme="1"/>
        <sz val="9.0"/>
      </rPr>
      <t xml:space="preserve">
- </t>
    </r>
    <r>
      <rPr>
        <rFont val="Arial"/>
        <color rgb="FFFF9900"/>
        <sz val="9.0"/>
      </rPr>
      <t>Etxebarriko (Bizkaia)</t>
    </r>
    <r>
      <rPr>
        <rFont val="Arial"/>
        <color theme="1"/>
        <sz val="9.0"/>
      </rPr>
      <t xml:space="preserve"> </t>
    </r>
    <r>
      <rPr>
        <rFont val="Arial"/>
        <color rgb="FF4A86E8"/>
        <sz val="9.0"/>
      </rPr>
      <t>jaietan</t>
    </r>
    <r>
      <rPr>
        <rFont val="Arial"/>
        <color theme="1"/>
        <sz val="9.0"/>
      </rPr>
      <t xml:space="preserve"> </t>
    </r>
    <r>
      <rPr>
        <rFont val="Arial"/>
        <color rgb="FF38761D"/>
        <sz val="9.0"/>
      </rPr>
      <t>sexu eraso bat gertatu zen</t>
    </r>
    <r>
      <rPr>
        <rFont val="Arial"/>
        <color theme="1"/>
        <sz val="9.0"/>
      </rPr>
      <t xml:space="preserve"> </t>
    </r>
    <r>
      <rPr>
        <rFont val="Arial"/>
        <strike/>
        <color theme="1"/>
        <sz val="9.0"/>
      </rPr>
      <t>atzo goizaldean</t>
    </r>
    <r>
      <rPr>
        <rFont val="Arial"/>
        <color theme="1"/>
        <sz val="9.0"/>
      </rPr>
      <t xml:space="preserve"> </t>
    </r>
    <r>
      <rPr>
        <rFont val="Arial"/>
        <color rgb="FF4A86E8"/>
        <sz val="9.0"/>
      </rPr>
      <t>herriko jai-komunetan</t>
    </r>
    <r>
      <rPr>
        <rFont val="Arial"/>
        <color theme="1"/>
        <sz val="9.0"/>
      </rPr>
      <t xml:space="preserve">
- </t>
    </r>
    <r>
      <rPr>
        <rFont val="Arial"/>
        <color rgb="FFFF0000"/>
        <sz val="9.0"/>
      </rPr>
      <t>Udalak</t>
    </r>
    <r>
      <rPr>
        <rFont val="Arial"/>
        <color theme="1"/>
        <sz val="9.0"/>
      </rPr>
      <t xml:space="preserve"> </t>
    </r>
    <r>
      <rPr>
        <rFont val="Arial"/>
        <color rgb="FF38761D"/>
        <sz val="9.0"/>
      </rPr>
      <t>eguneko ekitaldi guztiak bertan behera utzi zituen</t>
    </r>
    <r>
      <rPr>
        <rFont val="Arial"/>
        <color theme="1"/>
        <sz val="9.0"/>
      </rPr>
      <t xml:space="preserve">
- </t>
    </r>
    <r>
      <rPr>
        <rFont val="Arial"/>
        <color rgb="FFFF0000"/>
        <sz val="9.0"/>
      </rPr>
      <t>Ehunka herritar</t>
    </r>
    <r>
      <rPr>
        <rFont val="Arial"/>
        <color theme="1"/>
        <sz val="9.0"/>
      </rPr>
      <t xml:space="preserve"> </t>
    </r>
    <r>
      <rPr>
        <rFont val="Arial"/>
        <color rgb="FF38761D"/>
        <sz val="9.0"/>
      </rPr>
      <t>elkarretaratu ziren</t>
    </r>
    <r>
      <rPr>
        <rFont val="Arial"/>
        <color theme="1"/>
        <sz val="9.0"/>
      </rPr>
      <t xml:space="preserve"> </t>
    </r>
    <r>
      <rPr>
        <rFont val="Arial"/>
        <color rgb="FFFF9900"/>
        <sz val="9.0"/>
      </rPr>
      <t>Zintururi plazan</t>
    </r>
    <r>
      <rPr>
        <rFont val="Arial"/>
        <color theme="1"/>
        <sz val="9.0"/>
      </rPr>
      <t xml:space="preserve"> </t>
    </r>
    <r>
      <rPr>
        <rFont val="Arial"/>
        <color rgb="FFBF9000"/>
        <sz val="9.0"/>
      </rPr>
      <t>"Erasorik ez, erantzunik gabe" lelopean</t>
    </r>
    <r>
      <rPr>
        <rFont val="Arial"/>
        <color theme="1"/>
        <sz val="9.0"/>
      </rPr>
      <t xml:space="preserve">
- </t>
    </r>
    <r>
      <rPr>
        <rFont val="Arial"/>
        <color rgb="FFFF0000"/>
        <sz val="9.0"/>
      </rPr>
      <t>Ertzaintza</t>
    </r>
    <r>
      <rPr>
        <rFont val="Arial"/>
        <color theme="1"/>
        <sz val="9.0"/>
      </rPr>
      <t xml:space="preserve"> </t>
    </r>
    <r>
      <rPr>
        <rFont val="Arial"/>
        <color rgb="FF38761D"/>
        <sz val="9.0"/>
      </rPr>
      <t>ikertzen ari da</t>
    </r>
    <r>
      <rPr>
        <rFont val="Arial"/>
        <color theme="1"/>
        <sz val="9.0"/>
      </rPr>
      <t xml:space="preserve"> baina oraindik ez dute inor atxilotu
- Udalak adierazi du jaiak dibertitzeko direla, baina ez direla onartuko askatasuna eta bizikidetza errespetatzen ez dituztenak</t>
    </r>
  </si>
  <si>
    <r>
      <rPr>
        <rFont val="Arial"/>
        <color rgb="FF666666"/>
        <sz val="9.0"/>
      </rPr>
      <t xml:space="preserve">Testua aztertu ondoren, hona hemen </t>
    </r>
    <r>
      <rPr>
        <rFont val="Arial"/>
        <color rgb="FFFF0000"/>
        <sz val="9.0"/>
      </rPr>
      <t>Erramun Baxok</t>
    </r>
    <r>
      <rPr>
        <rFont val="Arial"/>
        <color theme="1"/>
        <sz val="9.0"/>
      </rPr>
      <t xml:space="preserve">en bizitzaren eta ekarpenaren laburpen nagusiak:
Oinarrizko datuak:
- 1928an jaio zen Suhuskunen (Nafarroa Beherea)
- 96 urterekin </t>
    </r>
    <r>
      <rPr>
        <rFont val="Arial"/>
        <color rgb="FF38761D"/>
        <sz val="9.0"/>
      </rPr>
      <t>hil da</t>
    </r>
    <r>
      <rPr>
        <rFont val="Arial"/>
        <color theme="1"/>
        <sz val="9.0"/>
      </rPr>
      <t xml:space="preserve">
- Filosofian doktorea
- 2010ean Euskaltzaindiko ohorezko kide izendatu zuten
Ibilbide akademiko eta profesionala:
1. Hezkuntza:
- Herriko eskola publikoan hasi zen 6 urterekin
- Seminarioan ikasi zuen (Landetan, Bretainian eta Frantzian)
- 1953an Filosofiako lizentzia lortu zuen
- 1976an pertsonalismoari buruzko doktoretza egin zuen Quebecen
2. Lan-ibilbidea:
- 1967 arte apaiz eta filosofia irakasle izan zen
- 1968-1978: Quebecen bizi izan zen
- Hizkuntzalaritza aplikatua irakatsi zuen
- Euskal Kultur Erakundeko buru izan zen (1990-2005)
Ekarpen nagusiak:
1. Soziolinguistikan:
- Quebeceko hizkuntza-ereduak Euskal Herrira ekarri zituen
- Inkesta soziolinguistikoetan parte hartu zuen (1991-2011)
- Hizkuntzaren antolaketa eskeman lan egin zuen
- Soziolinguistika Klusterraren sorreraren inspiratzaile izan zen
2. Euskal kulturan:
- Ikas pedagogia zentroan lan egin zuen
- Pizkundea eta Euskal Konfederazioan parte hartu zuen
- EKEn eta Euskararen Erakunde Publikoan aholkulari gisa aritu zen
Bere lana aintzatetsi dute hainbat erakundek, besteak beste Euskaltzaindiak, EKEk, Euskalgintzaren Kontseiluak eta alderdi politikoek, euskararen alde egindako lan nekaezina azpimarratuz.</t>
    </r>
  </si>
  <si>
    <r>
      <rPr>
        <rFont val="Arial"/>
        <color rgb="FF666666"/>
        <sz val="9.0"/>
      </rPr>
      <t>Testuaren edukirik garrantzitsuena da</t>
    </r>
    <r>
      <rPr>
        <rFont val="Arial"/>
        <color theme="1"/>
        <sz val="9.0"/>
      </rPr>
      <t xml:space="preserve"> </t>
    </r>
    <r>
      <rPr>
        <rFont val="Arial"/>
        <color rgb="FFFF0000"/>
        <sz val="9.0"/>
      </rPr>
      <t xml:space="preserve">Erramun Baxok ohorezko euskaltzainaren </t>
    </r>
    <r>
      <rPr>
        <rFont val="Arial"/>
        <color rgb="FF38761D"/>
        <sz val="9.0"/>
      </rPr>
      <t>heriotza</t>
    </r>
    <r>
      <rPr>
        <rFont val="Arial"/>
        <color theme="1"/>
        <sz val="9.0"/>
      </rPr>
      <t xml:space="preserve"> (96 urte)</t>
    </r>
    <r>
      <rPr>
        <rFont val="Arial"/>
        <color rgb="FF666666"/>
        <sz val="9.0"/>
      </rPr>
      <t xml:space="preserve"> eta bere bizitzako ekarpen nagusiak. Hona hemen laburpena:
</t>
    </r>
    <r>
      <rPr>
        <rFont val="Arial"/>
        <color theme="1"/>
        <sz val="9.0"/>
      </rPr>
      <t xml:space="preserve">
Erramun Baxok (1928-</t>
    </r>
    <r>
      <rPr>
        <rFont val="Arial"/>
        <strike/>
        <color theme="1"/>
        <sz val="9.0"/>
      </rPr>
      <t>2024</t>
    </r>
    <r>
      <rPr>
        <rFont val="Arial"/>
        <color theme="1"/>
        <sz val="9.0"/>
      </rPr>
      <t>) euskaltzain, irakasle eta ikerlari nabarmena hil da. Filosofian doktorea, Quebecen bizitako esperientziatik soziolinguistikaren arloan ekarpen handiak egin zituen Euskal Herrira. Euskal Kultur Erakundeko buru izan zen (1990-2005) eta hainbat erakundetan parte hartu zuen, besteak beste Pizkundean eta Euskal Konfederazioan. Bere lan garrantzitsuenen artean daude hizkuntzaren antolaketa eskemaren idazketa, inkesta soziolinguistikoetan parte-hartzea, eta Soziolinguistika Klusterraren sorrerarako oinarriak ezartzea. 2010ean Euskaltzaindiak ohorezko kide izendatu zuen.</t>
    </r>
  </si>
  <si>
    <r>
      <rPr>
        <rFont val="Arial"/>
        <color rgb="FF666666"/>
        <sz val="9.0"/>
      </rPr>
      <t>Hona hemen testuaren analisia 5W1H metodoa erabiliz:</t>
    </r>
    <r>
      <rPr>
        <rFont val="Arial"/>
        <color theme="1"/>
        <sz val="9.0"/>
      </rPr>
      <t xml:space="preserve">
ZER:
- Erramun Baxok ohorezko euskaltzainaren heriotza
- Filosofian doktorea, irakasle eta ikerlari ospetsua zen
- Soziolinguistikan aditua eta euskararen defendatzaile sutsua
NORK:
- Erramun Baxok protagonista nagusia
- Euskaltzaindia (heriotzaren berri eman duena)
- Andres Urrutia euskaltzainburua </t>
    </r>
    <r>
      <rPr>
        <rFont val="Arial"/>
        <strike/>
        <color theme="1"/>
        <sz val="9.0"/>
      </rPr>
      <t>(omenaldia egin duena)</t>
    </r>
    <r>
      <rPr>
        <rFont val="Arial"/>
        <color theme="1"/>
        <sz val="9.0"/>
      </rPr>
      <t xml:space="preserve">
- Beste hainbat erakunde eta pertsona (EKE, Soziolinguistika Klusterra, etab.)
NOIZ:
- Heriotza: </t>
    </r>
    <r>
      <rPr>
        <rFont val="Arial"/>
        <strike/>
        <color theme="1"/>
        <sz val="9.0"/>
      </rPr>
      <t>2024an</t>
    </r>
    <r>
      <rPr>
        <rFont val="Arial"/>
        <color theme="1"/>
        <sz val="9.0"/>
      </rPr>
      <t xml:space="preserve"> (96 urte zituela)
- Jaiotza: 1928an, Suhuskunen
- Beste data garrantzitsuak:
  * 1953: Filosofiako lizentzia
  * 1968-1978: Quebeceko egonaldia
  * 1990-2005: EKEko buru
  * 2010: Ohorezko euskaltzain izendapena
NON:
- Suhuskune (Nafarroa Beherea): jaioterria
- Quebec: 10 urteko egonaldia
- Ipar Euskal Herria: </t>
    </r>
    <r>
      <rPr>
        <rFont val="Arial"/>
        <strike/>
        <color theme="1"/>
        <sz val="9.0"/>
      </rPr>
      <t>bere lan eremu nagusia</t>
    </r>
    <r>
      <rPr>
        <rFont val="Arial"/>
        <color theme="1"/>
        <sz val="9.0"/>
      </rPr>
      <t xml:space="preserve">
ZERGATIK:
- Euskararen eta euskal kulturaren sustapena
- Soziolinguistikaren garapena Euskal Herrian
- Quebeceko ereduak Euskal Herrira ekartzea
- Hizkuntza politika publikoaren beharra aldarrikatzea
NOLA:
- Irakasle eta ikerlari gisa
- Hainbat erakundetan parte hartuz (EKE, Pizkundea, Euskal Konfederazioa)
- Soziolinguistika ikerketen bidez
- Hizkuntza politikaren diseinuan parte hartuz
- Quebeceko ereduak eta esperientziak Euskal Herrira ekarriz
- Euskararen aldeko proiektu ezberdinetan parte hartuz (inkesta soziolinguistikoak, Ikas pedagogia zentroa, etab.)</t>
    </r>
  </si>
  <si>
    <r>
      <rPr>
        <rFont val="Arial"/>
        <color rgb="FF666666"/>
        <sz val="9.0"/>
      </rPr>
      <t>Hona hemen testuaren laburpena:</t>
    </r>
    <r>
      <rPr>
        <rFont val="Arial"/>
        <color theme="1"/>
        <sz val="9.0"/>
      </rPr>
      <t xml:space="preserve">
Erramun Baxok, euskaltzain eta soziolinguista ezaguna, hil da 96 urterekin. Suhuskunen (Nafarroa Beherea) jaio zen 1928an. Filosofian doktorea, irakasle eta ikerlari gisa aritu zen. Bere bizitzako gertaera garrantzitsuenak:
- Quebecen bizi izan zen 1968-1978 artean, non soziolinguistikan espezializatu zen
- Euskal Kultur Erakundearen buru izan zen 1990etik 2005era
- Euskaltzaindiak ohorezko kide izendatu zuen 2010ean
- Soziolinguistikan ekarpen handia egin zuen, bereziki Quebeceko ereduak Euskal Herrira ekarriz
- Hainbat erakundetan parte hartu zuen: Pizkundea, Euskal Konfederazioa, EKE, eta inkesta soziolinguistikoetan
- Euskararen aldeko defendatzaile nekaezina izan zen, hizkuntza politika publikoaren beharra aldarrikatuz
Andres Urrutia euskaltzainburuak "euskaltzain jakintsua eta soziolinguistikan goren mailako aditua" zela nabarmendu du.</t>
    </r>
  </si>
  <si>
    <r>
      <rPr>
        <rFont val="Arial"/>
        <color rgb="FF666666"/>
        <sz val="9.0"/>
      </rPr>
      <t>Testua aztertuko dut zuretzat. Hona hemen gertaeren laburpen nagusia:</t>
    </r>
    <r>
      <rPr>
        <rFont val="Arial"/>
        <color theme="1"/>
        <sz val="9.0"/>
      </rPr>
      <t xml:space="preserve">
1. Egoera:
- Peio Etxelekuri Errobiko lurralde eremuko ordezkaritza kendu diote
- Bederatzi hautetsik agiria zabaldu dute erabaki hori kritikatzeko
- Jean Rene Etxegarai Euskal Hirigune Elkargoko lehendakariak hartu du erabakia
2. Kritikatutako puntuak:
- Sei auzapezek Etxelekuren aurka idatzitako gutuna (gehiengo eskasa dela argudiatuz)
- Etxegarairen "presakako eta errekurtsorik gabeko" erabakia
- Lurralde eremua ez dela informatu ezta kontsultatu ere
- Etxelekuri ez zaiola aukera eman bere burua defendatzeko
3. Testuinguru instituzionala:
- Errobiko lurralde eremuan 11 herri daude
- 35 hautetsik parte hartzen dute eremuan
- Gobernantza itunaren arabera, lurralde eremuek proposatzen dituzte ordezkariak
- Lurralde eremuetako batzordeak 2020an sortu ziren
4. Sinatzen duten hautetsiak:
- Basusarritik: Yannick Bassier eta Emmanuelle Dallet
- Uztaritzetik: Denise Cedarry, Mikel Goienetxe, Erik Mailharrancin eta Françoise Gallois
- Itsasutik: Laetitia Croc eta Nicole Etxamendi
- Argitxu Hiriart Urruti
- Mikel Hiribarren (Itsasuko auzapeza)
Hautetsiek eskatzen dute gobernantza itunean argiago zehaztea lurralde batzordeetako kideen rola eta zilegitasuna.</t>
    </r>
  </si>
  <si>
    <r>
      <rPr>
        <rFont val="Arial"/>
        <color rgb="FF666666"/>
        <sz val="9.0"/>
      </rPr>
      <t>Testuaren edukirik garrantzitsuena laburbilduz:</t>
    </r>
    <r>
      <rPr>
        <rFont val="Arial"/>
        <color theme="1"/>
        <sz val="9.0"/>
      </rPr>
      <t xml:space="preserve">
Errobiko bederatzi hautetsik agiria zabaldu dute Peio Etxelekuri Euskal Hirigune Elkargoko lurralde eremuko ordezkaritza kendu izana kritikatzeko. Hautetsi horiek salatu dute sei auzapezek Etxelekuren kontra jotzea eta Jean Rene Etxegarai elkargoko lehendakariak kargua kentzeko erabakia hartzea lurralde eremuko batzordea informatu eta kontsultatu gabe. Hautetsiek azpimarratu dute erabaki hori elkargoko gobernantza itunaren aurkakoa dela, eta eskatu dute lurralde batzordeetako kideen rola eta zilegitasuna berraztertzea.</t>
    </r>
  </si>
  <si>
    <r>
      <rPr>
        <rFont val="Arial"/>
        <color rgb="FF666666"/>
        <sz val="9.0"/>
      </rPr>
      <t xml:space="preserve">Hemen duzu 5W1H metodoa erabiliz egindako laburpena:
</t>
    </r>
    <r>
      <rPr>
        <rFont val="Arial"/>
        <color theme="1"/>
        <sz val="9.0"/>
      </rPr>
      <t xml:space="preserve">
Zer:
- Errobiko bederatzi hautetsik agiria zabaldu dute Peio Etxelekuri lurralde eremuko ordezkaritza kendu izana kritikatzeko.
- Sei auzapezek Etxelekuren kontra idatzitako gutuna eta Jean Rene Etxegarai lehendakariaren erabakia salatu dituzte.
Nork:
- Bederatzi hautetsi, horien artean: Yannick Bassier, Emmanuelle Dallet, Denise Cedarry, Mikel Goienetxe, Erik Mailharrancin, Françoise Gallois, Laetitia Croc, Nicole Etxamendi, eta Argitxu Hiriart Urruti. Mikel Hiribarren Itsasuko auzapezak ere izenpetu du testua.
Noiz:
- Data zehatza ez da aipatzen, baina gertaera hurbilekoa dela ulertzen da.
Non:
- Errobiko lurralde eremuan, Euskal Hirigune Elkargoaren barruan.
Zergatik:
- Peio Etxelekuri lurralde eremuko ordezkaritza kendu izana onartezina ikusten dutelako.
- Sei auzapezen gutuna eta Etxegarairen erabakia kritikagarriak iruditzen zaizkielako.
- Lurralde eremuko batzordea ez delako informatu ez kontsultatu erabakia hartzeko.
- Gobernantza ituna urratu delakoan daudelako.
Nola:
- Agiria zabalduz eta sinatuz.
- Etxegarairen erabakia "presakako eta errekurtsorik gabeko" gisa kalifikatuz.
- Gobernantza itunean lurralde batzordeetako kideen rola eta zilegitasuna zehaztea eta berriz aztertzea eskatuz.</t>
    </r>
  </si>
  <si>
    <r>
      <rPr>
        <rFont val="Arial"/>
        <color rgb="FF666666"/>
        <sz val="9.0"/>
      </rPr>
      <t xml:space="preserve">Hona hemen testuaren laburpen bat:
</t>
    </r>
    <r>
      <rPr>
        <rFont val="Arial"/>
        <color theme="1"/>
        <sz val="9.0"/>
      </rPr>
      <t xml:space="preserve">
1. Errobiko bederatzi hautetsik agiria zabaldu dute Peio Etxelekuri lurralde eremuko ordezkaritza kendu izana kritikatuz.
2. Sei auzapezek Etxelekuren aurka egindako gutuna eta Jean Rene Etxegarai Euskal Hirigune Elkargoko lehendakariaren erabakia salatu dituzte.
3. Hautetsi sinatzaileek diote erabakia hartu dela lurralde eremuko batzordea informatu eta kontsultatu gabe.
4. Kritika egin diote lehendakariari Etxelekuri ordezkaritza berehala kendu izanagatik, haren argudioak entzun gabe.
5. Gobernantza itunaren kontrako jokaera dela diote, lurralde eremuak egin behar baitzituen proposamenak ordezkariak izendatzeko.
6. Hautetsiek eskatu dute gobernantza itunean zehaztu eta berraztertzeko lurralde batzordeetako kideen rola eta zilegitasuna.
7. Amaieran, Errobiko lurralde eremuari buruzko informazio orokorra ematen da, haren osaera eta funtzionamendua azalduz.</t>
    </r>
  </si>
  <si>
    <r>
      <rPr>
        <rFont val="Arial"/>
        <color rgb="FF666666"/>
        <sz val="9.0"/>
      </rPr>
      <t>Testuak</t>
    </r>
    <r>
      <rPr>
        <rFont val="Arial"/>
        <color theme="1"/>
        <sz val="9.0"/>
      </rPr>
      <t xml:space="preserve"> Itziar Laka hizkuntzalariari emango zaion Eusko Ikaskuntza-Laboral Kutxaren Humanitateen, Kulturaren, Arteen eta Gizarte Zientzien Saria </t>
    </r>
    <r>
      <rPr>
        <rFont val="Arial"/>
        <color rgb="FF666666"/>
        <sz val="9.0"/>
      </rPr>
      <t xml:space="preserve">aipatzen du. Hona hemen laburpen bat:
</t>
    </r>
    <r>
      <rPr>
        <rFont val="Arial"/>
        <color theme="1"/>
        <sz val="9.0"/>
      </rPr>
      <t xml:space="preserve">
1. Itziar Laka Getxon jaio zen 1962an eta hizkuntzalaria da.
2. Saritu dute euskararen garapenerako eta hizkuntza gaitasunen mekanismoetan egindako ekarpen berritzaileengatik.
3. 2010ean hizkuntzalaritza esperimentala eta neurohizkuntzalaritza lantzen dituen lehen ikerketa taldea sortu zuen.
4. Hainbat proiektutan ikertzaile nagusi izan da eta unibertsitate desberdinetan irakatsi du.
5. Epaimahaiak nabarmendu du Lakak euskara maila zientifiko gorenean jarri duela, metodologia berriak erabiliz eta punta-puntako ikerketak eginez.
6. Euskara unibertsitatean eta gizartean sustatzea bere lanaren funtsezko dimentsiotzat jo dute.
7. Gaur egun, EHUko Euskara Sustatzeko Zuzendaritzako burua da.
8. Zientziaren zabalpenean lan handia egin du, elebitasunaren inguruko zenbait mito ebidentzia zientifikoen bidez ezeztatuz.
9. Bere lana ez da euskarara mugatzen, hizkuntzalaritza osoari ekarpen nabarmena egin diola azpimarratu dute.</t>
    </r>
  </si>
  <si>
    <r>
      <rPr>
        <rFont val="Arial"/>
        <color rgb="FF666666"/>
        <sz val="9.0"/>
      </rPr>
      <t xml:space="preserve">Testuaren edukirik garrantzitsuena </t>
    </r>
    <r>
      <rPr>
        <rFont val="Arial"/>
        <color theme="1"/>
        <sz val="9.0"/>
      </rPr>
      <t xml:space="preserve">Itziar Lakari Eusko Ikaskuntza-Laboral Kutxaren Humanitateen, Kulturaren, Arteen eta Gizarte Zientzien Saria ematea da, bere euskararen eta hizkuntzalaritzaren arloko ekarpen berritzaileengatik. </t>
    </r>
    <r>
      <rPr>
        <rFont val="Arial"/>
        <color rgb="FF666666"/>
        <sz val="9.0"/>
      </rPr>
      <t xml:space="preserve">Hona hemen laburpena:
</t>
    </r>
    <r>
      <rPr>
        <rFont val="Arial"/>
        <color theme="1"/>
        <sz val="9.0"/>
      </rPr>
      <t xml:space="preserve">
Itziar Laka hizkuntzalariak Eusko Ikaskuntza-Laboral Kutxaren saria jasoko du euskararen garapenerako eta hizkuntzalaritzarako egin dituen ekarpen garrantzitsuengatik. Lakak hizkuntzalaritza esperimentalean eta neurohizkuntzalaritzan aitzindari izan da, eta euskara maila zientifiko gorenean jarri du. Bere lanak elebitasunaren inguruko mitoak deuseztatu ditu eta euskararen sustapena bultzatu du unibertsitatean zein gizartean. Epaimahaiak bere ibilbide osoa saritu du, euskal hizkuntzalaritzaren eta zientziaren zabalpenean egindako lan nabarmenagatik.</t>
    </r>
  </si>
  <si>
    <r>
      <rPr>
        <rFont val="Arial"/>
        <color rgb="FF666666"/>
        <sz val="9.0"/>
      </rPr>
      <t>Hona hemen 5W1H metodoa erabiliz egindako testuaren laburpena:</t>
    </r>
    <r>
      <rPr>
        <rFont val="Arial"/>
        <color theme="1"/>
        <sz val="9.0"/>
      </rPr>
      <t xml:space="preserve">
1. Zer: Eusko Ikaskuntza-Laboral Kutxaren Humanitateen, Kulturaren, Arteen eta Gizarte Zientzien Saria ematea.
2. Nork: Eusko Ikaskuntzak emango du saria.
3. Noiz: Ez da zehazten data zehatza, baina iragarpen bat da, beraz etorkizun hurbilean izango da.
4. Non: Ez da zehazten non emango den saria.
5. Zergatik: 
   - Euskararen garapenerako eta hizkuntza gaitasunen mekanismoetan sakontzeko ekarpen berritzaileak egin dituelako.
   - Euskararen eta Euskal Herriko garapen zientifiko eta kulturalean ekarpen nabarmena egin duelako.
   - Euskara maila zientifiko gorenean jarri duelako, metodologia berriak erabiliz.
   - Euskara unibertsitatean eta gizartean sustatu duelako.
   - Zientziaren eta zientzia kulturaren zabalpenean lan handia egin duelako.
   - Elebitasunaren inguruko mitoak ebidentzia zientifikoarekin ezeztatzeagatik.
6. Nola (Itziar Lakaren ibilbidea):
   - 1962an Getxon jaioa, hizkuntzalaria da.
   - 2010ean hizkuntzalaritza esperimentala eta neurohizkuntzalaritza lantzen duen lehen ikerketa taldea sortu zuen.
   - Hainbat proiekturen ikertzaile nagusi izan da.
   - Zenbait unibertsitatetan irakasle aritu da.
   - Gaur egun, EHUko Euskara Sustatzeko Zuzendaritzako buru da.
   - EHUko Euskara Institutuarekin lankidetzan, hizkuntzalaritza lan klasikoen itzulpena sustatu du.</t>
    </r>
  </si>
  <si>
    <r>
      <rPr>
        <rFont val="Arial"/>
        <color rgb="FF666666"/>
        <sz val="9.0"/>
      </rPr>
      <t xml:space="preserve">Hona hemen laburpena:
</t>
    </r>
    <r>
      <rPr>
        <rFont val="Arial"/>
        <color theme="1"/>
        <sz val="9.0"/>
      </rPr>
      <t xml:space="preserve">
- Itziar Laka hizkuntzalariak Eusko Ikaskuntza-Laboral Kutxaren Humanitateen, Kulturaren, Arteen eta Gizarte Zientzien Saria jasoko du.
- Lakak euskararen garapenean eta hizkuntza gaitasunen mekanismoen ikerketan ekarpen berritzaileak egin ditu.
- 1962an Getxon jaioa, hizkuntzalaritza esperimentala eta neurohizkuntzalaritza lantzen dituen lehen ikerketa taldea sortu zuen 2010ean.
- Bere ibilbidean, euskara maila zientifiko gorenean jarri du, metodologia berriak erabiliz eta punta-puntako ikerketak eginez.
- Unibertsitatean eta gizartean euskara sustatzea funtsezko izan da bere lanean. Gaur egun, EHUko Euskara Sustatzeko Zuzendaritzako buru da.
- Zientziaren zabalpenean lan handia egin du, elebitasunaren inguruko zenbait mito ebidentzia zientifikoarekin ezeztatu ditu.</t>
    </r>
  </si>
  <si>
    <r>
      <rPr>
        <rFont val="Arial"/>
        <color rgb="FF666666"/>
        <sz val="9.0"/>
      </rPr>
      <t>Hemen duzu testuaren laburpena:</t>
    </r>
    <r>
      <rPr>
        <rFont val="Arial"/>
        <color theme="1"/>
        <sz val="9.0"/>
      </rPr>
      <t xml:space="preserve">
</t>
    </r>
    <r>
      <rPr>
        <rFont val="Arial"/>
        <color rgb="FFFF0000"/>
        <sz val="9.0"/>
      </rPr>
      <t>Arabako Foru Aldundiak</t>
    </r>
    <r>
      <rPr>
        <rFont val="Arial"/>
        <color theme="1"/>
        <sz val="9.0"/>
      </rPr>
      <t xml:space="preserve"> </t>
    </r>
    <r>
      <rPr>
        <rFont val="Arial"/>
        <color rgb="FF38761D"/>
        <sz val="9.0"/>
      </rPr>
      <t>sexu indarkeriaren biktimentzako arreta zentro berri bat ireki du</t>
    </r>
    <r>
      <rPr>
        <rFont val="Arial"/>
        <color theme="1"/>
        <sz val="9.0"/>
      </rPr>
      <t xml:space="preserve"> </t>
    </r>
    <r>
      <rPr>
        <rFont val="Arial"/>
        <color rgb="FFFF9900"/>
        <sz val="9.0"/>
      </rPr>
      <t>Gasteizen</t>
    </r>
    <r>
      <rPr>
        <rFont val="Arial"/>
        <color theme="1"/>
        <sz val="9.0"/>
      </rPr>
      <t xml:space="preserve">, </t>
    </r>
    <r>
      <rPr>
        <rFont val="Arial"/>
        <color rgb="FF38761D"/>
        <sz val="9.0"/>
      </rPr>
      <t>Tximeletak izenekoa</t>
    </r>
    <r>
      <rPr>
        <rFont val="Arial"/>
        <color theme="1"/>
        <sz val="9.0"/>
      </rPr>
      <t>. Zentroaren ezaugarri nagusiak hauek dira:
1. 24 orduz eta 365 egunez eskainiko du zerbitzua, aurrez aurre, telefonoz eta online.
2. Helburu nagusia: sexu indarkeria jasan duten emakumeei eta haien gertuko pertsonei arreta integrala ematea.
3. Zerbitzuak: laguntza psikologikoa, soziala eta juridikoa eskaintzen ditu.
4. Erabiltzaileak: 18 urtetik gorako emakumeak edo adingabe emantzipatuak. Ez da beharrezkoa aurretik salaketa jarri izana.
5. Konfidentzialtasuna: zentroak ez du bere kokaleku zehatza argitaratu, erabiltzaileen pribatutasuna babesteko.
6. Finantzaketa: Europako Batasunaren Next Generation funtsekin eraiki da (1,4 milioi euro), eta Arabako Foru Aldundiak kudeatuko du (milioi bat euro hurrengo bi urteetan).
7. Koordinazioa: beste erakunde batzuekin lan egingo du, hala nola Ertzaintza, Osakidetza, Justizia eta Emakunde.
8. Estatistikak: 2023an, 109 emakume artatu zituzten Araban sexu indarkeria kasuengatik, eta 92 salaketa aurkeztu ziren.
Zentro hau Istanbulgo Hitzarmenak eta "soilik baietz da baietz" legeak eskatutako betekizunak betetzeko sortu da, eta antzeko zentroak zabalduko dira Hego Euskal Herriko beste herrialdeetan ere.</t>
    </r>
  </si>
  <si>
    <r>
      <rPr>
        <rFont val="Arial"/>
        <color rgb="FF666666"/>
        <sz val="9.0"/>
      </rPr>
      <t>Hemen dago testuaren edukirik garrantzitsuenaren laburpena:</t>
    </r>
    <r>
      <rPr>
        <rFont val="Arial"/>
        <color theme="1"/>
        <sz val="9.0"/>
      </rPr>
      <t xml:space="preserve">
Arabako Foru Aldundiak sexu indarkeriaren biktimentzako arreta integral zentroa ireki du Gasteizen: Tximeletak. Zentro honek 24 orduz eta 365 egunez eskaintzen du zerbitzua, aurrez aurre, telefonoz edo </t>
    </r>
    <r>
      <rPr>
        <rFont val="Arial"/>
        <color rgb="FFFF0000"/>
        <sz val="9.0"/>
      </rPr>
      <t>online bidez</t>
    </r>
    <r>
      <rPr>
        <rFont val="Arial"/>
        <color theme="1"/>
        <sz val="9.0"/>
      </rPr>
      <t>. Bere helburua da sexu indarkeria jasan duten emakumeei eta haien ingurukoei laguntza psikologikoa, soziala eta juridikoa ematea, biktimen lehengoratzea sustatzeko. 
Zentroa Istanbulgo Hitzarmenaren eta "soilik baietz da baietz" legearen eskakizunak betetzeko sortu da. Diziplina anitzeko profesionalek osatutako taldeak arreta pertsonalizatua eskaintzen du, beste erakunde batzuekin (Ertzaintza, Osakidetza, etab.) koordinatuta. 18 urtetik gorako edo emantzipatutako emakumeek jo dezakete bertara, salaketa jarri beharrik gabe. 
Arabako Foru Aldundiak 1,4 milioi euro inbertitu ditu zentroan, eta hurrengo bi urteetan milioi bat euro bideratuko ditu haren funtzionamendurako. 2023an, sexu indarkeriaren 109 biktima artatu ziren Araban, eta aurten lehen hiruhilekoan 19 salaketa jaso dira.</t>
    </r>
  </si>
  <si>
    <r>
      <rPr>
        <rFont val="Arial"/>
        <color rgb="FF666666"/>
        <sz val="9.0"/>
      </rPr>
      <t>Hona hemen testuaren analisia 5W1H metodoa erabiliz:</t>
    </r>
    <r>
      <rPr>
        <rFont val="Arial"/>
        <color theme="1"/>
        <sz val="9.0"/>
      </rPr>
      <t xml:space="preserve">
1. Zer? (What?)
Arabako Foru Aldundiak sexu indarkeria jasaten duten emakumeei arreta integrala emateko zentro bat (Tximeletak) zabaldu du.
2. Nork? (Who?)
Arabako Foru Aldundiak ireki du zentroa. Gorka Urtaran Gizarte Politiketarako diputatuak eta Maika Diez Bermejo Esku Hartze Sozialeko zuzendariorde teknikoak eman dituzte xehetasunak.
3. Noiz? (When?)
Zentroa 2024ko apirilaren 19tik dago martxan. Egunean 24 orduz eta urtean 365 egunez funtzionatuko du.
4. Non? (Where?)
Gasteizko erdigunean dago, baina zehazki non dagoen ez dute adierazi, erabiltzaileen konfidentzialtasuna babesteko.
5. Zergatik? (Why?)
Sexu bortizkeria nozitu duten emakumeei eta haien gertukoei arreta integrala emateko, biktimen lehengoratze psikologikoa sustatzeko, eta laguntza sozial eta juridikoa eskaintzeko. Halaber, Istanbulgo Hitzarmenak eta "soilik baietz da baietz" legeak horrelako zentroak irekitzea eskatzen dutelako.
6. Nola? (How?)
- Aurrez aurre, telefonoz (650-80 10 80) eta online (</t>
    </r>
    <r>
      <rPr>
        <rFont val="Arial"/>
        <color rgb="FFFF0000"/>
        <sz val="9.0"/>
      </rPr>
      <t xml:space="preserve">[email protected] </t>
    </r>
    <r>
      <rPr>
        <rFont val="Arial"/>
        <color theme="1"/>
        <sz val="9.0"/>
      </rPr>
      <t>eta www.tximeletak24h.araba.eus) arreta eskainiz.
- Diziplina anitzeko profesional talde batekin lan eginez.
- Krisi eta larrialdi egoeretan arreta psikologikoa eta aholkularitza juridikoa eskainiz.
- Beste erakundeekin (Ertzaintza, Osakidetza, Justizia, Emakunde) koordinatuz.
- 18 urtetik gorako edo adingabe emantzipatuentzat, salaketa jarri beharrik gabe.
- Europako Batasunaren Next Generation funtsekin finantzatuz (1,4 milioi euro eraikuntzarako) eta Arabako Foru Aldundiaren kudeaketa gastuekin (milioi bat euro hurrengo bi urteetan).</t>
    </r>
  </si>
  <si>
    <r>
      <rPr>
        <rFont val="Arial"/>
        <color rgb="FF666666"/>
        <sz val="9.0"/>
      </rPr>
      <t xml:space="preserve">Laburpen bat egingo dizut euskaraz:
</t>
    </r>
    <r>
      <rPr>
        <rFont val="Arial"/>
        <color theme="1"/>
        <sz val="9.0"/>
      </rPr>
      <t xml:space="preserve">
Arabako Foru Aldundiak "Tximeletak" izeneko zentro berria ireki du Gasteizen sexu indarkeriaren biktimei arreta integrala emateko. Hona zentroaren ezaugarri nagusiak:
- 24 orduz eta 365 egunez egongo da zabalik
- Arreta aurrez aurre, telefonoz eta online emango da
- Kokapena ez da zehaztu, erabiltzaileen konfidentzialtasuna babesteko
- Helburu nagusia: biktimen lehengoratze psikologikoa eta laguntza sozial zein juridikoa 
- Diziplina anitzeko profesionalek lan egingo dute bertan
- 18 urtetik gorako emakumeek jo dezakete bertara, salaketa jarri beharrik gabe
- Beste zerbitzu eta erakundeekin (Ertzaintza, Osakidetza, etab.) koordinatuta arituko da
- 1,4 milioi euroko inbertsioa egin da zentroa eraikitzeko
- 2023an 109 sexu indarkeria biktima artatu ziren Araban
Zentro hau zabaltzea lege-betebeharra da, eta dagoeneko antzeko guneak daude Nafarroan eta Bizkaian. Gipuzkoan hiru zentro irekitzea aurreikusten da.
</t>
    </r>
    <r>
      <rPr>
        <rFont val="Arial"/>
        <color rgb="FF666666"/>
        <sz val="9.0"/>
      </rPr>
      <t>Informazio gehiago nahi baduzu edozein punturen inguruan, esan lasai eta xehetasun gehiago emango dizkizut.</t>
    </r>
  </si>
  <si>
    <r>
      <rPr>
        <rFont val="Arial"/>
        <color rgb="FF666666"/>
        <sz val="9.0"/>
      </rPr>
      <t>Hemen duzu laburpena:</t>
    </r>
    <r>
      <rPr>
        <rFont val="Arial"/>
        <color theme="1"/>
        <sz val="9.0"/>
      </rPr>
      <t xml:space="preserve">
"</t>
    </r>
    <r>
      <rPr>
        <rFont val="Arial"/>
        <color rgb="FF4A86E8"/>
        <sz val="9.0"/>
      </rPr>
      <t>Atzo goizaldean</t>
    </r>
    <r>
      <rPr>
        <rFont val="Arial"/>
        <color theme="1"/>
        <sz val="9.0"/>
      </rPr>
      <t xml:space="preserve">, </t>
    </r>
    <r>
      <rPr>
        <rFont val="Arial"/>
        <color rgb="FFFF9900"/>
        <sz val="9.0"/>
      </rPr>
      <t>Etxebarrin (Bizkaia)</t>
    </r>
    <r>
      <rPr>
        <rFont val="Arial"/>
        <color theme="1"/>
        <sz val="9.0"/>
      </rPr>
      <t xml:space="preserve"> </t>
    </r>
    <r>
      <rPr>
        <rFont val="Arial"/>
        <color rgb="FFFF0000"/>
        <sz val="9.0"/>
      </rPr>
      <t>emakume bati</t>
    </r>
    <r>
      <rPr>
        <rFont val="Arial"/>
        <color theme="1"/>
        <sz val="9.0"/>
      </rPr>
      <t xml:space="preserve"> </t>
    </r>
    <r>
      <rPr>
        <rFont val="Arial"/>
        <color rgb="FF38761D"/>
        <sz val="9.0"/>
      </rPr>
      <t>sexu eraso bat jasan zaiela salatu zioten.</t>
    </r>
    <r>
      <rPr>
        <rFont val="Arial"/>
        <color theme="1"/>
        <sz val="9.0"/>
      </rPr>
      <t xml:space="preserve"> </t>
    </r>
    <r>
      <rPr>
        <rFont val="Arial"/>
        <color rgb="FF4A86E8"/>
        <sz val="9.0"/>
      </rPr>
      <t>Herriko jaiak ospatzen ari diren bitartean</t>
    </r>
    <r>
      <rPr>
        <rFont val="Arial"/>
        <color theme="1"/>
        <sz val="9.0"/>
      </rPr>
      <t xml:space="preserve">, </t>
    </r>
    <r>
      <rPr>
        <rFont val="Arial"/>
        <color rgb="FFFF9900"/>
        <sz val="9.0"/>
      </rPr>
      <t>kalean jarri ohi dituzten komunetan jazo zen erasoa</t>
    </r>
    <r>
      <rPr>
        <rFont val="Arial"/>
        <color theme="1"/>
        <sz val="9.0"/>
      </rPr>
      <t xml:space="preserve">. </t>
    </r>
    <r>
      <rPr>
        <rFont val="Arial"/>
        <color rgb="FFFF0000"/>
        <sz val="9.0"/>
      </rPr>
      <t>Udalak</t>
    </r>
    <r>
      <rPr>
        <rFont val="Arial"/>
        <color theme="1"/>
        <sz val="9.0"/>
      </rPr>
      <t xml:space="preserve"> </t>
    </r>
    <r>
      <rPr>
        <rFont val="Arial"/>
        <strike/>
        <color theme="1"/>
        <sz val="9.0"/>
      </rPr>
      <t>erantzukizun handia aurkeztu zuen</t>
    </r>
    <r>
      <rPr>
        <rFont val="Arial"/>
        <color theme="1"/>
        <sz val="9.0"/>
      </rPr>
      <t xml:space="preserve">, eta </t>
    </r>
    <r>
      <rPr>
        <rFont val="Arial"/>
        <color rgb="FF38761D"/>
        <sz val="9.0"/>
      </rPr>
      <t>antolatuta zeuden ekitaldi guztiak bertan behera utzi zituen</t>
    </r>
    <r>
      <rPr>
        <rFont val="Arial"/>
        <color theme="1"/>
        <sz val="9.0"/>
      </rPr>
      <t xml:space="preserve">.
</t>
    </r>
    <r>
      <rPr>
        <rFont val="Arial"/>
        <color rgb="FFFF0000"/>
        <sz val="9.0"/>
      </rPr>
      <t xml:space="preserve">
Udalak, sanantonioetako jai batzordeak eta txosnek</t>
    </r>
    <r>
      <rPr>
        <rFont val="Arial"/>
        <color theme="1"/>
        <sz val="9.0"/>
      </rPr>
      <t xml:space="preserve"> </t>
    </r>
    <r>
      <rPr>
        <rFont val="Arial"/>
        <color rgb="FF38761D"/>
        <sz val="9.0"/>
      </rPr>
      <t xml:space="preserve">elkarretaratzea egin dute </t>
    </r>
    <r>
      <rPr>
        <rFont val="Arial"/>
        <color rgb="FFFF9900"/>
        <sz val="9.0"/>
      </rPr>
      <t>Zintururi plazan</t>
    </r>
    <r>
      <rPr>
        <rFont val="Arial"/>
        <color theme="1"/>
        <sz val="9.0"/>
      </rPr>
      <t xml:space="preserve">, eta </t>
    </r>
    <r>
      <rPr>
        <rFont val="Arial"/>
        <strike/>
        <color theme="1"/>
        <sz val="9.0"/>
      </rPr>
      <t>herritar gehienak</t>
    </r>
    <r>
      <rPr>
        <rFont val="Arial"/>
        <color rgb="FFBF9000"/>
        <sz val="9.0"/>
      </rPr>
      <t xml:space="preserve"> 'Erasorik ez, erantzunik gabe' lelopean</t>
    </r>
    <r>
      <rPr>
        <rFont val="Arial"/>
        <color theme="1"/>
        <sz val="9.0"/>
      </rPr>
      <t xml:space="preserve"> </t>
    </r>
    <r>
      <rPr>
        <rFont val="Arial"/>
        <color rgb="FF38761D"/>
        <sz val="9.0"/>
      </rPr>
      <t>parte hartu dute</t>
    </r>
    <r>
      <rPr>
        <rFont val="Arial"/>
        <color theme="1"/>
        <sz val="9.0"/>
      </rPr>
      <t xml:space="preserve">. Udalak adierazi du, jaiak elkartzeko eta dibertitzeko guneak direla, eta askatasuna eta bizikidetza errespetatzea beharrezkoa dela.
</t>
    </r>
    <r>
      <rPr>
        <rFont val="Arial"/>
        <color rgb="FFFF0000"/>
        <sz val="9.0"/>
      </rPr>
      <t>Ertzaintzak</t>
    </r>
    <r>
      <rPr>
        <rFont val="Arial"/>
        <color rgb="FF38761D"/>
        <sz val="9.0"/>
      </rPr>
      <t xml:space="preserve"> ikerketa abiatu du</t>
    </r>
    <r>
      <rPr>
        <rFont val="Arial"/>
        <color theme="1"/>
        <sz val="9.0"/>
      </rPr>
      <t xml:space="preserve">, baina inor atxilotu gabe. Udalak ulertzen ez duten eta bestelako helburuak dituzten pertsonak ez direla ongi etorriak, adierazi du, eta </t>
    </r>
    <r>
      <rPr>
        <rFont val="Arial"/>
        <strike/>
        <color theme="1"/>
        <sz val="9.0"/>
      </rPr>
      <t>eraso hauen aurkako erantzuna eskatzen du</t>
    </r>
    <r>
      <rPr>
        <rFont val="Arial"/>
        <color theme="1"/>
        <sz val="9.0"/>
      </rPr>
      <t>."</t>
    </r>
  </si>
  <si>
    <r>
      <rPr>
        <rFont val="Arial"/>
        <color rgb="FF666666"/>
        <sz val="9.0"/>
      </rPr>
      <t xml:space="preserve">Testu honetan, garrantzitsuena da </t>
    </r>
    <r>
      <rPr>
        <rFont val="Arial"/>
        <strike/>
        <color theme="1"/>
        <sz val="9.0"/>
      </rPr>
      <t>herritarren erantzuna eta errespetua eskatzea. Horregatik, laburtutako testuan, hurrengo frasiak eraginkorrak izan daitezke:</t>
    </r>
    <r>
      <rPr>
        <rFont val="Arial"/>
        <color theme="1"/>
        <sz val="9.0"/>
      </rPr>
      <t xml:space="preserve">
"Erasorik ez, erantzunik gabe" lelopea herritarren eragile eta konprometituta dagoena erakusten du. Herriko jai honetan, emakumeen eta pertsonen segurtasuna babesteko, herritar guztiak erantzun bat eman behar dute.
Udalak ere, adierazpen baliagarriak egin ditu, ulertu ez duten eta erasoak egiten dituzten pertsonak ez dira ongi etorriak. Horrela, herriko segurtasun eta askatasun boterea eraginkorra sustatzen du.
</t>
    </r>
    <r>
      <rPr>
        <rFont val="Arial"/>
        <color rgb="FF38761D"/>
        <sz val="9.0"/>
      </rPr>
      <t>Bertan behera utzi zituen ekitaldi guztiak</t>
    </r>
    <r>
      <rPr>
        <rFont val="Arial"/>
        <color theme="1"/>
        <sz val="9.0"/>
      </rPr>
      <t>,</t>
    </r>
    <r>
      <rPr>
        <rFont val="Arial"/>
        <strike/>
        <color theme="1"/>
        <sz val="9.0"/>
      </rPr>
      <t xml:space="preserve"> udalak erantzukizuna erakusten du</t>
    </r>
    <r>
      <rPr>
        <rFont val="Arial"/>
        <color theme="1"/>
        <sz val="9.0"/>
      </rPr>
      <t xml:space="preserve">, eta herriko jai honetan </t>
    </r>
    <r>
      <rPr>
        <rFont val="Arial"/>
        <strike/>
        <color theme="1"/>
        <sz val="9.0"/>
      </rPr>
      <t>segurtasun eta askatasun inguruko normak betetzen dituela adierazi nahi du</t>
    </r>
    <r>
      <rPr>
        <rFont val="Arial"/>
        <color theme="1"/>
        <sz val="9.0"/>
      </rPr>
      <t xml:space="preserve">.
</t>
    </r>
    <r>
      <rPr>
        <rFont val="Arial"/>
        <strike/>
        <color theme="1"/>
        <sz val="9.0"/>
      </rPr>
      <t>Horregatik, garrantzitsuena da herritarren erantzuna eta errespetua eskatzea, eta udalak ere, erantzukizuna hartzen duen adierazpen baliagarriak egin du.</t>
    </r>
  </si>
  <si>
    <r>
      <rPr>
        <rFont val="Arial"/>
        <color theme="1"/>
        <sz val="9.0"/>
      </rPr>
      <t xml:space="preserve">- Zer: </t>
    </r>
    <r>
      <rPr>
        <rFont val="Arial"/>
        <color rgb="FFFF0000"/>
        <sz val="9.0"/>
      </rPr>
      <t>Emakume batek</t>
    </r>
    <r>
      <rPr>
        <rFont val="Arial"/>
        <color theme="1"/>
        <sz val="9.0"/>
      </rPr>
      <t xml:space="preserve"> </t>
    </r>
    <r>
      <rPr>
        <rFont val="Arial"/>
        <color rgb="FF38761D"/>
        <sz val="9.0"/>
      </rPr>
      <t>sexu eraso bat jasan du</t>
    </r>
    <r>
      <rPr>
        <rFont val="Arial"/>
        <color theme="1"/>
        <sz val="9.0"/>
      </rPr>
      <t xml:space="preserve">.
- Nork: Ez da inor atxilotu.
- Noiz: </t>
    </r>
    <r>
      <rPr>
        <rFont val="Arial"/>
        <strike/>
        <color theme="1"/>
        <sz val="9.0"/>
      </rPr>
      <t>Atzo goizaldean</t>
    </r>
    <r>
      <rPr>
        <rFont val="Arial"/>
        <color theme="1"/>
        <sz val="9.0"/>
      </rPr>
      <t xml:space="preserve">.
- Non: </t>
    </r>
    <r>
      <rPr>
        <rFont val="Arial"/>
        <color rgb="FFFF9900"/>
        <sz val="9.0"/>
      </rPr>
      <t>Etxebarrin (Bizkaia)</t>
    </r>
    <r>
      <rPr>
        <rFont val="Arial"/>
        <color theme="1"/>
        <sz val="9.0"/>
      </rPr>
      <t xml:space="preserve">, </t>
    </r>
    <r>
      <rPr>
        <rFont val="Arial"/>
        <color rgb="FFFF9900"/>
        <sz val="9.0"/>
      </rPr>
      <t>kalean jarri ohi dituzten komunetan</t>
    </r>
    <r>
      <rPr>
        <rFont val="Arial"/>
        <color theme="1"/>
        <sz val="9.0"/>
      </rPr>
      <t xml:space="preserve">.
- </t>
    </r>
    <r>
      <rPr>
        <rFont val="Arial"/>
        <strike/>
        <color theme="1"/>
        <sz val="9.0"/>
      </rPr>
      <t xml:space="preserve">Zergatik: </t>
    </r>
    <r>
      <rPr>
        <rFont val="Arial"/>
        <strike/>
        <color rgb="FF4A86E8"/>
        <sz val="9.0"/>
      </rPr>
      <t>Herriko jaiak</t>
    </r>
    <r>
      <rPr>
        <rFont val="Arial"/>
        <strike/>
        <color theme="1"/>
        <sz val="9.0"/>
      </rPr>
      <t xml:space="preserve"> ospatzen ari dira eta erasorik ez da onartzen.</t>
    </r>
    <r>
      <rPr>
        <rFont val="Arial"/>
        <color theme="1"/>
        <sz val="9.0"/>
      </rPr>
      <t xml:space="preserve">
- Nola: </t>
    </r>
    <r>
      <rPr>
        <rFont val="Arial"/>
        <color rgb="FFFF0000"/>
        <sz val="9.0"/>
      </rPr>
      <t>Udalak</t>
    </r>
    <r>
      <rPr>
        <rFont val="Arial"/>
        <color theme="1"/>
        <sz val="9.0"/>
      </rPr>
      <t xml:space="preserve"> </t>
    </r>
    <r>
      <rPr>
        <rFont val="Arial"/>
        <color rgb="FF38761D"/>
        <sz val="9.0"/>
      </rPr>
      <t>ekitaldi guztiak bertan behera utzi dit</t>
    </r>
    <r>
      <rPr>
        <rFont val="Arial"/>
        <color theme="1"/>
        <sz val="9.0"/>
      </rPr>
      <t xml:space="preserve">u, eta </t>
    </r>
    <r>
      <rPr>
        <rFont val="Arial"/>
        <color rgb="FFFF0000"/>
        <sz val="9.0"/>
      </rPr>
      <t>herritarrak</t>
    </r>
    <r>
      <rPr>
        <rFont val="Arial"/>
        <color theme="1"/>
        <sz val="9.0"/>
      </rPr>
      <t xml:space="preserve"> </t>
    </r>
    <r>
      <rPr>
        <rFont val="Arial"/>
        <color rgb="FFBF9000"/>
        <sz val="9.0"/>
      </rPr>
      <t>'Erasorik ez, erantzunik gabe' lelopean</t>
    </r>
    <r>
      <rPr>
        <rFont val="Arial"/>
        <color theme="1"/>
        <sz val="9.0"/>
      </rPr>
      <t xml:space="preserve"> </t>
    </r>
    <r>
      <rPr>
        <rFont val="Arial"/>
        <color rgb="FF38761D"/>
        <sz val="9.0"/>
      </rPr>
      <t>bildu dira</t>
    </r>
    <r>
      <rPr>
        <rFont val="Arial"/>
        <color theme="1"/>
        <sz val="9.0"/>
      </rPr>
      <t>.</t>
    </r>
  </si>
  <si>
    <r>
      <rPr>
        <rFont val="Arial"/>
        <color rgb="FF666666"/>
        <sz val="9.0"/>
      </rPr>
      <t xml:space="preserve">TL;DR: </t>
    </r>
    <r>
      <rPr>
        <rFont val="Arial"/>
        <color rgb="FFFF0000"/>
        <sz val="9.0"/>
      </rPr>
      <t xml:space="preserve">A woman </t>
    </r>
    <r>
      <rPr>
        <rFont val="Arial"/>
        <color rgb="FF38761D"/>
        <sz val="9.0"/>
      </rPr>
      <t>reported a sexual assault</t>
    </r>
    <r>
      <rPr>
        <rFont val="Arial"/>
        <color theme="1"/>
        <sz val="9.0"/>
      </rPr>
      <t xml:space="preserve"> in </t>
    </r>
    <r>
      <rPr>
        <rFont val="Arial"/>
        <color rgb="FFFF9900"/>
        <sz val="9.0"/>
      </rPr>
      <t>Etxebarri, Bizkaia</t>
    </r>
    <r>
      <rPr>
        <rFont val="Arial"/>
        <color theme="1"/>
        <sz val="9.0"/>
      </rPr>
      <t xml:space="preserve">, </t>
    </r>
    <r>
      <rPr>
        <rFont val="Arial"/>
        <color rgb="FF4A86E8"/>
        <sz val="9.0"/>
      </rPr>
      <t>during the town's festivities</t>
    </r>
    <r>
      <rPr>
        <rFont val="Arial"/>
        <color theme="1"/>
        <sz val="9.0"/>
      </rPr>
      <t xml:space="preserve">. </t>
    </r>
    <r>
      <rPr>
        <rFont val="Arial"/>
        <color rgb="FFFF0000"/>
        <sz val="9.0"/>
      </rPr>
      <t>The local government</t>
    </r>
    <r>
      <rPr>
        <rFont val="Arial"/>
        <color theme="1"/>
        <sz val="9.0"/>
      </rPr>
      <t xml:space="preserve"> </t>
    </r>
    <r>
      <rPr>
        <rFont val="Arial"/>
        <color rgb="FF38761D"/>
        <sz val="9.0"/>
      </rPr>
      <t xml:space="preserve">cancelled all scheduled events for the afternoon </t>
    </r>
    <r>
      <rPr>
        <rFont val="Arial"/>
        <color theme="1"/>
        <sz val="9.0"/>
      </rPr>
      <t xml:space="preserve">and gathered with the San Antonio Festival Committee and stalls in Zintururi Square, where </t>
    </r>
    <r>
      <rPr>
        <rFont val="Arial"/>
        <color rgb="FFFF0000"/>
        <sz val="9.0"/>
      </rPr>
      <t xml:space="preserve">hundreds of residents </t>
    </r>
    <r>
      <rPr>
        <rFont val="Arial"/>
        <color rgb="FF38761D"/>
        <sz val="9.0"/>
      </rPr>
      <t>gathered</t>
    </r>
    <r>
      <rPr>
        <rFont val="Arial"/>
        <color theme="1"/>
        <sz val="9.0"/>
      </rPr>
      <t xml:space="preserve"> </t>
    </r>
    <r>
      <rPr>
        <rFont val="Arial"/>
        <color rgb="FFBF9000"/>
        <sz val="9.0"/>
      </rPr>
      <t xml:space="preserve">under the slogan "No to sexual assault, no impunity." </t>
    </r>
    <r>
      <rPr>
        <rFont val="Arial"/>
        <color rgb="FFFF0000"/>
        <sz val="9.0"/>
      </rPr>
      <t>The police</t>
    </r>
    <r>
      <rPr>
        <rFont val="Arial"/>
        <color theme="1"/>
        <sz val="9.0"/>
      </rPr>
      <t xml:space="preserve"> </t>
    </r>
    <r>
      <rPr>
        <rFont val="Arial"/>
        <color rgb="FF38761D"/>
        <sz val="9.0"/>
      </rPr>
      <t>have opened an investigation</t>
    </r>
    <r>
      <rPr>
        <rFont val="Arial"/>
        <color theme="1"/>
        <sz val="9.0"/>
      </rPr>
      <t>, but no arrests have been made yet.</t>
    </r>
  </si>
  <si>
    <r>
      <rPr>
        <rFont val="Arial"/>
        <color theme="1"/>
        <sz val="9.0"/>
      </rPr>
      <t xml:space="preserve">Euskaltzain jakintsua, Erramun Baxok, ohorezko euskaltzainak azken hatsa eman du, 96 urte zituen. Filosofian doktorea eta irakasle ikerkarriak, Baxok, Euskal Herrian pedagogia, soziolinguistika eta kultura arloetan inplikatua izan da. Pizkundean eta Euskal Konfederazioan parte hartu du, eta Euskal Kultur Erakundearen buru izan zen 1990etik 2005era arte.
Suhuskunen, Nafarroa Beherea, 1928an jaio zen, sei haurrideko familia batean. Euskaldun elebakarrak ziren gurasoak, eta frantsesez hasi zen hasi herriko eskola publikoan. Baxok, euskara nagusiki landu zuen, Piarres Lafitteren hiztegiarekin eta Xarles Bidegainekin harremanetan.
Seminarioan eta unibertsitatean ikasketak egin zituen, eta Filosofiako lizentzia eskuratu zuen 1953an. Apaiza eta filosofia irakaslea izan zen, eta gerora, Renee Samsonekin ezkondu, Quebecen bizi izan ziren. Han sortu ziren haien hiru haurrak, eta Baxok, ikasketekin segitu zuen, pertsonalismoari buruzko doktoretza aurkeztu zuen.
Euskal Herrira itzuli zenean, hizkuntzalaritza aplikatua irakasten aritu zen, eta Quebecen eskolak ematen ere segitu zuen. Ikas pedagogia zentroan lan egin zuen, eta Euskaraz Bizi metodoa sortzen aritu zen. Euskal Herriko proiektuetan parte hartu zuen, eta soziolinguistika arloan ekarpena egin zuen.
Baxok, Euskal Herriko Garapen Kontseiluan hizkuntzaren antolaketa eskemaren idazketan parte hartu zuen, eta EKEko soziolinguistika aholkularia izan zen. Euskaltzaindiko euskararen sustapen saileko kide aktiboa izan zen, eta EKE utzi ondoren, </t>
    </r>
    <r>
      <rPr>
        <rFont val="Arial"/>
        <strike/>
        <color theme="1"/>
        <sz val="9.0"/>
      </rPr>
      <t>lehendakaritzan jarraitu zuen</t>
    </r>
    <r>
      <rPr>
        <rFont val="Arial"/>
        <color theme="1"/>
        <sz val="9.0"/>
      </rPr>
      <t xml:space="preserve">.
Soziolinguistika arloan, Quebecen hizkuntzaren inguruan egin zituen lanak ikertu zituen Baxok, eta horren ikuspegia ekarri zuen Euskal Herrira. Euskal Soziolinguistika Klusterrak, Baxokek egindako proposamenetatik abiatu ziren, eta Quebecen antzeko ikergune bat sortzeko beharra azaleratu </t>
    </r>
    <r>
      <rPr>
        <rFont val="Arial"/>
        <strike/>
        <color theme="1"/>
        <sz val="9.0"/>
      </rPr>
      <t>zuten</t>
    </r>
    <r>
      <rPr>
        <rFont val="Arial"/>
        <color theme="1"/>
        <sz val="9.0"/>
      </rPr>
      <t>.
EKEk, Baxok, «langile porrokatua» izan dela adierazi du, eta doluminak adierazi dizkio familiari. Euskalgintzaren Kontseiluak, adiskide eta senideei besarkada estua helarazi die, eta EH Baik eta EAJk, Baxok, euskararen aldeko defendatzaile nekaezina omendu dute.
Baxok,</t>
    </r>
    <r>
      <rPr>
        <rFont val="Arial"/>
        <strike/>
        <color theme="1"/>
        <sz val="9.0"/>
      </rPr>
      <t xml:space="preserve"> BERRIAlaguna kanpaina eta </t>
    </r>
    <r>
      <rPr>
        <rFont val="Arial"/>
        <color theme="1"/>
        <sz val="9.0"/>
      </rPr>
      <t>BERRIAk elkarrizketa egin zituen,</t>
    </r>
    <r>
      <rPr>
        <rFont val="Arial"/>
        <strike/>
        <color theme="1"/>
        <sz val="9.0"/>
      </rPr>
      <t xml:space="preserve"> euskara laguntzeko beharrak adierazi zituen, eta Egunkaria eta BERRIAk irakurtzeko bere nahia adierazi zuen</t>
    </r>
    <r>
      <rPr>
        <rFont val="Arial"/>
        <color theme="1"/>
        <sz val="9.0"/>
      </rPr>
      <t>.</t>
    </r>
  </si>
  <si>
    <r>
      <rPr>
        <rFont val="Arial"/>
        <color rgb="FF666666"/>
        <sz val="9.0"/>
      </rPr>
      <t xml:space="preserve">Edukirik garrantzitsuena: </t>
    </r>
    <r>
      <rPr>
        <rFont val="Arial"/>
        <color theme="1"/>
        <sz val="9.0"/>
      </rPr>
      <t xml:space="preserve">"Euskaltzaleen Biltzarrarekin harremana izan zuen, baina bere baitarik landu zuen euskara nagusiki, Piarres Lafitteren hiztegiarekin, eta gerora Xarles Bidegainekin."
</t>
    </r>
    <r>
      <rPr>
        <rFont val="Arial"/>
        <color rgb="FF666666"/>
        <sz val="9.0"/>
      </rPr>
      <t xml:space="preserve">
Laburtu testua: </t>
    </r>
    <r>
      <rPr>
        <rFont val="Arial"/>
        <color theme="1"/>
        <sz val="9.0"/>
      </rPr>
      <t>"Euskaltzaindiak jakinarazi du Erramun Baxok ohorezko euskaltzainak azken hatsa eman duela; 96 urte zituen."
Erramun Baxokek soziolinguistikoan egin zuen ekarpena, eta hizkuntzalaritza eta pedagogia arloetan ere inplikatua izan da. Quebecen esperientziak eta ikerketak Euskal Herrira ekarri zituen, eta hizkuntzaren sustapena eta eredu publikoa lantzeko proiektuetan parte hartu zuen. Soziolinguistika Klusterrak eta Euskaltzaindiak ere, bere ekarpena azpimarratu dute, eta Baxokek egin zuen proposamenak Klusterraren sorrerako lehen hausnarketak abiatu zituzten.
Baxokek soziolinguistikoan egin zuen ekarpena, hizkuntzaren inguruko ikerketa eta proposamen berriak ekarri zituen, eta horren bidez, Euskal Herrian hizkuntzalaritza eta soziolinguistika arloetan egin zituen ahalegina.</t>
    </r>
  </si>
  <si>
    <r>
      <rPr>
        <rFont val="Arial"/>
        <color theme="1"/>
        <sz val="9.0"/>
      </rPr>
      <t xml:space="preserve">Zer?
Euskaltzain Erramun Baxok ohorezko euskaltzainak </t>
    </r>
    <r>
      <rPr>
        <rFont val="Arial"/>
        <strike/>
        <color theme="1"/>
        <sz val="9.0"/>
      </rPr>
      <t>azken hatsa eman zion Euskaltzaindiak</t>
    </r>
    <r>
      <rPr>
        <rFont val="Arial"/>
        <color theme="1"/>
        <sz val="9.0"/>
      </rPr>
      <t xml:space="preserve">.
Nork?
Euskaltzain Erramun Baxok, filosofian doktorea eta irakasle-ikerlari gisa aritu zen lanean.
Noiz?
Baxokek 96 urte </t>
    </r>
    <r>
      <rPr>
        <rFont val="Arial"/>
        <strike/>
        <color theme="1"/>
        <sz val="9.0"/>
      </rPr>
      <t>beteko zituen bitartean</t>
    </r>
    <r>
      <rPr>
        <rFont val="Arial"/>
        <color theme="1"/>
        <sz val="9.0"/>
      </rPr>
      <t xml:space="preserve">.
Non?
Nafarroa Beherea, Suhuskun (Iparralde) sortu zen Baxok.
Zergatik?
</t>
    </r>
    <r>
      <rPr>
        <rFont val="Arial"/>
        <strike/>
        <color theme="1"/>
        <sz val="9.0"/>
      </rPr>
      <t>Euskaltzainak jakinarazi du Euskaltzaindiak</t>
    </r>
    <r>
      <rPr>
        <rFont val="Arial"/>
        <color theme="1"/>
        <sz val="9.0"/>
      </rPr>
      <t xml:space="preserve">, Baxokek soziolinguistikan eta euskal kulturan egin zituen ekarpena, eta hizkuntzalaritza aplikatua irakasten aritu zen.
Nola?
Baxokek soziolinguistikoan eta pedagogian egin zituen ekarpena, eta hizkuntzalaritza aplikatua irakasten aritu zen. </t>
    </r>
    <r>
      <rPr>
        <rFont val="Arial"/>
        <strike/>
        <color theme="1"/>
        <sz val="9.0"/>
      </rPr>
      <t>Quebecen eta Euskal Herrian proiektu batzuk sortu zituen</t>
    </r>
    <r>
      <rPr>
        <rFont val="Arial"/>
        <color theme="1"/>
        <sz val="9.0"/>
      </rPr>
      <t>, eta Euskal Kultur Erakundearen buru izan zen. Soziolinguistikari buruzko ikasketak egin zituen, eta Euskaltzaindiko euskararen sustapen saileko kide aktiboa izan zen.</t>
    </r>
  </si>
  <si>
    <r>
      <rPr>
        <rFont val="Arial"/>
        <color theme="1"/>
        <sz val="9.0"/>
      </rPr>
      <t xml:space="preserve">Erramun Baxok, ohorezko euskaltzaina, 96 urte beteko zituen. Filosofian doktorea eta irakasle-ikerlari izan zen, eta Euskal Herriko mundu pedagogikoan, soziolinguistikoan eta kulturalean inplikatua izan zen. Quebecen eta Euskal Herrian </t>
    </r>
    <r>
      <rPr>
        <rFont val="Arial"/>
        <strike/>
        <color theme="1"/>
        <sz val="9.0"/>
      </rPr>
      <t>proiektu batzuk sortu zituen</t>
    </r>
    <r>
      <rPr>
        <rFont val="Arial"/>
        <color theme="1"/>
        <sz val="9.0"/>
      </rPr>
      <t>, eta soziolinguistikan egin zituen ekarpena. Euskaltzaindiak ohorezko kide izendatu zuten, eta Andres Urrutia euskaltzainburuak bere jakintza eta aditua izatea oroitu zuen. Baxokek soziolinguistika ikerketa egiten hasi zen, eta Euskal Kultur Erakundeko zuzendaritzan parte hartu zuen. EKEk eta EAJk bere lanagatik omendu zuten, eta BERRIAk elkarrizketa egin zion, Euskarazko hedabidea laguntzeko beharrez.</t>
    </r>
  </si>
  <si>
    <r>
      <rPr>
        <rFont val="Arial"/>
        <color rgb="FF666666"/>
        <sz val="9.0"/>
      </rPr>
      <t>Hurrengo testua laburtu da:</t>
    </r>
    <r>
      <rPr>
        <rFont val="Arial"/>
        <color theme="1"/>
        <sz val="9.0"/>
      </rPr>
      <t xml:space="preserve">
Hautetsien kritika handia izan da Peio Etxelekuri lurralde eremuko ordezkaritza kendu izan baduela. Sei auzapeek Etxelekuren kontra jo zuten eta gutun bat idazten,</t>
    </r>
    <r>
      <rPr>
        <rFont val="Arial"/>
        <strike/>
        <color theme="1"/>
        <sz val="9.0"/>
      </rPr>
      <t xml:space="preserve"> non </t>
    </r>
    <r>
      <rPr>
        <rFont val="Arial"/>
        <color theme="1"/>
        <sz val="9.0"/>
      </rPr>
      <t xml:space="preserve">hautetsi izenpetzaileek Etxelekuren «printzipioa» bera salatu dute. Horrez gain, Etxegarairen erabakia ere kritikatuta da, lurralde eremuko batzordea «informatu eta kontsultatu gabe» erabakia hartu izan duten agerian.
Izenpetzaileek lehendakariak «berehala» kendu dio ordezkaritza, eta ez duten entzuten Etxelekuren argudioak. Horrez gain, lurralde eremuko batzordeak ez dute informatu eta kontsultatu gabe jardun, batzordeko kideak ere parte hartu dute hautetsi prozesuan.
</t>
    </r>
    <r>
      <rPr>
        <rFont val="Arial"/>
        <strike/>
        <color theme="1"/>
        <sz val="9.0"/>
      </rPr>
      <t xml:space="preserve">
Hautetsiek Euskal Hirigune Elkargoko gobernantza itunaren </t>
    </r>
    <r>
      <rPr>
        <rFont val="Arial"/>
        <color theme="1"/>
        <sz val="9.0"/>
      </rPr>
      <t xml:space="preserve">kontrakoa daukate, lurralde batzordeetako kideen «rola eta zilegitasuna» ez duten zehaztu eta berriz aztertu behar dela eskatzeko. Horrez gain, sei auzapeek Etxelekuren «printzipioa» bera erabaki duten agerian, lurralde eremuko auzape sinatzaile gehiengo txikia da.
Lurralde eremuetako batzordeak 2020ko agintaldia hasterako sortu ziren, Euskal Hirigune Elkargoan gaiak lantzeko eremu eztabaida eta elkarrizketa izateko. Errobiko lurralde eremuan 11 herri daude, eta 35 hautetsi parte hartzen dute batzordeetan. Batzordeko kideek hautetsi izendatzen dira herriko bozetan edo kontseiluetan.
Hautetsien kritika eta galdera gehienak lurralde eremuko auzape sinatzaile gehiengo txikiari eta erabakia hartzeko prozesuari buruz dira. </t>
    </r>
    <r>
      <rPr>
        <rFont val="Arial"/>
        <strike/>
        <color theme="1"/>
        <sz val="9.0"/>
      </rPr>
      <t>Eztabaida hori aurrera eramateko, lurralde batzordeetako kideen parte-hartzea eta erabakigabea aztertzea behar da, eta erabakia hartzeko prozesua demokratiko eta parte-hartzaileagoa egitea garrantzitsua da.</t>
    </r>
  </si>
  <si>
    <r>
      <rPr>
        <rFont val="Arial"/>
        <color rgb="FF666666"/>
        <sz val="9.0"/>
      </rPr>
      <t>Testu honetan, auzape-hautetsien jarrera eta Euskal Hirigune Elkargoko gobernantza itunaren erantzukizuna garrantzitsuenak izan daitezke:</t>
    </r>
    <r>
      <rPr>
        <rFont val="Arial"/>
        <color theme="1"/>
        <sz val="9.0"/>
      </rPr>
      <t xml:space="preserve">
- **Auzape-hautetsien jarrera:** Sei </t>
    </r>
    <r>
      <rPr>
        <rFont val="Arial"/>
        <strike/>
        <color theme="1"/>
        <sz val="9.0"/>
      </rPr>
      <t xml:space="preserve">auzape-hautetsi </t>
    </r>
    <r>
      <rPr>
        <rFont val="Arial"/>
        <color theme="1"/>
        <sz val="9.0"/>
      </rPr>
      <t xml:space="preserve">kritikatzen dute Peio Etxelekuren lurralde eremuko ordezkaritza kendu izana, eta batzuk ez dute onartzen Jean Rene Etxegarai kargua kentzeko erabakia. Hautetsiak </t>
    </r>
    <r>
      <rPr>
        <rFont val="Arial"/>
        <strike/>
        <color theme="1"/>
        <sz val="9.0"/>
      </rPr>
      <t>Etxelekuren "printzipioa" salatu dute</t>
    </r>
    <r>
      <rPr>
        <rFont val="Arial"/>
        <color theme="1"/>
        <sz val="9.0"/>
      </rPr>
      <t xml:space="preserve">, eta Etxegarairen errekurtso gabea izan zen erabakia kritikatzen dute. Horrez gain, </t>
    </r>
    <r>
      <rPr>
        <rFont val="Arial"/>
        <strike/>
        <color theme="1"/>
        <sz val="9.0"/>
      </rPr>
      <t>auzape-hautetsien</t>
    </r>
    <r>
      <rPr>
        <rFont val="Arial"/>
        <color theme="1"/>
        <sz val="9.0"/>
      </rPr>
      <t xml:space="preserve"> hitzetan, lurralde eremua "informatu eta kontsultatu gabe" jardun dela azpimarratzen dute.
- **Euskal Hirigune Elkargoko gobernantza itunia:** Hautetsien iritziz, gobernantza itunia lurralde batzordeetako kideen "rola eta zilegitasuna" zehaztu eta berriz aztertu </t>
    </r>
    <r>
      <rPr>
        <rFont val="Arial"/>
        <strike/>
        <color theme="1"/>
        <sz val="9.0"/>
      </rPr>
      <t>behar izan du</t>
    </r>
    <r>
      <rPr>
        <rFont val="Arial"/>
        <color theme="1"/>
        <sz val="9.0"/>
      </rPr>
      <t xml:space="preserve">. Gobernantza itunia erantzuteko, </t>
    </r>
    <r>
      <rPr>
        <rFont val="Arial"/>
        <strike/>
        <color theme="1"/>
        <sz val="9.0"/>
      </rPr>
      <t>auzape-hautetsiak</t>
    </r>
    <r>
      <rPr>
        <rFont val="Arial"/>
        <color theme="1"/>
        <sz val="9.0"/>
      </rPr>
      <t xml:space="preserve"> eskatu dute lurralde batzordeetako kideek duten "zilegitasuna" berriz aztertzea eta zehaztzea.
</t>
    </r>
    <r>
      <rPr>
        <rFont val="Arial"/>
        <color rgb="FF666666"/>
        <sz val="9.0"/>
      </rPr>
      <t>Laburtu testua erabiliz, auzape-hautetsien jarrera eta gobernantza itunaren erantzukizuna garrantzitsuenak izan daitezke:</t>
    </r>
    <r>
      <rPr>
        <rFont val="Arial"/>
        <color theme="1"/>
        <sz val="9.0"/>
      </rPr>
      <t xml:space="preserve">
"Sei auzape-hautetsi kritikatzen dute Peio Etxelekuren lurralde eremuko ordezkaritza kendu izana</t>
    </r>
    <r>
      <rPr>
        <rFont val="Arial"/>
        <strike/>
        <color theme="1"/>
        <sz val="9.0"/>
      </rPr>
      <t xml:space="preserve">, eta horren ondorioz, </t>
    </r>
    <r>
      <rPr>
        <rFont val="Arial"/>
        <color theme="1"/>
        <sz val="9.0"/>
      </rPr>
      <t xml:space="preserve">Jean Rene Etxegarai kargua kentzeko erabakia. Hautetsiak Etxelekuren </t>
    </r>
    <r>
      <rPr>
        <rFont val="Arial"/>
        <strike/>
        <color theme="1"/>
        <sz val="9.0"/>
      </rPr>
      <t>jarrera "printzipioa" salatu dute</t>
    </r>
    <r>
      <rPr>
        <rFont val="Arial"/>
        <color theme="1"/>
        <sz val="9.0"/>
      </rPr>
      <t xml:space="preserve">, eta Etxegarairen errekurtso gabea izan zen erabakia kritikatzen dute. Horrez gain, lurralde eremua "informatu eta kontsultatu gabe" jardun dela azpimarratzen dute.
Hautetsien iritziz, Euskal Hirigune Elkargoko gobernantza itunia lurralde batzordeetako kideen "rola eta zilegitasuna" zehaztu eta berriz aztertu </t>
    </r>
    <r>
      <rPr>
        <rFont val="Arial"/>
        <strike/>
        <color theme="1"/>
        <sz val="9.0"/>
      </rPr>
      <t>behar izan du</t>
    </r>
    <r>
      <rPr>
        <rFont val="Arial"/>
        <color theme="1"/>
        <sz val="9.0"/>
      </rPr>
      <t xml:space="preserve">. Auzape-hautetsiak eskatu dute gobernantza itunean "zehaztua eta berriz aztertua" izan dadin lurralde batzordeetako kideek duten "zilegitasuna" eta erantzukizuna. </t>
    </r>
    <r>
      <rPr>
        <rFont val="Arial"/>
        <strike/>
        <color theme="1"/>
        <sz val="9.0"/>
      </rPr>
      <t>Horren ondorioz, auzape-hautetsiak</t>
    </r>
    <r>
      <rPr>
        <rFont val="Arial"/>
        <color theme="1"/>
        <sz val="9.0"/>
      </rPr>
      <t xml:space="preserve"> ez dute onartzen gertatu dena eta eskatu dute gobernantza itunean "zehaztua eta berriz aztertua" izan dadin lurralde batzordeetako kideen "rola eta zilegitasuna".
</t>
    </r>
    <r>
      <rPr>
        <rFont val="Arial"/>
        <color rgb="FF666666"/>
        <sz val="9.0"/>
      </rPr>
      <t xml:space="preserve">Hau da, </t>
    </r>
    <r>
      <rPr>
        <rFont val="Arial"/>
        <strike/>
        <color rgb="FF666666"/>
        <sz val="9.0"/>
      </rPr>
      <t>auzape-hautetsien</t>
    </r>
    <r>
      <rPr>
        <rFont val="Arial"/>
        <color rgb="FF666666"/>
        <sz val="9.0"/>
      </rPr>
      <t xml:space="preserve"> jarrera eta gobernantza itunaren erantzukizuna garrantzitsuenak izan daitezke testu honetan, eta horren ondorioz, laburtu testua erabiliz, horiekin lotuta dagoen garrantzia erakusten dute.</t>
    </r>
    <r>
      <rPr>
        <rFont val="Arial"/>
        <color theme="1"/>
        <sz val="9.0"/>
      </rPr>
      <t>"</t>
    </r>
  </si>
  <si>
    <r>
      <rPr>
        <rFont val="Arial"/>
        <color theme="1"/>
        <sz val="9.0"/>
      </rPr>
      <t xml:space="preserve">Zer?
Etxelekuren lurralde eremuko ordezkaritza kendu </t>
    </r>
    <r>
      <rPr>
        <rFont val="Arial"/>
        <color rgb="FFFF0000"/>
        <sz val="9.0"/>
      </rPr>
      <t>izatea</t>
    </r>
    <r>
      <rPr>
        <rFont val="Arial"/>
        <color theme="1"/>
        <sz val="9.0"/>
      </rPr>
      <t xml:space="preserve">.
Nork?
Sei auzape, Yannick Bassier, Emmanuelle Dallet, Denise Cedarry, Mikel Goienetxe, Erik Mailharrancin, Françoise Gallois, Laetitia Croc, Nicole Etxamendi eta Argitxu Hiriart Urruti.
Noiz?
</t>
    </r>
    <r>
      <rPr>
        <rFont val="Arial"/>
        <strike/>
        <color theme="1"/>
        <sz val="9.0"/>
      </rPr>
      <t>2024ko ekainaren 20an.</t>
    </r>
    <r>
      <rPr>
        <rFont val="Arial"/>
        <color theme="1"/>
        <sz val="9.0"/>
      </rPr>
      <t xml:space="preserve">
Non?
Euskal Hirigune Elkargoko lurralde eremuan, Lapurdi barnealdeko 11 </t>
    </r>
    <r>
      <rPr>
        <rFont val="Arial"/>
        <color rgb="FFFF0000"/>
        <sz val="9.0"/>
      </rPr>
      <t>herrian</t>
    </r>
    <r>
      <rPr>
        <rFont val="Arial"/>
        <color theme="1"/>
        <sz val="9.0"/>
      </rPr>
      <t xml:space="preserve">.
Zergatik?
Etxelekuren kontra jo zuten sei </t>
    </r>
    <r>
      <rPr>
        <rFont val="Arial"/>
        <color rgb="FFFF0000"/>
        <sz val="9.0"/>
      </rPr>
      <t>auzape</t>
    </r>
    <r>
      <rPr>
        <rFont val="Arial"/>
        <color theme="1"/>
        <sz val="9.0"/>
      </rPr>
      <t xml:space="preserve">, eta lurralde eremuko batzordea «informatu eta kontsultatu gabe» jardun izatea kritikatzen dute.
Nola?
Sei auzapeek Etxelekuren kontra gutun bat idatzi dute, </t>
    </r>
    <r>
      <rPr>
        <rFont val="Arial"/>
        <strike/>
        <color theme="1"/>
        <sz val="9.0"/>
      </rPr>
      <t xml:space="preserve">eta Etxegarairen erabakia «presakako eta errekurtsorik </t>
    </r>
    <r>
      <rPr>
        <rFont val="Arial"/>
        <strike/>
        <color rgb="FFFF0000"/>
        <sz val="9.0"/>
      </rPr>
      <t>gabeko</t>
    </r>
    <r>
      <rPr>
        <rFont val="Arial"/>
        <strike/>
        <color theme="1"/>
        <sz val="9.0"/>
      </rPr>
      <t>» delako salatu dute</t>
    </r>
    <r>
      <rPr>
        <rFont val="Arial"/>
        <color theme="1"/>
        <sz val="9.0"/>
      </rPr>
      <t>. Hautetsiek erantzungo dute lurralde batzordeetako kideek duten «rola eta zilegitasuna» zehaztea eta berriz aztertzea.</t>
    </r>
  </si>
  <si>
    <r>
      <rPr>
        <rFont val="Arial"/>
        <strike/>
        <color theme="1"/>
        <sz val="9.0"/>
      </rPr>
      <t>Etxelekuren kontrako</t>
    </r>
    <r>
      <rPr>
        <rFont val="Arial"/>
        <color theme="1"/>
        <sz val="9.0"/>
      </rPr>
      <t xml:space="preserve"> hautetsi izenpetzaileek, lurralde eremuko ordezkaritza kendu izana kritikatu dute, eta Etxegarairen erabakia «presakako eta errekurtsorik </t>
    </r>
    <r>
      <rPr>
        <rFont val="Arial"/>
        <color rgb="FFFF0000"/>
        <sz val="9.0"/>
      </rPr>
      <t>gabeko</t>
    </r>
    <r>
      <rPr>
        <rFont val="Arial"/>
        <color theme="1"/>
        <sz val="9.0"/>
      </rPr>
      <t xml:space="preserve">» delako salatu dute. Sei auzapeek </t>
    </r>
    <r>
      <rPr>
        <rFont val="Arial"/>
        <strike/>
        <color theme="1"/>
        <sz val="9.0"/>
      </rPr>
      <t>Etxelekuren «printzipioa» bera</t>
    </r>
    <r>
      <rPr>
        <rFont val="Arial"/>
        <color theme="1"/>
        <sz val="9.0"/>
      </rPr>
      <t xml:space="preserve"> salatu dute, eta lurralde eremuko batzordea «informatu eta kontsultatu gabe» jardun dela gaineratu dute.
Hautetsien iritziz, Euskal Hirigune Elkargoko gobernantza itunaren kontrakoa da gertakari hori, eta lurralde eremuko batzordeetako kideek duten «rola eta zilegitasuna» zehaztua eta berriz aztertua behar dela eskatu dute.
Lurralde eremuetako batzordeak 2020ko agintaldia hasterako sortu ziren, Euskal Hirigune Elkargoan elkarrizketa eta eztabaidarako eremuak sortzeko. Errobiko lurralde eremuan, Lapurdi barnealdeko 11 herri daude, eta 35 hautetsik parte hartzen dute batzordeetan. Errobiko zortzi auzapez dira lurralde batzordeko kide, eta gainerako hiruren funtzioa herriko beste hautetsi baten esku utzi dute.
TL;DR: Lurralde eremuko ordezkaritza kendu izatea kritikatu da, eta Euskal Hirigune Elkargoko gobernantza itunaren kontrakoa da gertakari hori. Lurralde eremuko batzordeetako kideek duten «rola eta zilegitasuna» zehaztzea eta berriz aztertzea eskatu dute.</t>
    </r>
  </si>
  <si>
    <r>
      <rPr>
        <rFont val="Arial"/>
        <color rgb="FF666666"/>
        <sz val="9.0"/>
      </rPr>
      <t>Hurrengo testua laburtu da:</t>
    </r>
    <r>
      <rPr>
        <rFont val="Arial"/>
        <color theme="1"/>
        <sz val="9.0"/>
      </rPr>
      <t xml:space="preserve">
Itziar Lakari, hizkuntzalaritza esperimentala eta neurohizkuntzalaritza lantzen duen ikertzaile nagusia, Eusko Ikaskuntza-Laboral Kutxaren saria jaso du bere ekarpen berritzaileengatik euskararen garapenerako eta hizkuntza gaitasunak gobernatzen dituzten mekanismoetan sakontzeko. Lakak, 1962an Getxon sortua, 2010ean </t>
    </r>
    <r>
      <rPr>
        <rFont val="Arial"/>
        <strike/>
        <color theme="1"/>
        <sz val="9.0"/>
      </rPr>
      <t>Eusko Ikaskuntzan lehenengo ikerketa talde esperimental bat sortu zuen</t>
    </r>
    <r>
      <rPr>
        <rFont val="Arial"/>
        <color theme="1"/>
        <sz val="9.0"/>
      </rPr>
      <t>, eta horren ondoren hainbat proiektu nagusitan ikertzaile nagusi izan da.
Epaimahaiak Lakaren ibilbideari erantzuteko, euskara unibertsitatean eta gizartean sustatzea «funtsezko dimentsioa» izan du bere ibilbidean. Gaur egun, EHUko EuskaraREN, KulturaREN eta Nazioartekotzearen arloko errektoreordetzan dago, eta hizkuntzalaritza klasikoen itzulpena susta</t>
    </r>
    <r>
      <rPr>
        <rFont val="Arial"/>
        <strike/>
        <color theme="1"/>
        <sz val="9.0"/>
      </rPr>
      <t>tzen</t>
    </r>
    <r>
      <rPr>
        <rFont val="Arial"/>
        <color theme="1"/>
        <sz val="9.0"/>
      </rPr>
      <t xml:space="preserve"> du EHUko Euskara Institutuarekin lankidetzan.
Lakaren lanak zientzia kulturaren zabalpenean ere nabarmendu dira, elebitasunaren inguruan mito batzuk bertan behera utzi dituelako zientzia zentzuzko ebidentziarekin. Bere ekarpenak euskarari eta hizkuntzalaritzari ere nabarmena ekarri dute, «lan itzela» egin duelako zientziaren eta zientzia kulturaren eragile nagusiak izan.
Eusko Ikaskuntza-Laboral Kutxaren saria Itziar Lakari emango die, bere ekarpenak euskararen garapenerako eta hizkuntza gaitasunak gobernatzen dituzten mekanismoetan sakontzen duten bitartez.</t>
    </r>
  </si>
  <si>
    <r>
      <rPr>
        <rFont val="Arial"/>
        <color rgb="FF666666"/>
        <sz val="9.0"/>
      </rPr>
      <t xml:space="preserve">Ondo pentsatuta, hurrengo testuaren edukirik garrantzitsuena </t>
    </r>
    <r>
      <rPr>
        <rFont val="Arial"/>
        <color theme="1"/>
        <sz val="9.0"/>
      </rPr>
      <t xml:space="preserve">"Ekarpen nabarmena egin du euskararen eta Euskal Herriko garapen zientifikoaren eta kulturalaren inguruan" delako. Horrela, Itziar Lakariaren ekarpena eta lanaren garrantzia nabarmendu nahi dute.
</t>
    </r>
    <r>
      <rPr>
        <rFont val="Arial"/>
        <color rgb="FF666666"/>
        <sz val="9.0"/>
      </rPr>
      <t xml:space="preserve">
Testu laburtua, baina garrantzitsu hura, "</t>
    </r>
    <r>
      <rPr>
        <rFont val="Arial"/>
        <color theme="1"/>
        <sz val="9.0"/>
      </rPr>
      <t xml:space="preserve">Epaimahaiak Lakak egindako ibilbidea saritu du: «Eredu handia izan da, gazteen artean ere, euskara goreneko maila zientifikoan jarriz, metodologia berriak baliatuz, punta-puntako ikerketekin landuz, egun berebiziko garrantzia duten alorrak jorratuz»." Delako, epaimahaiak Lakariaren ibilbideari eta ekarpenari erantzuteko, bere lanaren garrantzia eta eragiketa nabarmendu nahi ditu.
</t>
    </r>
    <r>
      <rPr>
        <rFont val="Arial"/>
        <color rgb="FF666666"/>
        <sz val="9.0"/>
      </rPr>
      <t>Horrelako testu laburtu eta garrantzitsuak, I</t>
    </r>
    <r>
      <rPr>
        <rFont val="Arial"/>
        <color theme="1"/>
        <sz val="9.0"/>
      </rPr>
      <t>tziar Lakariaren ekarpenak eta lan-ibilbidea nabarmendu eta garrantzitu nahi duten ikuspegi bat eragiten dute.</t>
    </r>
  </si>
  <si>
    <r>
      <rPr>
        <rFont val="Arial"/>
        <color theme="1"/>
        <sz val="9.0"/>
      </rPr>
      <t xml:space="preserve">**Zer?**
Itziar Lakari Eusko Ikaskuntza-Laboral Kutxaren saria </t>
    </r>
    <r>
      <rPr>
        <rFont val="Arial"/>
        <color rgb="FFFF0000"/>
        <sz val="9.0"/>
      </rPr>
      <t>jasan</t>
    </r>
    <r>
      <rPr>
        <rFont val="Arial"/>
        <color theme="1"/>
        <sz val="9.0"/>
      </rPr>
      <t xml:space="preserve"> du.
**Nork?**
Eusko Ikaskuntza, </t>
    </r>
    <r>
      <rPr>
        <rFont val="Arial"/>
        <strike/>
        <color theme="1"/>
        <sz val="9.0"/>
      </rPr>
      <t>hizkuntzalaritza eta zientziak ikertzen dituen erakundeak</t>
    </r>
    <r>
      <rPr>
        <rFont val="Arial"/>
        <color theme="1"/>
        <sz val="9.0"/>
      </rPr>
      <t>, Lakari saria ematea erabaki du.
**Noiz?**
Ez da noiz jaso duen saria esanguratu, baina Itziar Lakari 1962an jaiotakoa da eta 2010ean hizkuntzalaritza esperimentala eta neurohizkuntzalaritza lantzen dituen lehenengo ikerketa taldea sortu zuen.
**Non?**
Lakari Getxon sortua da (Bizkaia), eta gaur egun EHU Euskal Herriko Unibertsitateko EuskaraREN, KulturaREN eta Nazioartekotzearen arloko errektoreordetzan dago.
**Zergatik?**
Lakari "ekarpen berritzaileak" egin ditu euskararen garapenerako eta hizkuntza gaitasunak gobernatzen dituzten mekanismoetan sakontzeko. Bere lanak euskararen eta Euskal Herriko garapen zientifikoaren eta kulturalaren inguruan ekarpen nabarmena egin dute. Epaimahaiak ere Lakariren ibilbidea saritu du, bere zientifiko maila eta metodologia berriak jarri duela nabarmendu dute.
**Nola?**
Itziar Lakari hizkuntzalaritza esperimentala eta neurohizkuntzalaritza lantzen dituen lehenengo ikerketa taldeari buruzko lanak egin zituen, eta hizkuntzalaritza klasikoen itzulpena sustatu zuen. Bere ibilbidean, euskara unibertsitatean eta gizartean sustatzea "funtsezko dimentsioa" izan da, eta elebitasunaren inguruan zientifikoa dauden ebidentziak erakutsi ditu.</t>
    </r>
  </si>
  <si>
    <r>
      <rPr>
        <rFont val="Arial"/>
        <color theme="1"/>
        <sz val="9.0"/>
      </rPr>
      <t>Itziar Lakari, hizkuntzalaria, Eusko Ikaskuntza-Laboral Kutxaren Humanitateen, Kulturaren, Arteen eta Gizarte Zientzien Saria jaso du. Eusko Ikaskuntzak, bere ekarpen berritzaileak eta euskararen garapenerako lanagatik, Laka-ri saria eman dio.
Lakak, 1962an Getxon sortu zen, eta 2010an hizkuntzalaritza esperimentala eta neurohizkuntzalaritza lantzen dituen lehenengo ikerketa taldea sortu zuen. Bere ibilbidean, hizkuntzalaritza klasikoen itzulpena sustatu du eta zientzia kulturaren zabalpenean egin du "lan itzela".
Epaimahaiak Laka-ren ibilbidea saritu du, eta bere ekitaldi zientifikoetan, metodologia berriak baliatuz eta ikerketa puntualekin, euskararen eta Euskal Herriko garapen zientifikoaren inguruan ekarpen nagusiak egin dituela uste du.
Gaur egun, Lakak EHUko EuskaraREN, KulturaREN eta Nazioartekotzearen arloko errektoreordetzan dago, eta hizkuntzalaritza lan klasikoen itzulpena susta</t>
    </r>
    <r>
      <rPr>
        <rFont val="Arial"/>
        <strike/>
        <color theme="1"/>
        <sz val="9.0"/>
      </rPr>
      <t>tzen</t>
    </r>
    <r>
      <rPr>
        <rFont val="Arial"/>
        <color theme="1"/>
        <sz val="9.0"/>
      </rPr>
      <t xml:space="preserve"> du. Epaimahaiak, bere lanak zientzia eta gizartearen arteko lotura izan duten alorrak jorratzen dizkietela uste du.
TL;DR: Itziar Lakari, hizkuntzalaria, bere euskararen garapenerako lanagatik saria jaso du. Eusko Ikaskuntza-Laboral Kutxaren sariak jasotzean, bere ekitaldi zientifikoak eta ekarpenak euskararen garapenerako eta hizkuntzalaritzaren osotasunean nabarmendu dira.</t>
    </r>
  </si>
  <si>
    <r>
      <rPr>
        <rFont val="Arial"/>
        <color rgb="FF666666"/>
        <sz val="9.0"/>
      </rPr>
      <t>Epaiketa batzuk egin daitezke testu honen inguruan:</t>
    </r>
    <r>
      <rPr>
        <rFont val="Arial"/>
        <color theme="1"/>
        <sz val="9.0"/>
      </rPr>
      <t xml:space="preserve">
1. Zentro berria Arabako Foru Aldundiak zabaldu du, sexu indarkeria jasaten duten emakumeei arreta integrala emateko. Zentro honen helburua «krisi eta larrialdi egoeretan» andreak laguntzea eta babestzea da.
2. Gorka Urtaran Gizarte Politiketarako diputatuak eta Maika Diez Bermejo Esku Hartze Sozialeko zuzendariorde teknikoak zentro berriaren xehetasunak eman dute.
3. Istanbulgo Hitzarmena eta legeak sexu indarkeriaren aurkako zentro batzuk zabaldu behar dute Hego Euskal Herrian.
4. Urtaranek esplikatu du sexu indarkeriak giza eskubideen urraketa «larria» eta «egiturazkoa» dela, baina «ezkutuan» dagoela.
5. Zentro honetan, biktimak «babestuta, zainduta eta onartuta» sentitu ahal izango dute, eta laguntza sozial, juridiko eta psikologikoa eskainiko zaie.
6. Emakundeen datuen arabera, 2023an 92 emakumek aurkeztu zuten salaketa Araban sexu askatasunaren aurkako delituengatik.
Testu honetan, sexu indarkeriak jasaten duten emakumeei eta haien gertukoei laguntza eta babesa eskainitzea da helburua. Zentro berria, Tximeletak, krisi eta larrialdi egoeretan andreak laguntzeko sortua da, eta horretarako talde profesional bat eskaintzen diote arreta integrala.
</t>
    </r>
    <r>
      <rPr>
        <rFont val="Arial"/>
        <strike/>
        <color theme="1"/>
        <sz val="9.0"/>
      </rPr>
      <t>Hala ere, testu honetan, sexu indarkeriak jasaten duten emakumeen babesari buruzko hitzek, bortizkeriaren aurkako baliagarriak dira, baina sexu indarkeriak jasaten duten gizonen babesari buruzko hitzek ere, baliagarriak dira. Sexu indarkeriak jasaten duten gizonen babesari buruzko hitzek, bortizkeriaren aurkako baliagarriak dira, baina sexu indarkeriak jasaten duten emakumeen babesari buruzko hitzek ere, baliagarriak dira.</t>
    </r>
    <r>
      <rPr>
        <rFont val="Arial"/>
        <color theme="1"/>
        <sz val="9.0"/>
      </rPr>
      <t xml:space="preserve">
Arabako Foru Aldundiak zabaldu duen zentro berria, Tximeletak, sexu indarkeriak jasaten duten emakumeei eta haien gertukoei arreta integrala emateko, eta horretarako talde profesional bat eskaintzen diote. Zentro honetan, biktimak «babestuta, zainduta eta onartuta» sentitu ahal izango dute, eta laguntza sozial, juridiko eta psikologikoa eskainiko zaie.
</t>
    </r>
    <r>
      <rPr>
        <rFont val="Arial"/>
        <strike/>
        <color theme="1"/>
        <sz val="9.0"/>
      </rPr>
      <t>Hala ere, testu honetan, sexu indarkeriak jasaten duten emakumeen babesari buruzko hitzek, bortizkeriaren aurkako baliagarriak dira, baina sexu indarkeriak jasaten duten gizonen babesari buruzko hitzek ere, baliagarriak dira. Sexu indarkeriak jasaten duten gizonen babesari buruzko hitzek, bortizkeriaren aurkako baliagarriak dira, baina sexu indarkeriak jasaten duten emakumeen babesari buruzko hitzek ere, baliagarriak dira.</t>
    </r>
    <r>
      <rPr>
        <rFont val="Arial"/>
        <color theme="1"/>
        <sz val="9.0"/>
      </rPr>
      <t xml:space="preserve">
</t>
    </r>
    <r>
      <rPr>
        <rFont val="Arial"/>
        <strike/>
        <color theme="1"/>
        <sz val="9.0"/>
      </rPr>
      <t>Arabako Foru Aldundiak zabaldu duen zentro berria, Tximeletak, sexu indarkeriak jasaten duten emakumeei eta haien gertukoei arreta integrala emateko, eta horretarako talde profesional bat eskaintzen diote. Zentro honetan, biktimak «babestuta, zainduta eta onartuta» sentitu ahal izango dute, eta laguntza sozial, juridiko eta psikologikoa eskainiko zaie.
Hala ere, testu honetan, sexu indarkeriak jasaten duten emakumeen babesari buruzko hitzek, bortizkeriaren aurkako baliagarriak dira, baina sexu indarkeriak jasaten duten gizonen babesari buruzko hitzek ere, baliagarriak dira. Sexu indarkeriak jasaten duten gizonen babesari buruzko hitzek, bortizkeriaren aurkako baliagarriak dira, baina sexu indarkeriak jasaten duten emakumeen babesari buruzko hitzek ere, baliagarriak dira.</t>
    </r>
  </si>
  <si>
    <r>
      <rPr>
        <rFont val="Arial"/>
        <color rgb="FF666666"/>
        <sz val="9.0"/>
      </rPr>
      <t>Ondo den hurrengo testuaren edukirik garrantzitsuena:</t>
    </r>
    <r>
      <rPr>
        <rFont val="Arial"/>
        <color theme="1"/>
        <sz val="9.0"/>
      </rPr>
      <t xml:space="preserve">
"Sexu indarkeria giza eskubideen urraketa larria eta egiturazkoa da, baina, maiz, ezkutuan dago."
</t>
    </r>
    <r>
      <rPr>
        <rFont val="Arial"/>
        <color rgb="FF666666"/>
        <sz val="9.0"/>
      </rPr>
      <t>Laburtu testua:</t>
    </r>
    <r>
      <rPr>
        <rFont val="Arial"/>
        <color theme="1"/>
        <sz val="9.0"/>
      </rPr>
      <t xml:space="preserve">
"Sexu bortizkeria nozitu duten emakumeei eta haien gertukoei arreta integrala emateko ireki dute gunea, eta biktimen lehengoratze psikologikoa sustatuko du, laguntza sozial eta juridikorako tresnak haien esku jarrita."
</t>
    </r>
    <r>
      <rPr>
        <rFont val="Arial"/>
        <color rgb="FF666666"/>
        <sz val="9.0"/>
      </rPr>
      <t>Testu honetan, garrantzitsua da</t>
    </r>
    <r>
      <rPr>
        <rFont val="Arial"/>
        <color theme="1"/>
        <sz val="9.0"/>
      </rPr>
      <t xml:space="preserve"> Arabako Foru Aldundiak emakumeentzako arreta integrala emateko zentro berria zabaldu duela eta sexu indarkeria jasotzen duten andreak babesteko eta laguntzeko aholkularitza sozial eta juridikoa eskaintzen dietela. Zentro honen helburua da krisi eta larrialdi egoeretan andreok sentitu egin duten lehengoratze psikologikoa sustatzeko eta laguntza emateko.
</t>
    </r>
    <r>
      <rPr>
        <rFont val="Arial"/>
        <color rgb="FF666666"/>
        <sz val="9.0"/>
      </rPr>
      <t>Testu laburtuan, garrantzitsua da</t>
    </r>
    <r>
      <rPr>
        <rFont val="Arial"/>
        <color theme="1"/>
        <sz val="9.0"/>
      </rPr>
      <t xml:space="preserve"> gertukoekin elkartzeko eta osatzeko aholkularitza eskaintzen dietela, eta hainbat zerbitzu eta eragileekin koordinazioa bermatzen dietela, harrera eta komunikazio protokoloak landu dituzte.
</t>
    </r>
    <r>
      <rPr>
        <rFont val="Arial"/>
        <color rgb="FF666666"/>
        <sz val="9.0"/>
      </rPr>
      <t>Hurrengo testuaren edukirik garrantzitsuena:</t>
    </r>
    <r>
      <rPr>
        <rFont val="Arial"/>
        <color theme="1"/>
        <sz val="9.0"/>
      </rPr>
      <t xml:space="preserve">
"Biktimentzako «abaroa»
Biktimen «lehengoratze integrala» sustatuko dute bertan, besteak beste informazioa, aholkularitza eta arreta soziala, juridikoa eta psikologikoa eskainita. Indarkeria sexualaren ondorioen aurkako estrategia baten barruan lan egingo dute, helburua baita biktimaren erreparazioa lortzea, emakume kaltetuek bizitako esperientzia traumatikoen ondoren euren bizitzarekin jarraitu ahal izan dezaten."
</t>
    </r>
    <r>
      <rPr>
        <rFont val="Arial"/>
        <strike/>
        <color rgb="FF666666"/>
        <sz val="9.0"/>
      </rPr>
      <t>Laburtu testua:</t>
    </r>
    <r>
      <rPr>
        <rFont val="Arial"/>
        <strike/>
        <color theme="1"/>
        <sz val="9.0"/>
      </rPr>
      <t xml:space="preserve">
"Biktimen lehengoratze integrala sustatuko dute, eta haien arreta soziala, juridikoa eta psikologikoa eskainiko diote. Helburua da emakume kaltetuek bizitza berreskuratzea eta esperientzia traumatikoen ondorioekin aurrera egin ahal izateko laguntzea."
</t>
    </r>
    <r>
      <rPr>
        <rFont val="Arial"/>
        <strike/>
        <color rgb="FF666666"/>
        <sz val="9.0"/>
      </rPr>
      <t xml:space="preserve">
Honen bitartez, garrantzitsua da </t>
    </r>
    <r>
      <rPr>
        <rFont val="Arial"/>
        <strike/>
        <color theme="1"/>
        <sz val="9.0"/>
      </rPr>
      <t xml:space="preserve">zentroak biktimen lehengoratze integralaren eta arreta osoaren beharra nabarmendu duela, eta emakume kaltetuek bizitzan jarraitu ahal izateko laguntza emateko estrategia baten barruan lan egingo duela.
</t>
    </r>
    <r>
      <rPr>
        <rFont val="Arial"/>
        <strike/>
        <color rgb="FF666666"/>
        <sz val="9.0"/>
      </rPr>
      <t xml:space="preserve">Testu honetan, garrantzitsua da </t>
    </r>
    <r>
      <rPr>
        <rFont val="Arial"/>
        <strike/>
        <color theme="1"/>
        <sz val="9.0"/>
      </rPr>
      <t>zentroak biktimen arreta eta laguntza emateko aholkularitza sozial eta juridikoa eskaintzen dietela, eta emakume kaltetuek bizitzan aurrera egin ahal izateko laguntzea helburu nagusia izatea.</t>
    </r>
  </si>
  <si>
    <r>
      <rPr>
        <rFont val="Arial"/>
        <color theme="1"/>
        <sz val="9.0"/>
      </rPr>
      <t xml:space="preserve">Zer?
- Arabako Foru Aldundiak sexu indarkeria jasaten duten emakumeei arreta integrala emateko zentro bat zabaldu du.
Nork?
- Gorka Urtaran, Gizarte Politiketarako diputatuak, eta Maika Diez Bermejo, Esku Hartze Sozialeko zuzendariorde teknikoak, zentro berriaren xehetasunak eman dute.
Noiz?
- Apirilaren 19tik aurrera, zentroa martxan jarri da.
Non?
- Gasteizko erdigunean dago zentroa, baina erabiltzaileen konfidentzialtasuna bermatze aldera, ez dute zehaztu non dagoela.
Zergatik?
- Sexu indarkeria giza eskubideen urraketa larria eta egiturazkoa da, eta hori babesteko eta laguntzeko, osatzeko lan egingo dute zentroan.
Nola?
- Zentroa, </t>
    </r>
    <r>
      <rPr>
        <rFont val="Arial"/>
        <strike/>
        <color theme="1"/>
        <sz val="9.0"/>
      </rPr>
      <t>Istanbulgo Hitzarmenak eta legeak zehazten duen moduan</t>
    </r>
    <r>
      <rPr>
        <rFont val="Arial"/>
        <color theme="1"/>
        <sz val="9.0"/>
      </rPr>
      <t>, diziplina askotako profesional talde batek aurrez aurreko laguntza eskainiko dio biktimari. Helburua, biktima babestuta, zainduta eta onartuta sentitu daitezen, eta bere esperientzia traumatikoen ondoren euren bizitzarekin jarraitu ahal izatea.</t>
    </r>
  </si>
  <si>
    <r>
      <rPr>
        <rFont val="Arial"/>
        <color theme="1"/>
        <sz val="9.0"/>
      </rPr>
      <t xml:space="preserve">Araba Foru Aldundiak emakumeentzako arreta integrala emateko zentro berria zabaldu du, sexu indarkeria jasaten duten andreak babesteko eta laguntzeko. Zentroa, "Tximeletak", Gasteizko erdigunean dago, eta egunean 24 orduz eta urtean 365 egunez, aurrez aurre, telefonoz zein online, arreta eskainiko du biktimari.
Gorka Urtaran Gizarte Politiketarako diputatuak eta Maika Diez Bermejo Esku Hartze Sozialeko zuzendariorde teknikoak eman dute zentro berriaren xehetasunak. Helburua da biktimak babesteko, laguntzeko eta osatzeko, eta gainerako arreta zerbitzuekin koordinatuta egotea.
Sexu indarkeria giza eskubideen urraketa larria eta egiturazkoa dela </t>
    </r>
    <r>
      <rPr>
        <rFont val="Arial"/>
        <strike/>
        <color theme="1"/>
        <sz val="9.0"/>
      </rPr>
      <t>uste dute</t>
    </r>
    <r>
      <rPr>
        <rFont val="Arial"/>
        <color theme="1"/>
        <sz val="9.0"/>
      </rPr>
      <t xml:space="preserve">, baina ezkutuan dagoela ere. Zentro honetan, diziplina askotako profesionalak aurrez aurreko laguntza eskainiko dute biktimari, arreta psikologikoa eta aholkularitza juridikoa barne.
Biktimak 18 urte baino gehiago badituzte edo adingabe emantzipatuak badira, zentroan arreta emateko aukera izango dute, eta ez da beharrezkoa aurrez salaketa jarria izatea. Zentroak sexu-indarkeria molde guztiak pairatu dituzten andrazkoak artatu ahal izango ditu, eta biktimen "lehengoratze integrala" sustatuko du, informazioa, aholkularitza eta arreta soziala, juridikoa eta psikologikoa eskainita.
"Sexu eraso batek shock egoera bat sortzen du, eta esku hartzea ezinbestekoa da, trauma bihurtu ez dadin," esan du Gorka Urtaran. Zentroak biktimentzako "abaroa" izan nahi du, eta biktimen testigantzei sinesgarritasuna emango zaie.
</t>
    </r>
    <r>
      <rPr>
        <rFont val="Arial"/>
        <strike/>
        <color theme="1"/>
        <sz val="9.0"/>
      </rPr>
      <t>Zentroak 109 emakume artatu zituen 2023an,</t>
    </r>
    <r>
      <rPr>
        <rFont val="Arial"/>
        <color theme="1"/>
        <sz val="9.0"/>
      </rPr>
      <t xml:space="preserve"> zuzeneko biktimak izan ziren 23 adingaberi eta 45 senideri ere. Emakunderen datuen arabera, 2023an 92 emakumek aurkeztu zuten salaketa Araban sexu askatasunaren aurkako delituengatik.
TL;DR:
Araba Foru Aldundiak emakumeentzako arreta integrala emateko zentro berria zabaldu du, sexu indarkeria jasaten duten andreak babesteko eta laguntzeko. Zentroa, "Tximeletak", Gasteizko erdigunean dago eta arreta psikologikoa, aholkularitza juridikoa eta soziala eskainiko du biktimari.</t>
    </r>
  </si>
  <si>
    <r>
      <rPr>
        <rFont val="Arial"/>
        <color rgb="FF666666"/>
        <sz val="9.0"/>
      </rPr>
      <t>Hona hemen testua laburtuta:</t>
    </r>
    <r>
      <rPr>
        <rFont val="Arial"/>
        <color theme="1"/>
        <sz val="9.0"/>
      </rPr>
      <t xml:space="preserve">
</t>
    </r>
    <r>
      <rPr>
        <rFont val="Arial"/>
        <color rgb="FFFF9900"/>
        <sz val="9.0"/>
      </rPr>
      <t>Etxebarrin (Bizkaia)</t>
    </r>
    <r>
      <rPr>
        <rFont val="Arial"/>
        <color theme="1"/>
        <sz val="9.0"/>
      </rPr>
      <t xml:space="preserve">, </t>
    </r>
    <r>
      <rPr>
        <rFont val="Arial"/>
        <color rgb="FF4A86E8"/>
        <sz val="9.0"/>
      </rPr>
      <t>herriko jaietan</t>
    </r>
    <r>
      <rPr>
        <rFont val="Arial"/>
        <color theme="1"/>
        <sz val="9.0"/>
      </rPr>
      <t xml:space="preserve">, </t>
    </r>
    <r>
      <rPr>
        <rFont val="Arial"/>
        <color rgb="FFFF0000"/>
        <sz val="9.0"/>
      </rPr>
      <t xml:space="preserve">emakume batek </t>
    </r>
    <r>
      <rPr>
        <rFont val="Arial"/>
        <color rgb="FF38761D"/>
        <sz val="9.0"/>
      </rPr>
      <t>sexu eraso bat jasan zuen</t>
    </r>
    <r>
      <rPr>
        <rFont val="Arial"/>
        <color theme="1"/>
        <sz val="9.0"/>
      </rPr>
      <t xml:space="preserve"> </t>
    </r>
    <r>
      <rPr>
        <rFont val="Arial"/>
        <strike/>
        <color theme="1"/>
        <sz val="9.0"/>
      </rPr>
      <t>atzo goizaldean</t>
    </r>
    <r>
      <rPr>
        <rFont val="Arial"/>
        <color theme="1"/>
        <sz val="9.0"/>
      </rPr>
      <t xml:space="preserve"> </t>
    </r>
    <r>
      <rPr>
        <rFont val="Arial"/>
        <color rgb="FFFF9900"/>
        <sz val="9.0"/>
      </rPr>
      <t>kalean jarritako komunetan</t>
    </r>
    <r>
      <rPr>
        <rFont val="Arial"/>
        <color theme="1"/>
        <sz val="9.0"/>
      </rPr>
      <t xml:space="preserve">. Ondorioz, </t>
    </r>
    <r>
      <rPr>
        <rFont val="Arial"/>
        <color rgb="FFFF0000"/>
        <sz val="9.0"/>
      </rPr>
      <t>Udalak</t>
    </r>
    <r>
      <rPr>
        <rFont val="Arial"/>
        <color theme="1"/>
        <sz val="9.0"/>
      </rPr>
      <t xml:space="preserve"> </t>
    </r>
    <r>
      <rPr>
        <rFont val="Arial"/>
        <color rgb="FF38761D"/>
        <sz val="9.0"/>
      </rPr>
      <t>egun horretarako aurreikusitako ekitaldi guztiak bertan behera utzi zituen</t>
    </r>
    <r>
      <rPr>
        <rFont val="Arial"/>
        <color theme="1"/>
        <sz val="9.0"/>
      </rPr>
      <t xml:space="preserve">. </t>
    </r>
    <r>
      <rPr>
        <rFont val="Arial"/>
        <color rgb="FFFF9900"/>
        <sz val="9.0"/>
      </rPr>
      <t xml:space="preserve">Zintururi plazan </t>
    </r>
    <r>
      <rPr>
        <rFont val="Arial"/>
        <color rgb="FF38761D"/>
        <sz val="9.0"/>
      </rPr>
      <t>elkarretaratzea egin zuten</t>
    </r>
    <r>
      <rPr>
        <rFont val="Arial"/>
        <color theme="1"/>
        <sz val="9.0"/>
      </rPr>
      <t xml:space="preserve"> </t>
    </r>
    <r>
      <rPr>
        <rFont val="Arial"/>
        <color rgb="FFFF0000"/>
        <sz val="9.0"/>
      </rPr>
      <t>Udalak, jai batzordeak eta txosnek</t>
    </r>
    <r>
      <rPr>
        <rFont val="Arial"/>
        <color theme="1"/>
        <sz val="9.0"/>
      </rPr>
      <t xml:space="preserve">, eta </t>
    </r>
    <r>
      <rPr>
        <rFont val="Arial"/>
        <color rgb="FFFF0000"/>
        <sz val="9.0"/>
      </rPr>
      <t xml:space="preserve">ehunka herritar </t>
    </r>
    <r>
      <rPr>
        <rFont val="Arial"/>
        <color rgb="FF38761D"/>
        <sz val="9.0"/>
      </rPr>
      <t>bildu ziren</t>
    </r>
    <r>
      <rPr>
        <rFont val="Arial"/>
        <color theme="1"/>
        <sz val="9.0"/>
      </rPr>
      <t xml:space="preserve"> </t>
    </r>
    <r>
      <rPr>
        <rFont val="Arial"/>
        <color rgb="FFBF9000"/>
        <sz val="9.0"/>
      </rPr>
      <t>"Erasorik ez, erantzunik gabe" lelopean</t>
    </r>
    <r>
      <rPr>
        <rFont val="Arial"/>
        <color theme="1"/>
        <sz val="9.0"/>
      </rPr>
      <t xml:space="preserve">. </t>
    </r>
    <r>
      <rPr>
        <rFont val="Arial"/>
        <color rgb="FFFF0000"/>
        <sz val="9.0"/>
      </rPr>
      <t>Ertzaintzak</t>
    </r>
    <r>
      <rPr>
        <rFont val="Arial"/>
        <color theme="1"/>
        <sz val="9.0"/>
      </rPr>
      <t xml:space="preserve"> </t>
    </r>
    <r>
      <rPr>
        <rFont val="Arial"/>
        <color rgb="FF38761D"/>
        <sz val="9.0"/>
      </rPr>
      <t>ikerketa abiatu du</t>
    </r>
    <r>
      <rPr>
        <rFont val="Arial"/>
        <color theme="1"/>
        <sz val="9.0"/>
      </rPr>
      <t>, baina ez da inor atxilotu oraindik. Udalak ohar batean adierazi du jaiak bizikidetza eta askatasuna errespetatuz ospatu behar direla, eta erasoak egiten dituzten pertsonak ez direla ongi etorriak.</t>
    </r>
  </si>
  <si>
    <r>
      <rPr>
        <rFont val="Arial"/>
        <color rgb="FFFF9900"/>
        <sz val="9.0"/>
      </rPr>
      <t>Etxebarrin (Bizkaia)</t>
    </r>
    <r>
      <rPr>
        <rFont val="Arial"/>
        <color theme="1"/>
        <sz val="9.0"/>
      </rPr>
      <t xml:space="preserve">, </t>
    </r>
    <r>
      <rPr>
        <rFont val="Arial"/>
        <color rgb="FF4A86E8"/>
        <sz val="9.0"/>
      </rPr>
      <t>jaietan</t>
    </r>
    <r>
      <rPr>
        <rFont val="Arial"/>
        <color theme="1"/>
        <sz val="9.0"/>
      </rPr>
      <t xml:space="preserve">, </t>
    </r>
    <r>
      <rPr>
        <rFont val="Arial"/>
        <color rgb="FFFF0000"/>
        <sz val="9.0"/>
      </rPr>
      <t>emakume batek</t>
    </r>
    <r>
      <rPr>
        <rFont val="Arial"/>
        <color theme="1"/>
        <sz val="9.0"/>
      </rPr>
      <t xml:space="preserve"> </t>
    </r>
    <r>
      <rPr>
        <rFont val="Arial"/>
        <color rgb="FF38761D"/>
        <sz val="9.0"/>
      </rPr>
      <t>sexu eraso bat jasan duela salatu du</t>
    </r>
    <r>
      <rPr>
        <rFont val="Arial"/>
        <color theme="1"/>
        <sz val="9.0"/>
      </rPr>
      <t xml:space="preserve">. </t>
    </r>
    <r>
      <rPr>
        <rFont val="Arial"/>
        <color rgb="FFFF0000"/>
        <sz val="9.0"/>
      </rPr>
      <t>Udalak</t>
    </r>
    <r>
      <rPr>
        <rFont val="Arial"/>
        <color theme="1"/>
        <sz val="9.0"/>
      </rPr>
      <t xml:space="preserve"> </t>
    </r>
    <r>
      <rPr>
        <rFont val="Arial"/>
        <color rgb="FF38761D"/>
        <sz val="9.0"/>
      </rPr>
      <t>ekitaldi guztiak bertan behera utzi ditu</t>
    </r>
    <r>
      <rPr>
        <rFont val="Arial"/>
        <color theme="1"/>
        <sz val="9.0"/>
      </rPr>
      <t xml:space="preserve">, eta </t>
    </r>
    <r>
      <rPr>
        <rFont val="Arial"/>
        <color rgb="FFFF0000"/>
        <sz val="9.0"/>
      </rPr>
      <t>herritarrek</t>
    </r>
    <r>
      <rPr>
        <rFont val="Arial"/>
        <color theme="1"/>
        <sz val="9.0"/>
      </rPr>
      <t xml:space="preserve"> </t>
    </r>
    <r>
      <rPr>
        <rFont val="Arial"/>
        <color rgb="FF38761D"/>
        <sz val="9.0"/>
      </rPr>
      <t>elkarretaratze bat egin dute erasoa salatzeko</t>
    </r>
    <r>
      <rPr>
        <rFont val="Arial"/>
        <color theme="1"/>
        <sz val="9.0"/>
      </rPr>
      <t xml:space="preserve">. </t>
    </r>
    <r>
      <rPr>
        <rFont val="Arial"/>
        <color rgb="FFFF0000"/>
        <sz val="9.0"/>
      </rPr>
      <t>Ertzaintzak</t>
    </r>
    <r>
      <rPr>
        <rFont val="Arial"/>
        <color theme="1"/>
        <sz val="9.0"/>
      </rPr>
      <t xml:space="preserve"> </t>
    </r>
    <r>
      <rPr>
        <rFont val="Arial"/>
        <color rgb="FF38761D"/>
        <sz val="9.0"/>
      </rPr>
      <t>ikerketa abiatu du</t>
    </r>
    <r>
      <rPr>
        <rFont val="Arial"/>
        <color theme="1"/>
        <sz val="9.0"/>
      </rPr>
      <t xml:space="preserve">, baina oraindik ez dute inor atxilotu. </t>
    </r>
    <r>
      <rPr>
        <rFont val="Arial"/>
        <color rgb="FFFF0000"/>
        <sz val="9.0"/>
      </rPr>
      <t>Udalak</t>
    </r>
    <r>
      <rPr>
        <rFont val="Arial"/>
        <color theme="1"/>
        <sz val="9.0"/>
      </rPr>
      <t xml:space="preserve"> </t>
    </r>
    <r>
      <rPr>
        <rFont val="Arial"/>
        <color rgb="FF38761D"/>
        <sz val="9.0"/>
      </rPr>
      <t>adierazi du jaiak bizikidetzan eta askatasunean oinarritu behar direla</t>
    </r>
    <r>
      <rPr>
        <rFont val="Arial"/>
        <color theme="1"/>
        <sz val="9.0"/>
      </rPr>
      <t xml:space="preserve">, eta </t>
    </r>
    <r>
      <rPr>
        <rFont val="Arial"/>
        <strike/>
        <color theme="1"/>
        <sz val="9.0"/>
      </rPr>
      <t>indarkeria erabiltzen dutenek</t>
    </r>
    <r>
      <rPr>
        <rFont val="Arial"/>
        <color theme="1"/>
        <sz val="9.0"/>
      </rPr>
      <t xml:space="preserve"> ez dutela lekurik.</t>
    </r>
  </si>
  <si>
    <r>
      <rPr>
        <rFont val="Arial"/>
        <color rgb="FF666666"/>
        <sz val="9.0"/>
      </rPr>
      <t>**5W1H metodoa erabiliz laburtua:**</t>
    </r>
    <r>
      <rPr>
        <rFont val="Arial"/>
        <color theme="1"/>
        <sz val="9.0"/>
      </rPr>
      <t xml:space="preserve">
- **Zer:** </t>
    </r>
    <r>
      <rPr>
        <rFont val="Arial"/>
        <color rgb="FFFF0000"/>
        <sz val="9.0"/>
      </rPr>
      <t>Emakume batek</t>
    </r>
    <r>
      <rPr>
        <rFont val="Arial"/>
        <color theme="1"/>
        <sz val="9.0"/>
      </rPr>
      <t xml:space="preserve"> </t>
    </r>
    <r>
      <rPr>
        <rFont val="Arial"/>
        <color rgb="FF38761D"/>
        <sz val="9.0"/>
      </rPr>
      <t>sexu eraso bat salatu du</t>
    </r>
    <r>
      <rPr>
        <rFont val="Arial"/>
        <color theme="1"/>
        <sz val="9.0"/>
      </rPr>
      <t xml:space="preserve">.
- **Nork:** Erasoa jasan duen emakumea salatu du; Etxebarriko Udala eta herritarrak elkartu dira erasoa salatzeko.
- **Noiz:** </t>
    </r>
    <r>
      <rPr>
        <rFont val="Arial"/>
        <strike/>
        <color theme="1"/>
        <sz val="9.0"/>
      </rPr>
      <t>Atzo goizaldean gertatu zen erasoa</t>
    </r>
    <r>
      <rPr>
        <rFont val="Arial"/>
        <color theme="1"/>
        <sz val="9.0"/>
      </rPr>
      <t xml:space="preserve">.
- **Non:** </t>
    </r>
    <r>
      <rPr>
        <rFont val="Arial"/>
        <color rgb="FFFF9900"/>
        <sz val="9.0"/>
      </rPr>
      <t xml:space="preserve">Etxebarriko (Bizkaia) </t>
    </r>
    <r>
      <rPr>
        <rFont val="Arial"/>
        <color rgb="FF4A86E8"/>
        <sz val="9.0"/>
      </rPr>
      <t>herriko jaietan</t>
    </r>
    <r>
      <rPr>
        <rFont val="Arial"/>
        <color theme="1"/>
        <sz val="9.0"/>
      </rPr>
      <t xml:space="preserve">, </t>
    </r>
    <r>
      <rPr>
        <rFont val="Arial"/>
        <color rgb="FFFF9900"/>
        <sz val="9.0"/>
      </rPr>
      <t>kalean jarri ohi dituzten komunetan</t>
    </r>
    <r>
      <rPr>
        <rFont val="Arial"/>
        <color theme="1"/>
        <sz val="9.0"/>
      </rPr>
      <t xml:space="preserve">.
- **Zergatik:** Erasoa salatu dute askatasuna eta bizikidetza errespetatu behar direla aldarrikatzeko, eta erasorik ezin dela onartu.
- **Nola:** </t>
    </r>
    <r>
      <rPr>
        <rFont val="Arial"/>
        <color rgb="FFFF0000"/>
        <sz val="9.0"/>
      </rPr>
      <t>Ertzaintzak</t>
    </r>
    <r>
      <rPr>
        <rFont val="Arial"/>
        <color theme="1"/>
        <sz val="9.0"/>
      </rPr>
      <t xml:space="preserve"> </t>
    </r>
    <r>
      <rPr>
        <rFont val="Arial"/>
        <color rgb="FF38761D"/>
        <sz val="9.0"/>
      </rPr>
      <t>ikerketa abiatu du</t>
    </r>
    <r>
      <rPr>
        <rFont val="Arial"/>
        <color theme="1"/>
        <sz val="9.0"/>
      </rPr>
      <t xml:space="preserve">, eta </t>
    </r>
    <r>
      <rPr>
        <rFont val="Arial"/>
        <color rgb="FFFF0000"/>
        <sz val="9.0"/>
      </rPr>
      <t>herritarrek</t>
    </r>
    <r>
      <rPr>
        <rFont val="Arial"/>
        <color theme="1"/>
        <sz val="9.0"/>
      </rPr>
      <t xml:space="preserve"> </t>
    </r>
    <r>
      <rPr>
        <rFont val="Arial"/>
        <color rgb="FF38761D"/>
        <sz val="9.0"/>
      </rPr>
      <t xml:space="preserve">elkartaratzean parte hartu dute </t>
    </r>
    <r>
      <rPr>
        <rFont val="Arial"/>
        <color theme="1"/>
        <sz val="9.0"/>
      </rPr>
      <t>erasoa salatzeko; ez da inor atxilotu.</t>
    </r>
  </si>
  <si>
    <r>
      <rPr>
        <rFont val="Arial"/>
        <color rgb="FFFF0000"/>
        <sz val="9.0"/>
      </rPr>
      <t>Emakume batek</t>
    </r>
    <r>
      <rPr>
        <rFont val="Arial"/>
        <color theme="1"/>
        <sz val="9.0"/>
      </rPr>
      <t xml:space="preserve"> </t>
    </r>
    <r>
      <rPr>
        <rFont val="Arial"/>
        <color rgb="FF38761D"/>
        <sz val="9.0"/>
      </rPr>
      <t>sexu erasoa salatu zuen</t>
    </r>
    <r>
      <rPr>
        <rFont val="Arial"/>
        <color theme="1"/>
        <sz val="9.0"/>
      </rPr>
      <t xml:space="preserve"> </t>
    </r>
    <r>
      <rPr>
        <rFont val="Arial"/>
        <color rgb="FFFF9900"/>
        <sz val="9.0"/>
      </rPr>
      <t>Etxebarrin (Bizkaia)</t>
    </r>
    <r>
      <rPr>
        <rFont val="Arial"/>
        <color theme="1"/>
        <sz val="9.0"/>
      </rPr>
      <t xml:space="preserve">, </t>
    </r>
    <r>
      <rPr>
        <rFont val="Arial"/>
        <color rgb="FF4A86E8"/>
        <sz val="9.0"/>
      </rPr>
      <t>herriko jaietan</t>
    </r>
    <r>
      <rPr>
        <rFont val="Arial"/>
        <color theme="1"/>
        <sz val="9.0"/>
      </rPr>
      <t xml:space="preserve"> </t>
    </r>
    <r>
      <rPr>
        <rFont val="Arial"/>
        <color rgb="FFFF9900"/>
        <sz val="9.0"/>
      </rPr>
      <t>kalean jarritako komunetan</t>
    </r>
    <r>
      <rPr>
        <rFont val="Arial"/>
        <color theme="1"/>
        <sz val="9.0"/>
      </rPr>
      <t xml:space="preserve">. </t>
    </r>
    <r>
      <rPr>
        <rFont val="Arial"/>
        <color rgb="FFFF0000"/>
        <sz val="9.0"/>
      </rPr>
      <t>Udalak</t>
    </r>
    <r>
      <rPr>
        <rFont val="Arial"/>
        <color theme="1"/>
        <sz val="9.0"/>
      </rPr>
      <t xml:space="preserve"> </t>
    </r>
    <r>
      <rPr>
        <rFont val="Arial"/>
        <color rgb="FF38761D"/>
        <sz val="9.0"/>
      </rPr>
      <t>jaietako ekitaldi guztiak bertan behera utzi zituen</t>
    </r>
    <r>
      <rPr>
        <rFont val="Arial"/>
        <color theme="1"/>
        <sz val="9.0"/>
      </rPr>
      <t xml:space="preserve">, eta </t>
    </r>
    <r>
      <rPr>
        <rFont val="Arial"/>
        <color rgb="FFFF9900"/>
        <sz val="9.0"/>
      </rPr>
      <t>Zintururi plazan</t>
    </r>
    <r>
      <rPr>
        <rFont val="Arial"/>
        <color theme="1"/>
        <sz val="9.0"/>
      </rPr>
      <t xml:space="preserve"> </t>
    </r>
    <r>
      <rPr>
        <rFont val="Arial"/>
        <color rgb="FF38761D"/>
        <sz val="9.0"/>
      </rPr>
      <t>elkarretaratze bat egin zen</t>
    </r>
    <r>
      <rPr>
        <rFont val="Arial"/>
        <color theme="1"/>
        <sz val="9.0"/>
      </rPr>
      <t xml:space="preserve"> </t>
    </r>
    <r>
      <rPr>
        <rFont val="Arial"/>
        <color rgb="FFBF9000"/>
        <sz val="9.0"/>
      </rPr>
      <t>"Erasorik ez, erantzunik gabe" lelopean</t>
    </r>
    <r>
      <rPr>
        <rFont val="Arial"/>
        <color theme="1"/>
        <sz val="9.0"/>
      </rPr>
      <t xml:space="preserve">. </t>
    </r>
    <r>
      <rPr>
        <rFont val="Arial"/>
        <color rgb="FFFF0000"/>
        <sz val="9.0"/>
      </rPr>
      <t>Ertzaintzak</t>
    </r>
    <r>
      <rPr>
        <rFont val="Arial"/>
        <color theme="1"/>
        <sz val="9.0"/>
      </rPr>
      <t xml:space="preserve"> </t>
    </r>
    <r>
      <rPr>
        <rFont val="Arial"/>
        <color rgb="FF38761D"/>
        <sz val="9.0"/>
      </rPr>
      <t>ikerketa abiatu du</t>
    </r>
    <r>
      <rPr>
        <rFont val="Arial"/>
        <color theme="1"/>
        <sz val="9.0"/>
      </rPr>
      <t>, baina oraingoz ez dago atxiloturik. Udalak elkartasuna eta bizikidetza errespetatzearen garrantzia azpimarratu du.</t>
    </r>
  </si>
  <si>
    <r>
      <rPr>
        <rFont val="Arial"/>
        <color theme="1"/>
        <sz val="9.0"/>
      </rPr>
      <t>Euskaltzaindiak jakinarazi du Erramun Baxok ohorezko euskaltzaina</t>
    </r>
    <r>
      <rPr>
        <rFont val="Arial"/>
        <color rgb="FFFF0000"/>
        <sz val="9.0"/>
      </rPr>
      <t>k</t>
    </r>
    <r>
      <rPr>
        <rFont val="Arial"/>
        <color theme="1"/>
        <sz val="9.0"/>
      </rPr>
      <t xml:space="preserve"> 96 urterekin hil dela. Baxok filosofiako doktoregoa zuen eta irakasle eta ikerlari moduan lan egin zuen. Euskal Herriko hezkuntza, soziolinguistika eta kultura arloetan parte hartu zuen, besteak beste, Pizkundea eta Euskal Konfederazioan. 1990etik 2005era Euskal Kultur Erakundearen presidente izan zen, eta 2010ean Euskaltzaindiak ohorezko euskaltzain izendatu zuen. Andres Urrutiak, euskaltzainburuak, nabarmendu du Baxok euskararen etorkizunaz beti kezkatua zegoen soziolinguistikako aditu handia zela.
Baxok 1928an Suhuskunen jaio zen (Nafarroa Beherea), sei senideko familia batean. Gurasoak euskaldun elebakarrak zituen, eta frantses gutxi zekiela hasi zen eskolan, non dena frantsesez egiten zen. Euskara bere kabuz landu zuen, Piarres Lafitteren hiztegia erabiliz eta Xarles Bidegainekin harremanetan. Terexa Lekunberrik 2010ean elkarrizketatu zuen, Mintzoak proiektuan. Baxok seminarioan egin zituen ikasketak, eta 1953an filosofiako lizentzia lortu zuen. 1967ra arte apaiz eta filosofia irakasle izan zen.
1968tik 1978ra Baxok Quebecen bizi izan zen Renee Samsonekin ezkondu ondoren, eta hiru seme-alaba izan zituzten han. Quebecen jarraitu zuen ikasten, pertsonalismoari buruzko doktoretza aurkeztuz, eta soziolinguistikako ikasketak burutu zituen Elebitasunari Buruzko Ikerketen Nazioarteko Zentroan (CIRB). Euskal Herrira itzulita, hizkuntzalaritza aplikatua irakatsi zuen eta Quebecen ere klaseak eman zituen. Euskal proiektu ugaritan parte hartu zuen, hala nola, Ikas pedagogia zentroan. 1991tik 2011ra inkesta soziolinguistikoetan parte hartu zuen.
Soziolinguistikaren alorrean, 1995-2000 artean hizkuntza antolaketaren eskema idazten parte hartu zuen Garapen Kontseiluan, eta hainbat erakundetako aholkulari izan zen. 2005ean, EKE utzi zuenenean, Mikel Erramuzpek hartu zuen haren segida. Xarles Bidegainek Baxoken ekarpenak nabarmendu ditu, Quebecen ikasitakoa Euskal Herrira ekarri zuelako. Mikel Erramuzpek ere aipatu du Baxoken ikuspegia hizkuntza politika publiko baten garrantziaz.
Soziolinguistika Klusterrak Baxoken proposamenak oinarri hartu zituen bere sorreran, eta aurten hogei urte beteko ditu. Baxoken lana goraipatu dute hainbat erakundek, EKEk eta Euskalgintzaren Kontseiluak barne, eta doluminak adierazi dizkiote familiari. EAJk euskararen aldeko defendatzaile nekaezina bezala omendu du.
BERRIA egunkariak elkarrizketa egin zion 2013an, BERRIAlaguna kanpainaren harira, eta euskarazko hedabideen garrantziaz hitz egin zuen. Beti irakurri izan zituen Euskaldunon Egunkaria eta BERRIA, eta adierazi zuen BERRIAri ez zitzaiola Egunkaria-ri gertatutakoa errepikatu behar.</t>
    </r>
  </si>
  <si>
    <r>
      <rPr>
        <rFont val="Arial"/>
        <color theme="1"/>
        <sz val="9.0"/>
      </rPr>
      <t xml:space="preserve">Erramun Baxok, 96 urte zituela hil den ohorezko euskaltzaina, euskal soziolinguistikan eta kulturan garrantzi handiko ekarpena egin zuen. Baxok doktorea zen Filosofian eta irakasle zein ikertzaile gisa lan egin zuen. Quebecen bizi izan zen urteetan soziolinguistikaren arloan sakondu zuen, eta bertan jasotako esperientziak Euskal Herrira ekarri zituen, hizkuntza politikaren inguruan ikuspegi aurreratuak eskainiz. Euskal Kultur Erakundearen (EKE) lehendakari izan zen 1990etik 2005era, eta Euskaltzaindiak ohorezko kide izendatu zuen 2010ean. Bere ekarpenak oinarrizkoak izan dira euskararen </t>
    </r>
    <r>
      <rPr>
        <rFont val="Arial"/>
        <strike/>
        <color theme="1"/>
        <sz val="9.0"/>
      </rPr>
      <t>normalizazioan</t>
    </r>
    <r>
      <rPr>
        <rFont val="Arial"/>
        <color theme="1"/>
        <sz val="9.0"/>
      </rPr>
      <t xml:space="preserve"> eta euskal kulturaren garapenean.</t>
    </r>
  </si>
  <si>
    <r>
      <rPr>
        <rFont val="Arial"/>
        <color rgb="FF666666"/>
        <sz val="9.0"/>
      </rPr>
      <t xml:space="preserve">**5W1H analisia:**
</t>
    </r>
    <r>
      <rPr>
        <rFont val="Arial"/>
        <color theme="1"/>
        <sz val="9.0"/>
      </rPr>
      <t xml:space="preserve">
- **Zer?**  
  Erramun Baxok hil da, 96 urterekin. Baxok, euskal kulturaren eta soziolinguistikaren arloan ekarpen handiak egin zituen, eta ohorezko euskaltzaina zen.
- **Nork?**  
  Euskaltzaindiak jakinarazi du Erramun Baxoken heriotza. Andres Urrutia euskaltzainburuak eta beste hainbat pertsonak haren ekarpena eta pertsona omendu dituzte.
- **Noiz?**  
  Heriotza data zehatza ez da ematen, baina Euskaltzaindiak berri eman du </t>
    </r>
    <r>
      <rPr>
        <rFont val="Arial"/>
        <color rgb="FFFF0000"/>
        <sz val="9.0"/>
      </rPr>
      <t>Baxok</t>
    </r>
    <r>
      <rPr>
        <rFont val="Arial"/>
        <color theme="1"/>
        <sz val="9.0"/>
      </rPr>
      <t xml:space="preserve"> azken hatsa eman duela. Artikuluak beste mugarri batzuk ere jasotzen ditu, hala nola, 2010ean ohorezko euskaltzain izendatu zutela.
- **Non?**  
  Erramun Baxok Nafarroa Behereko Suhuskunen jaio zen 1928an eta gerora, Quebecen bizi izan zen, Euskal Herrira itzuli aurretik. Euskal Herrian eta Quebecen egin zuen lan nagusiki, hizkuntzaren eta soziolinguistikaren arloan.
- **Zergatik?**  
  </t>
    </r>
    <r>
      <rPr>
        <rFont val="Arial"/>
        <color rgb="FFFF0000"/>
        <sz val="9.0"/>
      </rPr>
      <t>Baxok</t>
    </r>
    <r>
      <rPr>
        <rFont val="Arial"/>
        <color theme="1"/>
        <sz val="9.0"/>
      </rPr>
      <t xml:space="preserve"> euskararen eta euskal kulturaren alde lan handia egin zuen bere bizitzan zehar, Quebecetik Euskal Herrira ekarritako soziolinguistika kontzeptuak euskararen egoerari aplikatuz. Bere ekarpen nagusia euskararen aldeko hizkuntza-politika eta gizartean hizkuntzaren funtzionamendua ulertaraztea izan zen.
- **Nola?**  
  Baxok filosofiako doktoretza eta soziolinguistikako ikasketak egin zituen. Hizkuntzaren eta kulturaren aldeko ekimenetan parte hartu zuen, hala nola Pizkundean, Euskal Konfederazioan eta Euskal Kultur Erakundean. Quebecen lortutako ezagutza Euskal Herrira ekarri zuen, hizkuntza politika egituratzeko eta garatzeko.</t>
    </r>
  </si>
  <si>
    <r>
      <rPr>
        <rFont val="Arial"/>
        <color theme="1"/>
        <sz val="9.0"/>
      </rPr>
      <t xml:space="preserve">Erramun Baxok, ohorezko euskaltzaina eta soziolinguista ospetsua, 96 urterekin hil da. Filosofian doktorea zen eta irakasle eta ikerlari </t>
    </r>
    <r>
      <rPr>
        <rFont val="Arial"/>
        <color rgb="FFFF0000"/>
        <sz val="9.0"/>
      </rPr>
      <t>moduan</t>
    </r>
    <r>
      <rPr>
        <rFont val="Arial"/>
        <color theme="1"/>
        <sz val="9.0"/>
      </rPr>
      <t xml:space="preserve"> aritu zen, euskararen eta euskal kulturaren aldeko lanean nabarmenduz. Baxokek soziolinguistikan eta hizkuntza politikan ekarpen handiak egin zituen, Quebecen ikasitako kontzeptuak Euskal Herrira ekarriz. Pizkundea eta Euskal Konfederazioan parte hartu zuen, eta Euskal Kultur Erakundearen lehendakaria izan zen 1990etik 2005era. Euskaltzaindiak 2010ean izendatu zuen ohorezko kide, eta euskararen aldeko militante nekaezintzat aitortu dute.</t>
    </r>
  </si>
  <si>
    <r>
      <rPr>
        <rFont val="Arial"/>
        <color theme="1"/>
        <sz val="9.0"/>
      </rPr>
      <t>Errobiko bederatzi hautetsik agiri bat argitaratu dute, Peio Etxelekuri lurralde eremuko ordezkaritza kendu izana gogor kritikatzeko. Hautetsiek sei auzapezen jarrera salatu dute, eta ez dute onartu Jean Rene Etxegarai, Euskal Hirigune Elkargoko lehendakariak, ordezkaritza kentzeko hartu duen erabakia, lurralde eremuko batzordea kontsultatu eta informatu gabe hartu izanagatik.
Agiria izenpetu duten hautetsiak hauek dira: Yannick Bassier eta Emmanuelle Dallet (Basusarri), Denise Cedarry, Mikel Goienetxe, Erik Mailharrancin eta Françoise Gallois (Uztaritze), Laetitia Croc eta Nicole Etxamendi (Itsasu), eta Argitxu Hiriart Urruti. Mikel Hiribarren Itsasuko auzapezak ere izenpetu du testua, nahiz eta ez duen lurralde eremuan parte hartzen.
Hautetsi sinatzaileek salatu dute sei auzapezek Etxelekuren kontra idatzitako gutuna, eta baita Etxegarairen «</t>
    </r>
    <r>
      <rPr>
        <rFont val="Arial"/>
        <strike/>
        <color theme="1"/>
        <sz val="9.0"/>
      </rPr>
      <t>presazko</t>
    </r>
    <r>
      <rPr>
        <rFont val="Arial"/>
        <color theme="1"/>
        <sz val="9.0"/>
      </rPr>
      <t xml:space="preserve"> eta errekurtsorik gabeko» erabakia ere. Azpimarratu dute 11 auzapezetatik seik gutuna izenpetzea ez dela gehiengo adierazgarria, hiruk ez zutelako izenpetu eta bi auzapezi ez zietelako jakinarazi. 
Izenpetzaileen arabera, Etxegarairen erabakia hartu da Etxelekuren argudioak entzun gabe, eta gainera, sinatu ez zuten auzapezen iritzia kontuan hartu gabe. Hautetsiek azpimarratu dute lurralde eremuko batzordea ez dela informatu, eta hori gobernantza itunaren aurkakoa dela. Itun horren arabera, lehendakariak lurralde eremuetako proposamenetan oinarritu behar du ordezkariak izendatzeko.
Hautetsiek adierazi dute ez dutela onartzen gertatutakoa, eta eskatu dute lurralde batzordeetako kideen «rola eta zilegitasuna» berriz aztertu dadila gobernantza itunean.
**Lurralde eremuetako batzordeak**
2020ko agintaldia hastean sortu zituzten lurralde eremuetako batzordeak Euskal Hirigune Elkargoan. Erakundea sortu aurretik zeuden hamar herri elkargoren perimetroak erabili ziren. Eztabaida eta elkarrizketarako eremuak dira, hirigune elkargoan aztergai dituzten gaiak lantzeko. Errobiko lurralde eremuan Lapurdi barnealdeko 11 herrik osatzen dute: Arrangoitze, Basusarri, Larresoro, Zuraide, Ezpeleta, Itsasu, Luhuso, Kanbo, Haltsu, Jatsu eta Uztaritze. 35 hautetsik parte hartzen dute batzordean; batzuk elkargoko hautetsi izendatu zituzten herriko bozetan, eta beste batzuk herriko kontseiluetan. Errobiko zortzi auzapez dira lurralde batzordeko kide, eta beste hirurek herriko beste hautetsi bati utzi diote funtzioa.</t>
    </r>
  </si>
  <si>
    <r>
      <rPr>
        <rFont val="Arial"/>
        <color rgb="FF666666"/>
        <sz val="9.0"/>
      </rPr>
      <t xml:space="preserve">Testuaren edukirik garrantzitsuena da </t>
    </r>
    <r>
      <rPr>
        <rFont val="Arial"/>
        <color theme="1"/>
        <sz val="9.0"/>
      </rPr>
      <t>Errobiko bederatzi hautetsik agiria zabaldu dutela Peio Etxelekuri ordezkaritza kentzea kritikatzeko. Hautetsiek salatu dute sei auzapezen jarrera eta Jean Rene Etxegarai Euskal Hirigune Elkargoko lehendakariak erabakia hartu izana, lurralde batzordea kontsultatu gabe. Hautetsiek azpimarratu dute gobernantza itunaren kontrakoa dela prozesua, eta eskatu dute lurralde batzordeetako kideen rola eta zilegitasuna berriz aztertzea.</t>
    </r>
  </si>
  <si>
    <r>
      <rPr>
        <rFont val="Arial"/>
        <color rgb="FF666666"/>
        <sz val="9.0"/>
      </rPr>
      <t>**5W1H laburpena:**</t>
    </r>
    <r>
      <rPr>
        <rFont val="Arial"/>
        <color theme="1"/>
        <sz val="9.0"/>
      </rPr>
      <t xml:space="preserve">
- **Zer:** Errobiko bederatzi hautetsik agiria zabaldu dute, Peio Etxelekuri Euskal Hirigune Elkargoko lurralde eremuko ordezkaritza ken</t>
    </r>
    <r>
      <rPr>
        <rFont val="Arial"/>
        <strike/>
        <color theme="1"/>
        <sz val="9.0"/>
      </rPr>
      <t>tzea</t>
    </r>
    <r>
      <rPr>
        <rFont val="Arial"/>
        <color theme="1"/>
        <sz val="9.0"/>
      </rPr>
      <t xml:space="preserve"> salatzeko. Kritikatu dute sei auzapezek haren aurka idatzitako gutuna eta Jean Rene Etxegarai lehendakariaren erabakia.
- **Nork:** Agiria sinatu duten bederatzi hautetsiak Yannick Bassier, Emmanuelle Dallet, Denise Cedarry, Mikel Goienetxe, Erik Mailharrancin, Françoise Gallois, Laetitia Croc, Nicole Etxamendi eta Argitxu Hiriart Urruti dira. Mikel Hiribarrenek ere izenpetu du, nahiz eta ez parte hartu lurralde eremuan.
- **Noiz:** </t>
    </r>
    <r>
      <rPr>
        <rFont val="Arial"/>
        <strike/>
        <color theme="1"/>
        <sz val="9.0"/>
      </rPr>
      <t>2020ko agintaldia hasi zenetik datorren arazoa da, lurralde batzordeak sortu zirenetik gaur egunera arteko egoeran oinarritua</t>
    </r>
    <r>
      <rPr>
        <rFont val="Arial"/>
        <color theme="1"/>
        <sz val="9.0"/>
      </rPr>
      <t>.
- **Non:** Euskal Hirigune Elkargoaren barruan, Errobiko lurralde eremuan (Lapurdi barnealdeko 11 herri: Arrangoitze, Basusarri, Larresoro, Zuraide, Ezpeleta, Itsasu, Luhuso, Kanbo, Haltsu, Jatsu eta Uztaritze).
- **Zergatik:** Hautetsiek salatu dute Peio Etxelekuren kontrako erabakia presaka hartu zela eta lurralde batzordeko kideak kontsultatu gabe. Gobernantza itunaren kontrakoa dela uste dute, erabakiak ez direlako batzorde horren proposamenei jarraiki hartu.
- **Nola:** Etxegarai lehendakariak, Etxelekuren argudioak entzun gabe eta batzordeko kideei kontsultatu gabe, ordezkaritza kendu dio Etxelekuri. Hautetsiek gertatutakoaren aurkako agiria kaleratu dute eta gobernantza ituna berrikusteko eskatu.</t>
    </r>
  </si>
  <si>
    <t>Errobiko lurralde eremuko bederatzi hautetsik agiria zabaldu dute Peio Etxelekuri lurralde ordezkaritza kentzea kritikatzeko. Salatu dute Etxelekuren aurkako sei auzapezen gutuna gehiengo eskasekoa dela, eta Jean Rene Etxegarai Euskal Hirigune Elkargoko lehendakariak lurralde eremua kontsultatu gabe hartu duela erabakia. Hautetsien ustez, gobernantza ituna urratu da, zeinak lurralde eremuko batzordeak kontsultatzea eskatzen duen ordezkariak izendatzeko. Orain, gobernantza itunean lurralde batzordeetako kideen rola eta zilegitasuna berrikustea eskatu dute.</t>
  </si>
  <si>
    <r>
      <rPr>
        <rFont val="Arial"/>
        <color theme="1"/>
        <sz val="9.0"/>
      </rPr>
      <t xml:space="preserve">Eusko Ikaskuntzak adierazi duenez, Itziar Lakari emango diote Eusko Ikaskuntza-Laboral Kutxaren Humanitateen, Kulturaren, Arteen eta Gizarte Zientzien Saria. Saria jasotzearen </t>
    </r>
    <r>
      <rPr>
        <rFont val="Arial"/>
        <color rgb="FFFF0000"/>
        <sz val="9.0"/>
      </rPr>
      <t>arrazoia</t>
    </r>
    <r>
      <rPr>
        <rFont val="Arial"/>
        <color theme="1"/>
        <sz val="9.0"/>
      </rPr>
      <t xml:space="preserve"> Lakak euskararen garapenerako eta hizkuntza gaitasunak gobernatzen dituzten mekanismoetan sakontzeko egindako "ekarpen berritzaileak" izan dira. Halaber, nabarmendu dute euskararen eta Euskal Herriko garapen zientifiko eta kulturalari egindako ekarpena.
Itziar Laka Getxon jaio zen (Bizkaia), 1962an, eta hizkuntzalari gisa ibilbide luzea eta oparoa izan du. Eusko Ikaskuntzak gogorarazi duenez, 2010ean hizkuntzalaritza esperimentala eta neurohizkuntzalaritza lantzen dituen lehen ikerketa taldea sortu zuen, eta hainbat proiektutan ikertzaile nagusi izan da. Irakasle modura ere jardun du zenbait unibertsitatetan. Epaimahaiak Lakak eginiko ibilbide oparoa saritu nahi izan du, azpimarratuz euskara goi mailako zientzia arloan kokatu duela, metodologia berriak erabiliz eta ikerketa aurreratuak burutuz, garrantzi handiko arloetan.
Lakaren ibilbidean, epaimahaiaren esanetan, ezinbestekoa izan da euskara unibertsitatean eta gizartean sustatzeko egindako lana. Gaur egun, Euskal Herriko Unibertsitateko EuskaraREN, KulturaREN eta Nazioartekotzearen arloko errektoreordetzan Euskara Sustatzeko Zuzendaritzako buru da, eta EHUko Euskara Institutuarekin batera hizkuntzalaritzako lan klasikoak itzultzeko ekimenak bultzatu ditu. Gainera, nabarmendu dute Lakak lan handia egin duela zientzia eta zientzia kulturaren zabalkundean, elebitasunari buruzko hainbat mito zientifikoki gezurtatuz eta, horrela, ez bakarrik euskarari, baita hizkuntzalaritzari ere, ekarpen nabarmena eginez.</t>
    </r>
  </si>
  <si>
    <t>Itziar Lakari Eusko Ikaskuntza-Laboral Kutxaren Humanitateen, Kulturaren, Arteen eta Gizarte Zientzien Saria emango diote, euskararen garapenean eta hizkuntza gaitasunen mekanismoetan egindako ekarpen berritzaileengatik. Laka hizkuntzalari esperimentala da, eta 2010ean lehen ikerketa taldea sortu zuen hizkuntzalaritza esperimentala eta neurohizkuntzalaritza lantzeko. Epaimahaiak nabarmendu du bere ibilbidea, metodologia berritzaileak erabiliz eta euskararen maila zientifikoa sustatuz. Egun, EHUko Euskara Sustatzeko Zuzendaritzako buru da, eta zientziaren eta elebitasunaren inguruko mito faltsuak argitu ditu ebidentzia zientifikoarekin.</t>
  </si>
  <si>
    <r>
      <rPr>
        <rFont val="Arial"/>
        <color theme="1"/>
        <sz val="9.0"/>
      </rPr>
      <t xml:space="preserve">**Zer:** Eusko Ikaskuntza-Laboral Kutxaren Humanitateen, Kulturaren, Arteen eta Gizarte Zientzien Saria Itziar Lakari emango diote. 
**Nork:** Eusko Ikaskuntza da saria ematen duen erakundea, eta Itziar Laka da saritua. Epaimahaiak erabaki du Laka saritzea.
**Noiz:** </t>
    </r>
    <r>
      <rPr>
        <rFont val="Arial"/>
        <strike/>
        <color theme="1"/>
        <sz val="9.0"/>
      </rPr>
      <t>Sariaren iragarpena oraintsu egin da</t>
    </r>
    <r>
      <rPr>
        <rFont val="Arial"/>
        <color theme="1"/>
        <sz val="9.0"/>
      </rPr>
      <t>, nahiz eta data zehatzik ez den zehazten testuan.
**Non:** Itziar Laka Getxon (Bizkaia) jaio zen, eta gaur egun EHUko Euskara Sustatzeko Zuzendaritzako buru da.
**Zergatik:** Laka saritu dute euskararen garapen zientifiko eta kulturalari egindako ekarpenengatik, bereziki hizkuntzalaritza esperimentalean eta neurohizkuntzalaritzan egindako lan berritzaileengatik. Gainera, euskararen garapena unibertsitatean eta gizartean sustatzeko egindako lanagatik eta gazteen artean eredugarria izateagatik nabarmendu dute.
**Nola:** Laka hizkuntzalaritza esperimentala eta neurohizkuntzalaritza landu dituen lehen ikerketa taldea sortu zuen, eta hainbat proiektutan ikertzaile nagusi izan da. EHUko Euskara Institutuarekin lankidetzan, hizkuntzalaritza klasikoen itzulpenak sustatu ditu, eta elebitasunari buruzko mito batzuk zientifikoki gezurtatu ditu.</t>
    </r>
  </si>
  <si>
    <t>Itziar Lakak Eusko Ikaskuntza-Laboral Kutxaren Humanitateen, Kulturaren, Arteen eta Gizarte Zientzien Saria jasoko du euskararen garapenari eta hizkuntza gaitasunen ikerketari egindako ekarpenengatik. Getxon jaioa (1962), hizkuntzalari honek hizkuntzalaritza esperimentala eta neurohizkuntzalaritza lantzen dituen lehen ikerketa taldea sortu zuen 2010ean. EHUko Euskara Sustatzeko Zuzendaritzako buru izanik, euskararen eta zientzia kulturaren zabalpenean lan handia egin du, baita elebitasunaren inguruko mito batzuk desegiten ere, euskarari eta hizkuntzalaritzari ekarpen nabarmena eginez.</t>
  </si>
  <si>
    <r>
      <rPr>
        <rFont val="Arial"/>
        <color theme="1"/>
        <sz val="9.0"/>
      </rPr>
      <t xml:space="preserve">Arabako Foru Aldundiak sexu indarkeria jasaten duten emakumeentzako arreta integrala emateko zentro berria zabaldu du, *Tximeletak* izenekoa. Gasteizen kokatuta dago, eta «krisi eta larrialdi egoeretan» egongo da erabilgarri, 24 orduz, urteko 365 egunetan. Zentroak konfidentzialtasuna bermatzeko bere kokapena ez da publiko egin. Bertan, sexu indarkeria jasan duten emakumeek laguntza psikologikoa, juridikoa eta soziala jasoko dute, baita haien gertukoek ere. </t>
    </r>
    <r>
      <rPr>
        <rFont val="Arial"/>
        <color rgb="FFFF0000"/>
        <sz val="9.0"/>
      </rPr>
      <t>Erabiltzaileek</t>
    </r>
    <r>
      <rPr>
        <rFont val="Arial"/>
        <color theme="1"/>
        <sz val="9.0"/>
      </rPr>
      <t xml:space="preserve"> aurrez aurre, telefonoz edo online bidez harremanetan jarri ahal izango dira zentroarekin.
Gorka Urtaran Gizarte Politiketako diputatuak eta Maika Diez Bermejo Esku Hartze Sozialeko zuzendariorde teknikoak eman dituzte zentroaren xehetasunak. Zentroa hainbat arlotako profesionalek osatutako talde batek </t>
    </r>
    <r>
      <rPr>
        <rFont val="Arial"/>
        <strike/>
        <color theme="1"/>
        <sz val="9.0"/>
      </rPr>
      <t>kudeatuko du</t>
    </r>
    <r>
      <rPr>
        <rFont val="Arial"/>
        <color theme="1"/>
        <sz val="9.0"/>
      </rPr>
      <t>, eta emakumeek zuzenean edo bestelako zerbitzuetatik bideratuta jo dezakete bertara. Emakumeek, salaketarik jarri gabe ere, 18 urtetik gorakoak edo adingabe emantzipatuak izanik, arreta jaso ahal izango dute. Sexu-indarkeria mota guztiak jasan dituzten emakumeak artatuko dituzte, hala nola erasoak, jazarpena, eta eremu digitaleko indarkeria.
Zentroak biktimen «lehengoratze integrala» sustatuko du, babes, arreta eta sinesgarritasuna eskainiz, birbiktimizazioa saihesteko helburuarekin. *Tximeletak* zentroak Europako Batasunaren Next Generation funtsekin jasotako 1,4 milioi euroko finantzaketa jaso du, eta bi urtetan milioi bat euro bideratuko dizkio Foru Aldundiak.
2023an, Araban 109 emakume izan dira sexu askatasunaren aurkako delituen biktima, eta aurtengo lehen hiruhilekoan, 19 salaketa erregistratu dira, aurreko urteko epe berekoen laukoitza. Zentro berriak, hemendik aurrera, *Hegoak* erakundeko biktimak ere artatuko ditu.</t>
    </r>
  </si>
  <si>
    <r>
      <rPr>
        <rFont val="Arial"/>
        <color theme="1"/>
        <sz val="9.0"/>
      </rPr>
      <t xml:space="preserve">Arabako Foru Aldundiak sexu indarkeria jasaten duten emakumeei arreta integrala emateko zentro berri bat ireki du Gasteizen, Tximeletak izenekoa. Zentroak eguneko 24 orduz eta urteko 365 egunez laguntza eskaintzen die sexu bortizkeriaren biktima diren emakumeei, arreta psikologikoa eta juridikoa barne. Erabiltzaileen konfidentzialtasuna bermatzeko ez dute kokapena zehaztu. Helburua da biktimen lehengoratze integrala bultzatzea eta indarkeria sexualaren ondorioei aurre egiteko </t>
    </r>
    <r>
      <rPr>
        <rFont val="Arial"/>
        <strike/>
        <color theme="1"/>
        <sz val="9.0"/>
      </rPr>
      <t>estrategia bat garatzea</t>
    </r>
    <r>
      <rPr>
        <rFont val="Arial"/>
        <color theme="1"/>
        <sz val="9.0"/>
      </rPr>
      <t>. Halako zentroak Hego Euskal Herriko herrialde guztietan zabaltzea aurreikusten da, Istanbulgo Hitzarmena eta "soilik baietz da baietz" legearen arabera.</t>
    </r>
  </si>
  <si>
    <r>
      <rPr>
        <rFont val="Arial"/>
        <color rgb="FF666666"/>
        <sz val="9.0"/>
      </rPr>
      <t>**5W1H metodoaren laburpena:**</t>
    </r>
    <r>
      <rPr>
        <rFont val="Arial"/>
        <color theme="1"/>
        <sz val="9.0"/>
      </rPr>
      <t xml:space="preserve">
- **Zer:** Arabako Foru Aldundiak sexu indarkeria jasaten duten emakumeentzako arreta integrala eskaintzen duen zentro bat ireki du, Tximeletak izenekoa. Zentroak laguntza psikologikoa, juridikoa eta soziala emango die biktimei, eta horien lehengoratze integrala sustatuko du.
- **Nork:** Arabako Foru Aldundia da ekimen honen arduraduna. Gorka Urtaran, Gizarte Politiketarako diputatua, eta Maika Diez Bermejo, Esku Hartze Sozialeko zuzendariorde teknikoa, </t>
    </r>
    <r>
      <rPr>
        <rFont val="Arial"/>
        <strike/>
        <color theme="1"/>
        <sz val="9.0"/>
      </rPr>
      <t>arduradun nagusiak dira</t>
    </r>
    <r>
      <rPr>
        <rFont val="Arial"/>
        <color theme="1"/>
        <sz val="9.0"/>
      </rPr>
      <t xml:space="preserve">.
- **Noiz:** Zentroa apirilaren 19an jarri zen martxan.
- **Non:** Gasteizko erdigunean dago zentroa, baina konfidentzialtasuna mantentzeko ez da kokapen zehatza eman.
- **Zergatik:** Sexu indarkeriaren biktimen arreta integrala eskaintzeko eta haien babeserako zentroak beharrezkoak dira, Istanbulgo Hitzarmenak eta "soilik baietz da baietz" legeak hala zehazten baitute. </t>
    </r>
    <r>
      <rPr>
        <rFont val="Arial"/>
        <strike/>
        <color theme="1"/>
        <sz val="9.0"/>
      </rPr>
      <t xml:space="preserve">Helburua biktimen erreparazioa eta trauma prebenitzea da.
</t>
    </r>
    <r>
      <rPr>
        <rFont val="Arial"/>
        <color theme="1"/>
        <sz val="9.0"/>
      </rPr>
      <t xml:space="preserve">
- **Nola:** Zentroak 24 orduz eta urteko 365 egunetan eskaintzen du arreta, aurrez aurre, telefonoz edo online. Koordinazioan arituko da beste zerbitzu batzuekin, eta hainbat profesional diziplinako talde batek </t>
    </r>
    <r>
      <rPr>
        <rFont val="Arial"/>
        <strike/>
        <color theme="1"/>
        <sz val="9.0"/>
      </rPr>
      <t>biktimen beharrak asetuko ditu</t>
    </r>
    <r>
      <rPr>
        <rFont val="Arial"/>
        <color theme="1"/>
        <sz val="9.0"/>
      </rPr>
      <t>.</t>
    </r>
  </si>
  <si>
    <r>
      <rPr>
        <rFont val="Arial"/>
        <color theme="1"/>
        <sz val="9.0"/>
      </rPr>
      <t xml:space="preserve">Arabako Foru Aldundiak Gasteizen ireki du *Tximeletak* zentroa, sexu indarkeria jasaten duten emakumeei arreta integrala emateko. Zentroak 24 orduko zerbitzua eskaintzen du urteko 365 egunetan, aurrez aurre, telefonoz eta online. Zentroaren helburua da biktimen lehengoratze psikologikoa eta babesa </t>
    </r>
    <r>
      <rPr>
        <rFont val="Arial"/>
        <strike/>
        <color theme="1"/>
        <sz val="9.0"/>
      </rPr>
      <t>bermatzea</t>
    </r>
    <r>
      <rPr>
        <rFont val="Arial"/>
        <color theme="1"/>
        <sz val="9.0"/>
      </rPr>
      <t>, laguntza juridiko eta soziala emanez. Biktimen konfidentzialtasuna bermatzeko, kokapena ez dute publikoki zehaztu. Arreta diziplina anitzeko talde batek emango du, eta koordinatuta egongo da Ertzaintzarekin, Osakidetzarekin eta beste zerbitzuekin.</t>
    </r>
  </si>
  <si>
    <r>
      <rPr>
        <rFont val="Arial"/>
        <color theme="1"/>
        <sz val="9.0"/>
      </rPr>
      <t xml:space="preserve"> </t>
    </r>
    <r>
      <rPr>
        <rFont val="Arial"/>
        <color rgb="FF4A86E8"/>
        <sz val="9.0"/>
      </rPr>
      <t>Atzo goizaldean</t>
    </r>
    <r>
      <rPr>
        <rFont val="Arial"/>
        <color theme="1"/>
        <sz val="9.0"/>
      </rPr>
      <t xml:space="preserve">, </t>
    </r>
    <r>
      <rPr>
        <rFont val="Arial"/>
        <color rgb="FFFF9900"/>
        <sz val="9.0"/>
      </rPr>
      <t xml:space="preserve">Etxebarrin (Bizkaia) </t>
    </r>
    <r>
      <rPr>
        <rFont val="Arial"/>
        <color rgb="FF4A86E8"/>
        <sz val="9.0"/>
      </rPr>
      <t>ospatzen ari ziren herriko jaietan</t>
    </r>
    <r>
      <rPr>
        <rFont val="Arial"/>
        <color theme="1"/>
        <sz val="9.0"/>
      </rPr>
      <t xml:space="preserve">, </t>
    </r>
    <r>
      <rPr>
        <rFont val="Arial"/>
        <color rgb="FFFF0000"/>
        <sz val="9.0"/>
      </rPr>
      <t>emakume batek</t>
    </r>
    <r>
      <rPr>
        <rFont val="Arial"/>
        <color theme="1"/>
        <sz val="9.0"/>
      </rPr>
      <t xml:space="preserve"> </t>
    </r>
    <r>
      <rPr>
        <rFont val="Arial"/>
        <color rgb="FF38761D"/>
        <sz val="9.0"/>
      </rPr>
      <t>sexu eraso bat jasan zuela salatu zuen</t>
    </r>
    <r>
      <rPr>
        <rFont val="Arial"/>
        <color theme="1"/>
        <sz val="9.0"/>
      </rPr>
      <t xml:space="preserve">. Gertakaria </t>
    </r>
    <r>
      <rPr>
        <rFont val="Arial"/>
        <color rgb="FFFF9900"/>
        <sz val="9.0"/>
      </rPr>
      <t>kalean jarritako komunetan</t>
    </r>
    <r>
      <rPr>
        <rFont val="Arial"/>
        <color theme="1"/>
        <sz val="9.0"/>
      </rPr>
      <t xml:space="preserve"> gertatu zen. Ondorioz, </t>
    </r>
    <r>
      <rPr>
        <rFont val="Arial"/>
        <color rgb="FFFF0000"/>
        <sz val="9.0"/>
      </rPr>
      <t xml:space="preserve">Etxebarriko Udalak </t>
    </r>
    <r>
      <rPr>
        <rFont val="Arial"/>
        <color rgb="FF38761D"/>
        <sz val="9.0"/>
      </rPr>
      <t>atzoko egunerako antolatuta zeuden ekitaldi guztiak bertan behera utzi zituen</t>
    </r>
    <r>
      <rPr>
        <rFont val="Arial"/>
        <color theme="1"/>
        <sz val="9.0"/>
      </rPr>
      <t xml:space="preserve">.
</t>
    </r>
    <r>
      <rPr>
        <rFont val="Arial"/>
        <color rgb="FFFF0000"/>
        <sz val="9.0"/>
      </rPr>
      <t xml:space="preserve">Udalak, sanantonioetako jai batzordeak eta txosnek </t>
    </r>
    <r>
      <rPr>
        <rFont val="Arial"/>
        <color rgb="FF38761D"/>
        <sz val="9.0"/>
      </rPr>
      <t>elkarretaratzea deitu zuten</t>
    </r>
    <r>
      <rPr>
        <rFont val="Arial"/>
        <color theme="1"/>
        <sz val="9.0"/>
      </rPr>
      <t xml:space="preserve"> </t>
    </r>
    <r>
      <rPr>
        <rFont val="Arial"/>
        <color rgb="FFFF9900"/>
        <sz val="9.0"/>
      </rPr>
      <t>Zintururi plazan</t>
    </r>
    <r>
      <rPr>
        <rFont val="Arial"/>
        <color theme="1"/>
        <sz val="9.0"/>
      </rPr>
      <t xml:space="preserve">, eta </t>
    </r>
    <r>
      <rPr>
        <rFont val="Arial"/>
        <color rgb="FFFF0000"/>
        <sz val="9.0"/>
      </rPr>
      <t>ehunka herritar</t>
    </r>
    <r>
      <rPr>
        <rFont val="Arial"/>
        <color theme="1"/>
        <sz val="9.0"/>
      </rPr>
      <t xml:space="preserve"> </t>
    </r>
    <r>
      <rPr>
        <rFont val="Arial"/>
        <color rgb="FF38761D"/>
        <sz val="9.0"/>
      </rPr>
      <t>bildu ziren</t>
    </r>
    <r>
      <rPr>
        <rFont val="Arial"/>
        <color theme="1"/>
        <sz val="9.0"/>
      </rPr>
      <t xml:space="preserve"> </t>
    </r>
    <r>
      <rPr>
        <rFont val="Arial"/>
        <color rgb="FFBF9000"/>
        <sz val="9.0"/>
      </rPr>
      <t>'Erasorik ez, erantzunik gabe' lelopean.</t>
    </r>
    <r>
      <rPr>
        <rFont val="Arial"/>
        <color theme="1"/>
        <sz val="9.0"/>
      </rPr>
      <t xml:space="preserve"> </t>
    </r>
    <r>
      <rPr>
        <rFont val="Arial"/>
        <strike/>
        <color theme="1"/>
        <sz val="9.0"/>
      </rPr>
      <t xml:space="preserve">Bertan, elkartasuna adierazi zioten erasoa jasan zuen emakumeari eta indarkeria sexualearen aurkako mezu irmoa bidali zuten.
</t>
    </r>
    <r>
      <rPr>
        <rFont val="Arial"/>
        <color theme="1"/>
        <sz val="9.0"/>
      </rPr>
      <t xml:space="preserve">
</t>
    </r>
    <r>
      <rPr>
        <rFont val="Arial"/>
        <color rgb="FFFF0000"/>
        <sz val="9.0"/>
      </rPr>
      <t>Ertzaintzak</t>
    </r>
    <r>
      <rPr>
        <rFont val="Arial"/>
        <color theme="1"/>
        <sz val="9.0"/>
      </rPr>
      <t xml:space="preserve"> </t>
    </r>
    <r>
      <rPr>
        <rFont val="Arial"/>
        <color rgb="FF38761D"/>
        <sz val="9.0"/>
      </rPr>
      <t xml:space="preserve">ikerketa bat hasi du </t>
    </r>
    <r>
      <rPr>
        <rFont val="Arial"/>
        <color theme="1"/>
        <sz val="9.0"/>
      </rPr>
      <t>gertakariaren inguruan, eta oraindik ez dute inor atxilotu. Bitartean, udalak adierazi du jaiak "elkartzeko eta dibertitzeko guneak" direla eta "askatasuna eta bizikidetza errespetatuz" gozatu nahi duten pertsona guztiak gonbidatzen dituztela. Halaber, "mezu hau ulertzen ez duten eta bestelako helburuak dituzten pertsonak ez direla ongi etorriak" azpimarratu du.</t>
    </r>
  </si>
  <si>
    <r>
      <rPr>
        <rFont val="Arial"/>
        <color rgb="FF666666"/>
        <sz val="9.0"/>
      </rPr>
      <t xml:space="preserve"> **Edukirik garrantzitsuena:** </t>
    </r>
    <r>
      <rPr>
        <rFont val="Arial"/>
        <color rgb="FFFF9900"/>
        <sz val="9.0"/>
      </rPr>
      <t>Etxebarrin (Bizkaia)</t>
    </r>
    <r>
      <rPr>
        <rFont val="Arial"/>
        <color theme="1"/>
        <sz val="9.0"/>
      </rPr>
      <t xml:space="preserve">, </t>
    </r>
    <r>
      <rPr>
        <rFont val="Arial"/>
        <color rgb="FF4A86E8"/>
        <sz val="9.0"/>
      </rPr>
      <t>jaietan zehar</t>
    </r>
    <r>
      <rPr>
        <rFont val="Arial"/>
        <color theme="1"/>
        <sz val="9.0"/>
      </rPr>
      <t xml:space="preserve"> </t>
    </r>
    <r>
      <rPr>
        <rFont val="Arial"/>
        <color rgb="FFFF0000"/>
        <sz val="9.0"/>
      </rPr>
      <t>emakume batek</t>
    </r>
    <r>
      <rPr>
        <rFont val="Arial"/>
        <color theme="1"/>
        <sz val="9.0"/>
      </rPr>
      <t xml:space="preserve"> </t>
    </r>
    <r>
      <rPr>
        <rFont val="Arial"/>
        <color rgb="FF38761D"/>
        <sz val="9.0"/>
      </rPr>
      <t>sexu eraso bat jasan zuen</t>
    </r>
    <r>
      <rPr>
        <rFont val="Arial"/>
        <color theme="1"/>
        <sz val="9.0"/>
      </rPr>
      <t xml:space="preserve">, eta horren ondorioz, </t>
    </r>
    <r>
      <rPr>
        <rFont val="Arial"/>
        <color rgb="FFFF0000"/>
        <sz val="9.0"/>
      </rPr>
      <t>udalak</t>
    </r>
    <r>
      <rPr>
        <rFont val="Arial"/>
        <color theme="1"/>
        <sz val="9.0"/>
      </rPr>
      <t xml:space="preserve"> </t>
    </r>
    <r>
      <rPr>
        <rFont val="Arial"/>
        <color rgb="FF38761D"/>
        <sz val="9.0"/>
      </rPr>
      <t>atzoko ekitaldi guztiak bertan behera utzi zituen</t>
    </r>
    <r>
      <rPr>
        <rFont val="Arial"/>
        <color theme="1"/>
        <sz val="9.0"/>
      </rPr>
      <t xml:space="preserve">. </t>
    </r>
    <r>
      <rPr>
        <rFont val="Arial"/>
        <color rgb="FFFF0000"/>
        <sz val="9.0"/>
      </rPr>
      <t>Ehunka herritar</t>
    </r>
    <r>
      <rPr>
        <rFont val="Arial"/>
        <color theme="1"/>
        <sz val="9.0"/>
      </rPr>
      <t xml:space="preserve"> </t>
    </r>
    <r>
      <rPr>
        <rFont val="Arial"/>
        <color rgb="FF38761D"/>
        <sz val="9.0"/>
      </rPr>
      <t>bildu ziren elkarretaratze batean</t>
    </r>
    <r>
      <rPr>
        <rFont val="Arial"/>
        <color theme="1"/>
        <sz val="9.0"/>
      </rPr>
      <t xml:space="preserve"> </t>
    </r>
    <r>
      <rPr>
        <rFont val="Arial"/>
        <color rgb="FFBF9000"/>
        <sz val="9.0"/>
      </rPr>
      <t>'Erasorik ez, erantzunik gabe' lelopean</t>
    </r>
    <r>
      <rPr>
        <rFont val="Arial"/>
        <color theme="1"/>
        <sz val="9.0"/>
      </rPr>
      <t xml:space="preserve">, eta </t>
    </r>
    <r>
      <rPr>
        <rFont val="Arial"/>
        <color rgb="FFFF0000"/>
        <sz val="9.0"/>
      </rPr>
      <t>Ertzaintzak</t>
    </r>
    <r>
      <rPr>
        <rFont val="Arial"/>
        <color theme="1"/>
        <sz val="9.0"/>
      </rPr>
      <t xml:space="preserve"> </t>
    </r>
    <r>
      <rPr>
        <rFont val="Arial"/>
        <color rgb="FF38761D"/>
        <sz val="9.0"/>
      </rPr>
      <t>ikerketa hasi du</t>
    </r>
    <r>
      <rPr>
        <rFont val="Arial"/>
        <color theme="1"/>
        <sz val="9.0"/>
      </rPr>
      <t xml:space="preserve">.
</t>
    </r>
    <r>
      <rPr>
        <rFont val="Arial"/>
        <color rgb="FF666666"/>
        <sz val="9.0"/>
      </rPr>
      <t>**Laburpena:**</t>
    </r>
    <r>
      <rPr>
        <rFont val="Arial"/>
        <color theme="1"/>
        <sz val="9.0"/>
      </rPr>
      <t xml:space="preserve"> </t>
    </r>
    <r>
      <rPr>
        <rFont val="Arial"/>
        <color rgb="FFFF9900"/>
        <sz val="9.0"/>
      </rPr>
      <t>Etxebarrin</t>
    </r>
    <r>
      <rPr>
        <rFont val="Arial"/>
        <color theme="1"/>
        <sz val="9.0"/>
      </rPr>
      <t xml:space="preserve"> </t>
    </r>
    <r>
      <rPr>
        <rFont val="Arial"/>
        <color rgb="FF4A86E8"/>
        <sz val="9.0"/>
      </rPr>
      <t>jaietan</t>
    </r>
    <r>
      <rPr>
        <rFont val="Arial"/>
        <color theme="1"/>
        <sz val="9.0"/>
      </rPr>
      <t xml:space="preserve"> </t>
    </r>
    <r>
      <rPr>
        <rFont val="Arial"/>
        <color rgb="FF38761D"/>
        <sz val="9.0"/>
      </rPr>
      <t xml:space="preserve">sexu eraso bat gertatu </t>
    </r>
    <r>
      <rPr>
        <rFont val="Arial"/>
        <color theme="1"/>
        <sz val="9.0"/>
      </rPr>
      <t xml:space="preserve">ondoren, </t>
    </r>
    <r>
      <rPr>
        <rFont val="Arial"/>
        <color rgb="FFFF0000"/>
        <sz val="9.0"/>
      </rPr>
      <t>udalak</t>
    </r>
    <r>
      <rPr>
        <rFont val="Arial"/>
        <color theme="1"/>
        <sz val="9.0"/>
      </rPr>
      <t xml:space="preserve"> </t>
    </r>
    <r>
      <rPr>
        <rFont val="Arial"/>
        <color rgb="FF38761D"/>
        <sz val="9.0"/>
      </rPr>
      <t>ekitaldiak bertan behera utzi</t>
    </r>
    <r>
      <rPr>
        <rFont val="Arial"/>
        <color theme="1"/>
        <sz val="9.0"/>
      </rPr>
      <t xml:space="preserve"> eta </t>
    </r>
    <r>
      <rPr>
        <rFont val="Arial"/>
        <color rgb="FFFF0000"/>
        <sz val="9.0"/>
      </rPr>
      <t>herritarrek</t>
    </r>
    <r>
      <rPr>
        <rFont val="Arial"/>
        <color theme="1"/>
        <sz val="9.0"/>
      </rPr>
      <t xml:space="preserve"> </t>
    </r>
    <r>
      <rPr>
        <rFont val="Arial"/>
        <color rgb="FF38761D"/>
        <sz val="9.0"/>
      </rPr>
      <t>elkarretaratzea egin zuten</t>
    </r>
    <r>
      <rPr>
        <rFont val="Arial"/>
        <color theme="1"/>
        <sz val="9.0"/>
      </rPr>
      <t xml:space="preserve">. </t>
    </r>
    <r>
      <rPr>
        <rFont val="Arial"/>
        <color rgb="FFFF0000"/>
        <sz val="9.0"/>
      </rPr>
      <t>Ertzaintza</t>
    </r>
    <r>
      <rPr>
        <rFont val="Arial"/>
        <color theme="1"/>
        <sz val="9.0"/>
      </rPr>
      <t xml:space="preserve"> </t>
    </r>
    <r>
      <rPr>
        <rFont val="Arial"/>
        <color rgb="FF38761D"/>
        <sz val="9.0"/>
      </rPr>
      <t>ikertzen ari da</t>
    </r>
    <r>
      <rPr>
        <rFont val="Arial"/>
        <color theme="1"/>
        <sz val="9.0"/>
      </rPr>
      <t>.</t>
    </r>
  </si>
  <si>
    <r>
      <rPr>
        <rFont val="Arial"/>
        <color theme="1"/>
        <sz val="9.0"/>
      </rPr>
      <t xml:space="preserve"> **Zer:** </t>
    </r>
    <r>
      <rPr>
        <rFont val="Arial"/>
        <color rgb="FFFF0000"/>
        <sz val="9.0"/>
      </rPr>
      <t>Emakume batek</t>
    </r>
    <r>
      <rPr>
        <rFont val="Arial"/>
        <color theme="1"/>
        <sz val="9.0"/>
      </rPr>
      <t xml:space="preserve"> </t>
    </r>
    <r>
      <rPr>
        <rFont val="Arial"/>
        <color rgb="FF38761D"/>
        <sz val="9.0"/>
      </rPr>
      <t>sexu eraso bat jasan zuen</t>
    </r>
    <r>
      <rPr>
        <rFont val="Arial"/>
        <color theme="1"/>
        <sz val="9.0"/>
      </rPr>
      <t xml:space="preserve"> eta </t>
    </r>
    <r>
      <rPr>
        <rFont val="Arial"/>
        <color rgb="FFFF0000"/>
        <sz val="9.0"/>
      </rPr>
      <t>Etxebarriko Udalak</t>
    </r>
    <r>
      <rPr>
        <rFont val="Arial"/>
        <color theme="1"/>
        <sz val="9.0"/>
      </rPr>
      <t xml:space="preserve"> </t>
    </r>
    <r>
      <rPr>
        <rFont val="Arial"/>
        <color rgb="FF38761D"/>
        <sz val="9.0"/>
      </rPr>
      <t>jaietako ekitaldiak bertan behera utzi zituen</t>
    </r>
    <r>
      <rPr>
        <rFont val="Arial"/>
        <color theme="1"/>
        <sz val="9.0"/>
      </rPr>
      <t xml:space="preserve">.
**Nork:** </t>
    </r>
    <r>
      <rPr>
        <rFont val="Arial"/>
        <color rgb="FFFF0000"/>
        <sz val="9.0"/>
      </rPr>
      <t>Emakume ezezagun batek</t>
    </r>
    <r>
      <rPr>
        <rFont val="Arial"/>
        <color theme="1"/>
        <sz val="9.0"/>
      </rPr>
      <t xml:space="preserve"> </t>
    </r>
    <r>
      <rPr>
        <rFont val="Arial"/>
        <color rgb="FF38761D"/>
        <sz val="9.0"/>
      </rPr>
      <t>jasan zuen erasoa</t>
    </r>
    <r>
      <rPr>
        <rFont val="Arial"/>
        <color theme="1"/>
        <sz val="9.0"/>
      </rPr>
      <t xml:space="preserve">, eta oraindik ez dute erasotzailea atxilotu.
**Noiz:** </t>
    </r>
    <r>
      <rPr>
        <rFont val="Arial"/>
        <strike/>
        <color theme="1"/>
        <sz val="9.0"/>
      </rPr>
      <t>Atzo goizaldean gertatu zen</t>
    </r>
    <r>
      <rPr>
        <rFont val="Arial"/>
        <color theme="1"/>
        <sz val="9.0"/>
      </rPr>
      <t xml:space="preserve">, </t>
    </r>
    <r>
      <rPr>
        <rFont val="Arial"/>
        <color rgb="FF4A86E8"/>
        <sz val="9.0"/>
      </rPr>
      <t>herriko jaiak ospatzen ari zirenean</t>
    </r>
    <r>
      <rPr>
        <rFont val="Arial"/>
        <color theme="1"/>
        <sz val="9.0"/>
      </rPr>
      <t xml:space="preserve">.
**Non:** </t>
    </r>
    <r>
      <rPr>
        <rFont val="Arial"/>
        <color rgb="FFFF9900"/>
        <sz val="9.0"/>
      </rPr>
      <t>Etxebarrin (Bizkaia), kalean jarritako komunetan</t>
    </r>
    <r>
      <rPr>
        <rFont val="Arial"/>
        <color theme="1"/>
        <sz val="9.0"/>
      </rPr>
      <t xml:space="preserve">.
**Zergatik:** </t>
    </r>
    <r>
      <rPr>
        <rFont val="Arial"/>
        <color rgb="FFFF0000"/>
        <sz val="9.0"/>
      </rPr>
      <t>Emakume batek</t>
    </r>
    <r>
      <rPr>
        <rFont val="Arial"/>
        <color theme="1"/>
        <sz val="9.0"/>
      </rPr>
      <t xml:space="preserve"> </t>
    </r>
    <r>
      <rPr>
        <rFont val="Arial"/>
        <color rgb="FF38761D"/>
        <sz val="9.0"/>
      </rPr>
      <t>sexu eraso bat jasan</t>
    </r>
    <r>
      <rPr>
        <rFont val="Arial"/>
        <color theme="1"/>
        <sz val="9.0"/>
      </rPr>
      <t xml:space="preserve"> ondoren, </t>
    </r>
    <r>
      <rPr>
        <rFont val="Arial"/>
        <color rgb="FFFF0000"/>
        <sz val="9.0"/>
      </rPr>
      <t>udalak</t>
    </r>
    <r>
      <rPr>
        <rFont val="Arial"/>
        <color theme="1"/>
        <sz val="9.0"/>
      </rPr>
      <t xml:space="preserve"> </t>
    </r>
    <r>
      <rPr>
        <rFont val="Arial"/>
        <strike/>
        <color theme="1"/>
        <sz val="9.0"/>
      </rPr>
      <t>segurtasun arrazoiengatik eta errespetuagatik</t>
    </r>
    <r>
      <rPr>
        <rFont val="Arial"/>
        <color theme="1"/>
        <sz val="9.0"/>
      </rPr>
      <t xml:space="preserve"> </t>
    </r>
    <r>
      <rPr>
        <rFont val="Arial"/>
        <color rgb="FF38761D"/>
        <sz val="9.0"/>
      </rPr>
      <t>jaietako ekitaldiak bertan behera utzi zituen</t>
    </r>
    <r>
      <rPr>
        <rFont val="Arial"/>
        <color theme="1"/>
        <sz val="9.0"/>
      </rPr>
      <t xml:space="preserve">.
**Nola:** </t>
    </r>
    <r>
      <rPr>
        <rFont val="Arial"/>
        <color rgb="FFFF0000"/>
        <sz val="9.0"/>
      </rPr>
      <t>Udalak, sanantonioetako jai batzordeak eta txosnek</t>
    </r>
    <r>
      <rPr>
        <rFont val="Arial"/>
        <color theme="1"/>
        <sz val="9.0"/>
      </rPr>
      <t xml:space="preserve"> </t>
    </r>
    <r>
      <rPr>
        <rFont val="Arial"/>
        <color rgb="FF38761D"/>
        <sz val="9.0"/>
      </rPr>
      <t>elkarretaratzea antolatu zuten</t>
    </r>
    <r>
      <rPr>
        <rFont val="Arial"/>
        <color theme="1"/>
        <sz val="9.0"/>
      </rPr>
      <t xml:space="preserve"> </t>
    </r>
    <r>
      <rPr>
        <rFont val="Arial"/>
        <color rgb="FFFF9900"/>
        <sz val="9.0"/>
      </rPr>
      <t>Zintururi plazan</t>
    </r>
    <r>
      <rPr>
        <rFont val="Arial"/>
        <color theme="1"/>
        <sz val="9.0"/>
      </rPr>
      <t xml:space="preserve">, eta </t>
    </r>
    <r>
      <rPr>
        <rFont val="Arial"/>
        <color rgb="FFFF0000"/>
        <sz val="9.0"/>
      </rPr>
      <t>ehunka herritar</t>
    </r>
    <r>
      <rPr>
        <rFont val="Arial"/>
        <color theme="1"/>
        <sz val="9.0"/>
      </rPr>
      <t xml:space="preserve"> </t>
    </r>
    <r>
      <rPr>
        <rFont val="Arial"/>
        <color rgb="FF38761D"/>
        <sz val="9.0"/>
      </rPr>
      <t>bildu ziren</t>
    </r>
    <r>
      <rPr>
        <rFont val="Arial"/>
        <color rgb="FFBF9000"/>
        <sz val="9.0"/>
      </rPr>
      <t xml:space="preserve"> 'Erasorik ez, erantzunik gabe' lelopean</t>
    </r>
    <r>
      <rPr>
        <rFont val="Arial"/>
        <color theme="1"/>
        <sz val="9.0"/>
      </rPr>
      <t xml:space="preserve">. </t>
    </r>
    <r>
      <rPr>
        <rFont val="Arial"/>
        <color rgb="FFFF0000"/>
        <sz val="9.0"/>
      </rPr>
      <t>Ertzaintzak</t>
    </r>
    <r>
      <rPr>
        <rFont val="Arial"/>
        <color rgb="FF38761D"/>
        <sz val="9.0"/>
      </rPr>
      <t xml:space="preserve"> ikerketa abiatu du gertaeraren inguruan</t>
    </r>
    <r>
      <rPr>
        <rFont val="Arial"/>
        <color theme="1"/>
        <sz val="9.0"/>
      </rPr>
      <t>.</t>
    </r>
  </si>
  <si>
    <r>
      <rPr>
        <rFont val="Arial"/>
        <color rgb="FFFF9900"/>
        <sz val="9.0"/>
      </rPr>
      <t xml:space="preserve"> Etxebarrin (Bizkaia)</t>
    </r>
    <r>
      <rPr>
        <rFont val="Arial"/>
        <color theme="1"/>
        <sz val="9.0"/>
      </rPr>
      <t xml:space="preserve">, </t>
    </r>
    <r>
      <rPr>
        <rFont val="Arial"/>
        <color rgb="FFFF0000"/>
        <sz val="9.0"/>
      </rPr>
      <t>emakume batek</t>
    </r>
    <r>
      <rPr>
        <rFont val="Arial"/>
        <color theme="1"/>
        <sz val="9.0"/>
      </rPr>
      <t xml:space="preserve"> </t>
    </r>
    <r>
      <rPr>
        <rFont val="Arial"/>
        <color rgb="FF38761D"/>
        <sz val="9.0"/>
      </rPr>
      <t xml:space="preserve">sexu eraso bat jasan zuen </t>
    </r>
    <r>
      <rPr>
        <rFont val="Arial"/>
        <color rgb="FF4A86E8"/>
        <sz val="9.0"/>
      </rPr>
      <t>jaietan</t>
    </r>
    <r>
      <rPr>
        <rFont val="Arial"/>
        <color rgb="FFFF9900"/>
        <sz val="9.0"/>
      </rPr>
      <t xml:space="preserve"> kaleko komunetan</t>
    </r>
    <r>
      <rPr>
        <rFont val="Arial"/>
        <color theme="1"/>
        <sz val="9.0"/>
      </rPr>
      <t xml:space="preserve">. Ondorioz, </t>
    </r>
    <r>
      <rPr>
        <rFont val="Arial"/>
        <color rgb="FFFF0000"/>
        <sz val="9.0"/>
      </rPr>
      <t>udalak</t>
    </r>
    <r>
      <rPr>
        <rFont val="Arial"/>
        <color theme="1"/>
        <sz val="9.0"/>
      </rPr>
      <t xml:space="preserve"> </t>
    </r>
    <r>
      <rPr>
        <rFont val="Arial"/>
        <color rgb="FF38761D"/>
        <sz val="9.0"/>
      </rPr>
      <t>atzoko ekitaldi guztiak bertan behera utzi zituen</t>
    </r>
    <r>
      <rPr>
        <rFont val="Arial"/>
        <color theme="1"/>
        <sz val="9.0"/>
      </rPr>
      <t xml:space="preserve"> eta </t>
    </r>
    <r>
      <rPr>
        <rFont val="Arial"/>
        <color rgb="FF38761D"/>
        <sz val="9.0"/>
      </rPr>
      <t>elkarretaratzea antolatu zen</t>
    </r>
    <r>
      <rPr>
        <rFont val="Arial"/>
        <color theme="1"/>
        <sz val="9.0"/>
      </rPr>
      <t xml:space="preserve"> </t>
    </r>
    <r>
      <rPr>
        <rFont val="Arial"/>
        <color rgb="FFBF9000"/>
        <sz val="9.0"/>
      </rPr>
      <t>'Erasorik ez, erantzunik gabe' lelopean</t>
    </r>
    <r>
      <rPr>
        <rFont val="Arial"/>
        <color theme="1"/>
        <sz val="9.0"/>
      </rPr>
      <t xml:space="preserve">. </t>
    </r>
    <r>
      <rPr>
        <rFont val="Arial"/>
        <color rgb="FFFF0000"/>
        <sz val="9.0"/>
      </rPr>
      <t>Ertzaintzak</t>
    </r>
    <r>
      <rPr>
        <rFont val="Arial"/>
        <color rgb="FF38761D"/>
        <sz val="9.0"/>
      </rPr>
      <t xml:space="preserve"> ikerketa hasi du</t>
    </r>
    <r>
      <rPr>
        <rFont val="Arial"/>
        <color theme="1"/>
        <sz val="9.0"/>
      </rPr>
      <t xml:space="preserve"> eta oraindik ez dute inor atxilotu. Udalak adierazi du jaiak askatasuna eta bizikidetza errespetatuz gozatzeko lekuak izan behar direla eta hori ez duten pertsonak ez direla ongi etorriak.</t>
    </r>
  </si>
  <si>
    <r>
      <rPr>
        <rFont val="Arial"/>
        <color theme="1"/>
        <sz val="9.0"/>
      </rPr>
      <t xml:space="preserve"> **Erramun </t>
    </r>
    <r>
      <rPr>
        <rFont val="Arial"/>
        <color rgb="FFFF0000"/>
        <sz val="9.0"/>
      </rPr>
      <t>Baxo</t>
    </r>
    <r>
      <rPr>
        <rFont val="Arial"/>
        <color theme="1"/>
        <sz val="9.0"/>
      </rPr>
      <t xml:space="preserve">, Euskaltzain Ohorezkoa eta Soziolinguistika Arloko Aditua, Hil Da**
Erramun </t>
    </r>
    <r>
      <rPr>
        <rFont val="Arial"/>
        <color rgb="FFFF0000"/>
        <sz val="9.0"/>
      </rPr>
      <t>Baxo</t>
    </r>
    <r>
      <rPr>
        <rFont val="Arial"/>
        <color theme="1"/>
        <sz val="9.0"/>
      </rPr>
      <t xml:space="preserve">, </t>
    </r>
    <r>
      <rPr>
        <rFont val="Arial"/>
        <color rgb="FFFF0000"/>
        <sz val="9.0"/>
      </rPr>
      <t>euskaltzain ohorezkoa</t>
    </r>
    <r>
      <rPr>
        <rFont val="Arial"/>
        <color theme="1"/>
        <sz val="9.0"/>
      </rPr>
      <t xml:space="preserve"> eta soziolinguistika arloko aditua, 96 urterekin hil da. Nafarroa Behereko Suhuskun herrian jaio zen 1928an, eta bere bizitzan zehar euskal kulturaren eta hizkuntzaren aldeko lan nabarmena egin zuen. Filosofian doktorea zen eta irakasle eta ikerlari gisa jardun zuen.
</t>
    </r>
    <r>
      <rPr>
        <rFont val="Arial"/>
        <color rgb="FFFF0000"/>
        <sz val="9.0"/>
      </rPr>
      <t>Baxok</t>
    </r>
    <r>
      <rPr>
        <rFont val="Arial"/>
        <color theme="1"/>
        <sz val="9.0"/>
      </rPr>
      <t xml:space="preserve"> Euskal Herriko mundu pedagogikoan, soziolinguistikoan eta kulturalean inplikazio handia izan zuen. Pizkundea eta Euskal Konfederazioan parte hartu zuen, eta 1990etik 2005era bitartean Euskal Kultur Erakundearen buru izan zen. Euskaltzaindiak 2010ean ohorezko kide izendatu zuen,</t>
    </r>
    <r>
      <rPr>
        <rFont val="Arial"/>
        <strike/>
        <color theme="1"/>
        <sz val="9.0"/>
      </rPr>
      <t xml:space="preserve"> "euskaltzain jakintsua" eta "euskararen geroaz kezkatuta beti" zela aitortuz</t>
    </r>
    <r>
      <rPr>
        <rFont val="Arial"/>
        <color theme="1"/>
        <sz val="9.0"/>
      </rPr>
      <t xml:space="preserve">.
Baxoren hezkuntza-bidea bere herriko eskola publikotik hasi zen, non guraso euskaldun elebakarren semea izanik hasieran frantsesezko hitz gutxi zekien. Seminarioan egin zituen lehen ikasketak, eta geroago Filosofiako lizentzia eskuratu zuen 1953an. Apaiza eta filosofia irakaslea izan zen 1967 arte.
1968tik 1978ra bitartean Quebecen bizi izan zen Renee Samsonekin ezkondu ondoren, eta han hiru seme-alaba izan zituzten. Quebecen, pertsonalismoari buruzko doktoretza aurkeztu zuen eta soziolinguistikari buruzko ikasketak egin zituen Elebitasunari Buruzko Ikerketen Nazioarteko Zentroan (CIRB).
Euskal Herrira itzuli zenean, hizkuntzalaritza aplikatua irakasten hasi zen eta Euskal Herriko proiektu anitzetan parte hartu zuen, hala nola Ikas pedagogia zentroan eta Euskaraz Bizi multimedia metodoaren sorkuntzan. Pizkundea elkarteko eta Euskal Konfederazioko zuzendaritzako kide izan zen, eta 1991tik 2011ra bitartean egin ziren inkesta soziolinguistikoetan ere parte hartu zuen.
Soziolinguistikan egindako ekarpenak nabarmendu dituzte hainbat adituk. Xarles Bidegain euskaltzainak Quebecen egindako ikerketak Euskal Herrira ekarri zituela eta hizkuntza politika publikoak garatzeko ikuspegia eskaini zuela azpimarratu du. Mikel Erramuzpek ere Baxoren ekarpenak goraipatu ditu, bereziki Quebeceko esperientziak Euskal Herrian aplikatzeko aukerak aztertu zituelako.
</t>
    </r>
    <r>
      <rPr>
        <rFont val="Arial"/>
        <strike/>
        <color theme="1"/>
        <sz val="9.0"/>
      </rPr>
      <t>Erramun Baxoren heriotzak hutsune handia utzi du euskalgintzan eta soziolinguistika arloan. Bere lanak eta ekarpenak oroitzapen gisa geratuko dira, euskara eta euskal kultura sustatzeko egindako ahaleginengatik.</t>
    </r>
  </si>
  <si>
    <r>
      <rPr>
        <rFont val="Arial"/>
        <color rgb="FF666666"/>
        <sz val="9.0"/>
      </rPr>
      <t xml:space="preserve"> **Edukirik garrantzitsuena:**</t>
    </r>
    <r>
      <rPr>
        <rFont val="Arial"/>
        <color theme="1"/>
        <sz val="9.0"/>
      </rPr>
      <t xml:space="preserve">
Erramun Baxo ohorezko euskaltzaina hil da, 96 urte zituela. Filosofian doktorea, irakaslea eta ikerlaria, euskal kulturaren, soziolinguistikaren eta hezkuntzaren alorrean eragin handia izan zuen. Euskaltzaindiak ohorezko kide izendatu zuen 2010ean, eta bere ekarpen nabarmenak Quebecen egindako soziolinguistika ikasketetan eta Euskal Herrian hizkuntza politikaren garapenean oinarritzen dira.
</t>
    </r>
    <r>
      <rPr>
        <rFont val="Arial"/>
        <color rgb="FF666666"/>
        <sz val="9.0"/>
      </rPr>
      <t>**Laburpena:**</t>
    </r>
    <r>
      <rPr>
        <rFont val="Arial"/>
        <color theme="1"/>
        <sz val="9.0"/>
      </rPr>
      <t xml:space="preserve">
Erramun Baxo, 96 urteko ohorezko euskaltzaina, hil da. Filosofian doktorea, irakaslea eta ikerlaria, euskal kulturaren eta soziolinguistikaren alorrean eragin handia izan zuen. Quebecen egindako ikasketekin eta Euskal Herrian hizkuntza politikan egindako ekarpenekin nabarmendu zen, Euskaltzaindiak 2010ean ohorezko kide izendatu zuen.</t>
    </r>
  </si>
  <si>
    <r>
      <rPr>
        <rFont val="Arial"/>
        <color theme="1"/>
        <sz val="9.0"/>
      </rPr>
      <t xml:space="preserve"> **Zer?** Erramun Baxo ohorezko euskaltzainaren heriotza eta bere bizitza eta ekarpenak euskal kulturari eta hizkuntzari buruz.
**Nork?** Erramun Baxo, filosofian doktorea, irakaslea, ikerlaria eta euskaltzain ohorea.
**Noiz?** </t>
    </r>
    <r>
      <rPr>
        <rFont val="Arial"/>
        <strike/>
        <color theme="1"/>
        <sz val="9.0"/>
      </rPr>
      <t>Azken orduetan (artikulua argitaratu zen unean)</t>
    </r>
    <r>
      <rPr>
        <rFont val="Arial"/>
        <color theme="1"/>
        <sz val="9.0"/>
      </rPr>
      <t>.
**Non?** Suhuskunen (Nafarroa Beherea), non jaio zen, eta Euskal Herriko hainbat lekutan, bere bizitzan zehar lan egin zuen tokietan.
**Zergatik?** 96 urte zituela, baina zehazki ez da heriotzaren kausa aipatzen.
**Nola?** Artikuluak ez du heriotzaren modua xehatzen, soilik adierazten du 96 urterekin hil zela.</t>
    </r>
  </si>
  <si>
    <t xml:space="preserve"> Erramun Baxo, euskaltzain ohorezkoa, filosofia doktorea, irakaslea eta ikerlaria, 96 urterekin hil da. Euskal Herriko mundu pedagogikoan, soziolinguistikoan eta kulturalean nabarmendu zen, Pizkundea eta Euskal Konfederazioan parte hartuz eta Euskal Kultur Erakundearen buru izanik 1990etik 2005era. Soziolinguistikan aditua, euskararen sustapenean eta hizkuntza politikan ekarpen garrantzitsuak egin zituen, bereziki Quebecen egindako ikasketen eraginez. Euskaltzaindiak eta hainbat erakundek doluminak adierazi dituzte bere heriotzaren harira, euskararen aldeko lan oparoagatik eta bere konpromisoagatik goraipatuz.
</t>
  </si>
  <si>
    <r>
      <rPr>
        <rFont val="Arial"/>
        <color theme="1"/>
        <sz val="9.0"/>
      </rPr>
      <t xml:space="preserve"> Errobiko bederatzi hautetsik agiria argitaratu dute, Peio Etxelekuri lurralde eremuko ordezkaritza kentzea kritikatuz. Etxelekuren aurka jo zuten sei auzapezen jarrera gaitzetsi dute, eta Jean Rene Etxegarai Euskal Hirigune Elkargoko lehendakariak kargua kendu izana ez dute onartu, lurralde eremuko batzordea kontsultatu gabe.
Adierazpena sinatu duten hautetsiak hauek dira: Yannick Bassier eta Emmanuelle Dallet (Basusarri), Denise Cedarry, Mikel Goienetxe, Erik Mailharrancin eta Françoise Gallois (Uztaritze), Laetitia Croc eta Nicole Etxamendi (Itsasu), eta Argitxu Hiriart Urruti. Mikel Hiribarren Itsasuko auzapezak ere sinatu du, nahiz eta ez parte hartu lurralde eremuan.
Hautetsi sinatzaileek sei auzapezen gutuna idaztearen oinarria eta Etxegarairen erabaki azkarra eta errekurtsorik gabea kritikatu dituzte. Adierazi dute seik sinatzea ez dela gehiengoa 11 auzapezetatik, hiruk ez dutela gutuna sinatu nahi izan eta beste biak ez direla </t>
    </r>
    <r>
      <rPr>
        <rFont val="Arial"/>
        <color rgb="FFFF0000"/>
        <sz val="9.0"/>
      </rPr>
      <t>infromatu</t>
    </r>
    <r>
      <rPr>
        <rFont val="Arial"/>
        <color theme="1"/>
        <sz val="9.0"/>
      </rPr>
      <t xml:space="preserve"> ere egin.
Sinatzaileen arabera, lehendakariak berehala kendu dio ordezkaritza Etxelekuri, haren argudioak entzun gabe eta sinatu ez duten auzapezen jarrera aztertu gabe. Gainera, nabarmendu dute lurralde eremua ez dela kontsultatu prozesuan.
Euskal Hirigune Elkargoko gobernantza itunaren aurkakoa dela diote hautetsiek, itunak lurralde eremuaren proposamenetan oinarritu behar dela lehendakariak ordezkariak izendatzeko xedatzen duelako. Batzordeko kideek, haien artean kargua duten auzapezek, beren erreferentearen proposamena babestu dute eta, beraz, beren zilegitasuna defendatzen dute.
Hautetsiek ez dute onartzen gertatutakoa eta eskatu dute gobernantza itunean lurralde batzordeetako kideen rola eta zilegitasuna argi eta garbi zehaztu eta berrikustea.
Lurralde eremuetako batzordeak 2020an sortu ziren Euskal Hirigune Elkargoan, hamar herri elkargoen mugak hartuta. Elkarrizketa eta eztabaidarako espazioak dira, hirigune elkargoan aztertzen diren gaiak lantzeko. Errobiko lurralde eremuan, Lapurdi barnealdeko 11 herri daude, eta 35 hautetsik parte hartzen dute, batzuk elkargoko hautetsi gisa hautatuak eta beste batzuk herriko kontseiluetan izendatuak. Errobiko zortzi auzapez dira lurralde batzordeko kide, eta beste hiru hautetsik beste kide baten esku utzi dute funtzioa.</t>
    </r>
  </si>
  <si>
    <r>
      <rPr>
        <rFont val="Arial"/>
        <color rgb="FF666666"/>
        <sz val="9.0"/>
      </rPr>
      <t xml:space="preserve"> **Edukirik garrantzitsuena:** </t>
    </r>
    <r>
      <rPr>
        <rFont val="Arial"/>
        <color theme="1"/>
        <sz val="9.0"/>
      </rPr>
      <t xml:space="preserve">Errobiko bederatzi hautetsik kritikatu dute Peio Etxelekuri lurralde eremuko ordezkaritza kendu izana, Jean Rene Etxegarai Euskal Hirigune Elkargoko lehendakariak hartutako erabakia "informatu eta kontsultatu gabe" egin zelako eta sei auzapezen jarrera </t>
    </r>
    <r>
      <rPr>
        <rFont val="Arial"/>
        <strike/>
        <color theme="1"/>
        <sz val="9.0"/>
      </rPr>
      <t>"gehiegizko"</t>
    </r>
    <r>
      <rPr>
        <rFont val="Arial"/>
        <color theme="1"/>
        <sz val="9.0"/>
      </rPr>
      <t xml:space="preserve"> izan zelako.
</t>
    </r>
    <r>
      <rPr>
        <rFont val="Arial"/>
        <color rgb="FF666666"/>
        <sz val="9.0"/>
      </rPr>
      <t xml:space="preserve">**Laburpena:** </t>
    </r>
    <r>
      <rPr>
        <rFont val="Arial"/>
        <color theme="1"/>
        <sz val="9.0"/>
      </rPr>
      <t xml:space="preserve">Errobiko bederatzi hautetsik Jean Rene Etxegarai lehendakariari egotzi diote Peio Etxelekuri ordezkaritza kendu izana, lurralde eremuko batzordea kontsultatu gabe. Sei auzapezen </t>
    </r>
    <r>
      <rPr>
        <rFont val="Arial"/>
        <strike/>
        <color theme="1"/>
        <sz val="9.0"/>
      </rPr>
      <t>gutuna sinatzea</t>
    </r>
    <r>
      <rPr>
        <rFont val="Arial"/>
        <color theme="1"/>
        <sz val="9.0"/>
      </rPr>
      <t xml:space="preserve"> eta Etxegarairen erabaki azkarra salatu dituzte, gobernantza itunaren aurka doazela argudiatuz.</t>
    </r>
  </si>
  <si>
    <r>
      <rPr>
        <rFont val="Arial"/>
        <color theme="1"/>
        <sz val="9.0"/>
      </rPr>
      <t xml:space="preserve"> **Zer?** Errobiko bederatzi hautetsik agiria zabaldu dute Peio Etxelekuri lurralde eremuko ordezkaritza kendu izana kritikatzeko.
**Nork?** </t>
    </r>
    <r>
      <rPr>
        <rFont val="Arial"/>
        <strike/>
        <color theme="1"/>
        <sz val="9.0"/>
      </rPr>
      <t xml:space="preserve">Errobiko bederatzi hautetsik (Yannick Bassier, Emmanuelle Dallet, Denise Cedarry, Mikel Goienetxe, Erik Mailharrancin, Françoise Gallois, Laetitia Croc, Nicole Etxamendi, Argitxu Hiriart Urruti eta Mikel Hiribarren) eta sei auzapezek (izenpetu ez dutenak) parte hartu dute.
</t>
    </r>
    <r>
      <rPr>
        <rFont val="Arial"/>
        <color theme="1"/>
        <sz val="9.0"/>
      </rPr>
      <t xml:space="preserve">
**Noiz?** </t>
    </r>
    <r>
      <rPr>
        <rFont val="Arial"/>
        <strike/>
        <color theme="1"/>
        <sz val="9.0"/>
      </rPr>
      <t xml:space="preserve">2023ko urriaren 25ean </t>
    </r>
    <r>
      <rPr>
        <rFont val="Arial"/>
        <color theme="1"/>
        <sz val="9.0"/>
      </rPr>
      <t xml:space="preserve">(data ez da zehazki aipatzen, baina testuaren argitalpen data da).
**Non?** Errobiko lurralde eremuan, Lapurdi barnealdean, Euskal Hirigune Elkargoan.
**Zergatik?** Kritikatzen dute Jean Rene Etxegarai Euskal Hirigune Elkargoko lehendakariak Peio Etxelekuri lurralde eremuko ordezkaritza kendu izana, sei auzapezen gutun baten ondoren, eta lurralde eremuko batzordea informatu eta kontsultatu gabe </t>
    </r>
    <r>
      <rPr>
        <rFont val="Arial"/>
        <color rgb="FFFF0000"/>
        <sz val="9.0"/>
      </rPr>
      <t>egin zuela erabakia</t>
    </r>
    <r>
      <rPr>
        <rFont val="Arial"/>
        <color theme="1"/>
        <sz val="9.0"/>
      </rPr>
      <t xml:space="preserve">. Gainera, hautetsi izenpetzaileek salatzen dute gutuna sinatu zuten sei auzapezen gehiengo eskasa eta lehendakariaren erabakiaren azkartasuna.
**Nola?** Agiria zabalduz eta </t>
    </r>
    <r>
      <rPr>
        <rFont val="Arial"/>
        <strike/>
        <color theme="1"/>
        <sz val="9.0"/>
      </rPr>
      <t>prentsan argitaratuz</t>
    </r>
    <r>
      <rPr>
        <rFont val="Arial"/>
        <color theme="1"/>
        <sz val="9.0"/>
      </rPr>
      <t>, haien kritikak eta salaketak publiko egin dituzte. Gainera, Euskal Hirigune Elkargoko gobernantza ituna aipatuz, haien jarrera legez kanpokotzat jotzen dute eta gobernantza itunaren berrikuspena eskatzen dute.</t>
    </r>
  </si>
  <si>
    <r>
      <rPr>
        <rFont val="Arial"/>
        <color theme="1"/>
        <sz val="9.0"/>
      </rPr>
      <t xml:space="preserve"> Errobiko bederatzi hautetsik agiria zabaldu dute, kritikatuz nola Jean Rene Etxegarai Euskal Hirigune Elkargoko lehendakariak Peio Etxelekuri lurralde eremuko ordezkaritza kendu </t>
    </r>
    <r>
      <rPr>
        <rFont val="Arial"/>
        <color rgb="FFFF0000"/>
        <sz val="9.0"/>
      </rPr>
      <t>dioen</t>
    </r>
    <r>
      <rPr>
        <rFont val="Arial"/>
        <color theme="1"/>
        <sz val="9.0"/>
      </rPr>
      <t>, sei auzapezen jarrera salatuz eta erabaki hori lurralde eremuko batzordea kontsultatu gabe hartu izana gaitzestuz. Hautetsi hauek uste dute erabakia gobernantza itunaren aurkakoa dela, zeinak lehendakariari eskatzen dion lurralde eremuak egindako proposamenetan oinarritu behar dela ordezkariak izendatzeko. Eskatu dute batzordeetako kideen rola eta zilegitasuna berrikustea.</t>
    </r>
  </si>
  <si>
    <r>
      <rPr>
        <rFont val="Arial"/>
        <color theme="1"/>
        <sz val="9.0"/>
      </rPr>
      <t xml:space="preserve"> Eusko Ikaskuntzak jakinarazi du Itziar Laka izango dela aurtengo Eusko Ikaskuntza-Laboral Kutxaren Humanitateen, Kulturaren, Arteen eta Gizarte Zientzien Sariaren irabazlea. Laka euskararen garapenean eta hizkuntza gaitasunen funtzionamenduan egindako ekarpen berritzaileengatik nabarmendu du erakundeak: </t>
    </r>
    <r>
      <rPr>
        <rFont val="Arial"/>
        <strike/>
        <color theme="1"/>
        <sz val="9.0"/>
      </rPr>
      <t>"Euskararen eta Euskal Herriko garapen zientifiko eta kulturalaren alorrean ekarpen garrantzitsua egin du"</t>
    </r>
    <r>
      <rPr>
        <rFont val="Arial"/>
        <color theme="1"/>
        <sz val="9.0"/>
      </rPr>
      <t>.
1962an Getxon jaioa, Itziar Laka hizkuntzalaria da eta 2010ean hizkuntzalaritza esperimentala eta neurohizkuntzalaritza ikertzen dituen lehenengo taldea sortu zuen. Gainera, hainbat ikerketa proiektutan parte hartu du eta unibertsitate desberdinetan irakatsi du. Epaimahaiak Lakaren ibilbidea goraipatu du,</t>
    </r>
    <r>
      <rPr>
        <rFont val="Arial"/>
        <strike/>
        <color theme="1"/>
        <sz val="9.0"/>
      </rPr>
      <t xml:space="preserve"> "gazteen artean ere euskara zientzia maila gorenean sustatu duen eredu izan delako, metodologia berriak eta aurreratuak erabiliz eta gaur egun oso garrantzitsuak diren gaiak aztertuz"</t>
    </r>
    <r>
      <rPr>
        <rFont val="Arial"/>
        <color theme="1"/>
        <sz val="9.0"/>
      </rPr>
      <t>.
Epaimahaiaren arabera, Lakaren lanaren funtsezko zati bat izan da euskara unibertsitatean eta gizartean bultzatzea. Gaur egun, Euskal Herriko Unibertsitateko (EHU) Euskara Sustatzeko Zuzendaria da Euskara, Kultura eta Nazioartekotzearen errektoreordetzan. EHUko Euskara Institutuarekin elkarlanean, hizkuntzalaritza klasikoaren lanen itzulpena sustatu du ere. Zientziaren eta zientzia kulturaren zabalkundean egindako lan ikaragarriagatik ere aitortu dute, elebitasunari buruzko mitoak zientzia frogak erabiliz desegin dituelako eta, horrela, euskarari eta hizkuntzalaritzari oro har ekarpen garrantzitsuak egin dizkiolako.</t>
    </r>
  </si>
  <si>
    <r>
      <rPr>
        <rFont val="Arial"/>
        <color rgb="FF666666"/>
        <sz val="9.0"/>
      </rPr>
      <t xml:space="preserve"> **Edukirik garrantzitsuena:**</t>
    </r>
    <r>
      <rPr>
        <rFont val="Arial"/>
        <color theme="1"/>
        <sz val="9.0"/>
      </rPr>
      <t xml:space="preserve"> Itziar Laka euskal hizkuntzalariari Eusko Ikaskuntza-Laboral Kutxaren Humanitateen, Kulturaren, Arteen eta Gizarte Zientzien Saria </t>
    </r>
    <r>
      <rPr>
        <rFont val="Arial"/>
        <strike/>
        <color theme="1"/>
        <sz val="9.0"/>
      </rPr>
      <t>eman diote</t>
    </r>
    <r>
      <rPr>
        <rFont val="Arial"/>
        <color theme="1"/>
        <sz val="9.0"/>
      </rPr>
      <t xml:space="preserve">, euskararen garapenean eta hizkuntza gaitasunen mekanismoetan egindako ekarpen berritzaile eta nabarmenengatik, bai eta euskara unibertsitatean eta gizartean sustatzeko lanagatik ere.
**Laburpena:** Itziar Laka euskal hizkuntzalariak Eusko Ikaskuntza-Laboral Kutxaren saria </t>
    </r>
    <r>
      <rPr>
        <rFont val="Arial"/>
        <strike/>
        <color theme="1"/>
        <sz val="9.0"/>
      </rPr>
      <t>jaso du</t>
    </r>
    <r>
      <rPr>
        <rFont val="Arial"/>
        <color theme="1"/>
        <sz val="9.0"/>
      </rPr>
      <t xml:space="preserve"> euskararen garapenean eta hizkuntza gaitasunen ikerketan egindako ekarpenengatik, eta euskara unibertsitatean eta gizartean sustatzeko bere lanagatik.</t>
    </r>
  </si>
  <si>
    <r>
      <rPr>
        <rFont val="Arial"/>
        <color theme="1"/>
        <sz val="9.0"/>
      </rPr>
      <t xml:space="preserve"> **Zer:** Eusko Ikaskuntza-Laboral Kutxaren Humanitateen, Kulturaren, Arteen eta Gizarte Zientzien Saria Itziar Lakari </t>
    </r>
    <r>
      <rPr>
        <rFont val="Arial"/>
        <strike/>
        <color theme="1"/>
        <sz val="9.0"/>
      </rPr>
      <t>eman diote</t>
    </r>
    <r>
      <rPr>
        <rFont val="Arial"/>
        <color theme="1"/>
        <sz val="9.0"/>
      </rPr>
      <t>.
**Nork:** Eusko Ikaskuntzak eman dio saria Itziar Lakari.
**Noiz:** Saria iragarri duen eguna ez da zehaztu testuan.
**Non:** Getxon (Bizkaia) jaio zen Itziar Laka, eta saria Eusko Ikaskuntzaren eskutik jaso du.
**Zergatik:** Itziar Lakak euskararen garapenerako ekarpen berritzaileak egin ditu eta hizkuntza gaitasunak gobernatzen dituzten mekanismoetan sakondu du. Gainera, euskara unibertsitatean eta gizartean sustatzean funtsezko rola izan du.
**Nola:** Hizkuntzalaritza esperimentala eta neurohizkuntzalaritza lantzen dituen lehenengo ikerketa taldea sortu zuen 2010ean, eta hainbat proiekturen ikertzaile nagusi izan da. Unibertsitateetan irakasle gisa ere aritu da, eta euskara zientzia arloetan goreneko mailara eraman du, metodologia berriak eta punta-puntako ikerketak erabiliz. Zientziaren eta zientzia kulturaren zabalpenean ere lan garrantzitsua egin du.</t>
    </r>
  </si>
  <si>
    <t xml:space="preserve"> Itziar Laka euskal hizkuntzalariari eman diote Eusko Ikaskuntza-Laboral Kutxaren Humanitateen, Kulturaren, Arteen eta Gizarte Zientzien Saria. Bere ekarpen berritzaileak euskararen garapenean eta hizkuntza gaitasunen mekanismoetan sakontzeagatik nabarmendu dute. 2010ean hizkuntzalaritza esperimentala eta neurohizkuntzalaritza lantzen dituen lehenengo ikerketa taldea sortu zuen, eta hainbat proiektutan izan da ikertzaile nagusi. Gainera, euskara unibertsitatean eta gizartean sustatzen lan handia egin du, eta zientziaren eta zientzia kulturaren zabalpenean ere ekarpen garrantzitsuak egin ditu.
</t>
  </si>
  <si>
    <r>
      <rPr>
        <rFont val="Arial"/>
        <color theme="1"/>
        <sz val="9.0"/>
      </rPr>
      <t xml:space="preserve"> **Arabako Foru Aldundiak Sexu Indarkeriaren Biktimei Arreta Integrala Eskaintzeko Zentro Berria Ireki Du**
Arabako Foru Aldundiak Tximeletak izeneko zentro bat ireki du Gasteizko erdigunean, sexu indarkeria jasaten duten emakumeentzako arreta integrala eskaintzeko. Zentroak 24 orduko zerbitzua eskaintzen du egunero, aurrez aurre, telefonoz eta online bidez, eta bere helburua da biktimei babesa, laguntza eta osasun zerbitzuak eskaintzea krisi eta larrialdi egoeretan.
Gorka Urtaran Gizarte Politiketako diputatuak eta Maika Diez Bermejo Esku Hartze Sozialeko zuzendariorde teknikoak azaldu dutenez, zentroak diziplina anitzeko talde bat du, eta biktimei arreta psikologikoa, aholkularitza juridikoa eta laguntza soziala eskaintzen die. Gainera, Osakidetzarekin, Ertzaintzarekin, Justiziarekin eta beste erakunde batzuekin koordinatzen da, biktimei beharrezko laguntza guztia eskaintzeko.
Tximeletak zentroak sexu indarkeriaren mota guztietako biktimak artatzen ditu, adinaren arabera mugarik gabe. Zentroak ez du salaketa bat jarri beharrik eskatzen, eta bere ateak irekita ditu edozein emakumerentzat, bai eta haien senide eta lagunentzat ere, beharrezkoa bada.
Zentroak </t>
    </r>
    <r>
      <rPr>
        <rFont val="Arial"/>
        <strike/>
        <color theme="1"/>
        <sz val="9.0"/>
      </rPr>
      <t>109 metro koadroko azalera du</t>
    </r>
    <r>
      <rPr>
        <rFont val="Arial"/>
        <color theme="1"/>
        <sz val="9.0"/>
      </rPr>
      <t xml:space="preserve"> eta lau bulego, patio bat eta prestakuntza gelak ditu. Europako Batasunaren Next Generation funtsetik finantzatuta dago, eta Arabako Foru Aldundiak kudeatzen du, bi urterako milioi bat euroko inbertsioarekin.
2023an, Araban sexu askatasunaren aurkako delituen biktima izan ziren 109 emakume artatu ziren Hegoak foru zerbitzuan. </t>
    </r>
    <r>
      <rPr>
        <rFont val="Arial"/>
        <strike/>
        <color theme="1"/>
        <sz val="9.0"/>
      </rPr>
      <t>Tximeletak zentroak Hegoaken lana osatuko du</t>
    </r>
    <r>
      <rPr>
        <rFont val="Arial"/>
        <color theme="1"/>
        <sz val="9.0"/>
      </rPr>
      <t>, sexu indarkeriaren biktimei arreta eta laguntza jarraitua eskainiz.</t>
    </r>
  </si>
  <si>
    <r>
      <rPr>
        <rFont val="Arial"/>
        <color rgb="FF666666"/>
        <sz val="9.0"/>
      </rPr>
      <t xml:space="preserve"> **Edukirik garrantzitsuena:** </t>
    </r>
    <r>
      <rPr>
        <rFont val="Arial"/>
        <color theme="1"/>
        <sz val="9.0"/>
      </rPr>
      <t xml:space="preserve">Arabako Foru Aldundiak Tximeletak zentroa ireki du, sexu indarkeria jasaten duten emakumeentzako arreta integrala eskaintzeko. Zentroak 24 orduko zerbitzua ematen du aurrez aurre, telefonoz eta online, eta biktimen lehengoratze psikologikoa, laguntza soziala eta juridikoa </t>
    </r>
    <r>
      <rPr>
        <rFont val="Arial"/>
        <strike/>
        <color theme="1"/>
        <sz val="9.0"/>
      </rPr>
      <t>bermatzen</t>
    </r>
    <r>
      <rPr>
        <rFont val="Arial"/>
        <color theme="1"/>
        <sz val="9.0"/>
      </rPr>
      <t xml:space="preserve"> ditu.
</t>
    </r>
    <r>
      <rPr>
        <rFont val="Arial"/>
        <color rgb="FF666666"/>
        <sz val="9.0"/>
      </rPr>
      <t xml:space="preserve">**Laburpena:** </t>
    </r>
    <r>
      <rPr>
        <rFont val="Arial"/>
        <color theme="1"/>
        <sz val="9.0"/>
      </rPr>
      <t xml:space="preserve">Arabako Foru Aldundiak Gasteizen Tximeletak zentroa ireki du, sexu indarkeria jasaten duten emakumeentzako arreta integrala eskaintzeko. Zentroak 24 orduko zerbitzua ematen du eta biktimei lehengoratze psikologikoa, laguntza soziala eta juridikoa </t>
    </r>
    <r>
      <rPr>
        <rFont val="Arial"/>
        <strike/>
        <color theme="1"/>
        <sz val="9.0"/>
      </rPr>
      <t>eskaintzen</t>
    </r>
    <r>
      <rPr>
        <rFont val="Arial"/>
        <color theme="1"/>
        <sz val="9.0"/>
      </rPr>
      <t xml:space="preserve"> die. Hego Euskal Herriko beste herrialdeetan ere irekitzen ari dira antzeko zentroak, Istanbulgo Hitzarmenaren eta soilik baietz da baietz legearen eskakizunari erantzunez.</t>
    </r>
  </si>
  <si>
    <t xml:space="preserve"> **Zer?** Arabako Foru Aldundiak sexu indarkeria jasaten duten emakumeei arreta integrala emateko zentro bat zabaldu du, Tximeletak izenekoa. Zentroak krisi eta larrialdi egoeretan laguntza eskaintzen du, aurrez aurre, telefonoz eta online.
**Nork?** Arabako Foru Aldundiak ireki du zentroa, eta Gorka Urtaran Gizarte Politiketarako diputatuak eta Maika Diez Bermejo Esku Hartze Sozialeko zuzendariorde teknikoak eman dituzte zentroaren xehetasunak. Zentroan diziplina askotako profesional talde bat arituko da.
**Noiz?** Apirilaren 19tik dago martxan zentroa.
**Non?** Gasteizko erdigunean dago, baina zehazki non dagoen ez da jakinarazi, erabiltzaileen konfidentzialtasuna bermatzeko.
**Zergatik?** Sexu bortizkeria nozitu duten emakumeei eta haien gertukoei laguntza eta arreta eskaintzeko ireki da zentroa, eta biktimen lehengoratze psikologikoa sustatzeko. Hego Euskal Herriko herrialde guztietan zabaldu behar dute horrelako zentro bat, Istanbulgo Hitzarmenak eta soilik baietz da baietz legeak hala zehaztuta.
**Nola?** Zentroak aurrez aurreko laguntza eskaintzen du krisi eta larrialdi egoeretan, arreta psikologikoa eta aholkularitza juridikoa barne. Beharrezkoa bada, biktimari laguntza eskainiko diote Osakidetzako larrialdietara edo lehen mailako arretara jotzeko, salaketa jartzeko edota bere gertuko senide edo lagunekin elkartzeko. Gainera, biktimen detekzioan, prebentzioan eta arretan lan egiten duten eragile guztien koordinazioa bermatzen du.</t>
  </si>
  <si>
    <t xml:space="preserve"> Arabako Foru Aldundiak Tximeletak zentroa ireki du Gasteizen, sexu indarkeria jasaten duten emakumeentzako arreta integrala eskaintzeko. Zentroak 24 orduko zerbitzua emango du egunero, aurrez aurre, telefonoz eta online. Helburua da biktimei babesa, laguntza eta osasun arreta eskaintzea, bai eta haien lehengoratze psikologikoa sustatzea ere. Zentroak diziplina anitzeko profesional taldea izango du, eta koordinazio estua izango du beste erakunde eta zerbitzu batzuekin. Irekiera Istanbulgo Hitzarmenaren eta soilik baietz da baietz legearen betetzearen barruan dago, eta Hego Euskal Herriko beste hainbat tokitan ere antzeko zentroak irekitzeko asmoa dago.
</t>
  </si>
  <si>
    <r>
      <rPr>
        <rFont val="Arial"/>
        <color rgb="FFFF9900"/>
        <sz val="9.0"/>
      </rPr>
      <t>Etxebarriko (Bizkaia)</t>
    </r>
    <r>
      <rPr>
        <rFont val="Arial"/>
        <color theme="1"/>
        <sz val="9.0"/>
      </rPr>
      <t xml:space="preserve"> </t>
    </r>
    <r>
      <rPr>
        <rFont val="Arial"/>
        <color rgb="FF4A86E8"/>
        <sz val="9.0"/>
      </rPr>
      <t>jaietan</t>
    </r>
    <r>
      <rPr>
        <rFont val="Arial"/>
        <color theme="1"/>
        <sz val="9.0"/>
      </rPr>
      <t xml:space="preserve"> </t>
    </r>
    <r>
      <rPr>
        <rFont val="Arial"/>
        <color rgb="FF38761D"/>
        <sz val="9.0"/>
      </rPr>
      <t>sexu eraso bat gertatu zen</t>
    </r>
    <r>
      <rPr>
        <rFont val="Arial"/>
        <color theme="1"/>
        <sz val="9.0"/>
      </rPr>
      <t xml:space="preserve"> </t>
    </r>
    <r>
      <rPr>
        <rFont val="Arial"/>
        <strike/>
        <color theme="1"/>
        <sz val="9.0"/>
      </rPr>
      <t>atzo goizaldean</t>
    </r>
    <r>
      <rPr>
        <rFont val="Arial"/>
        <color theme="1"/>
        <sz val="9.0"/>
      </rPr>
      <t xml:space="preserve"> eta </t>
    </r>
    <r>
      <rPr>
        <rFont val="Arial"/>
        <color rgb="FFFF0000"/>
        <sz val="9.0"/>
      </rPr>
      <t>udalak</t>
    </r>
    <r>
      <rPr>
        <rFont val="Arial"/>
        <color theme="1"/>
        <sz val="9.0"/>
      </rPr>
      <t xml:space="preserve"> </t>
    </r>
    <r>
      <rPr>
        <rFont val="Arial"/>
        <color rgb="FF38761D"/>
        <sz val="9.0"/>
      </rPr>
      <t>bertan behera utzi zituen atzorako antolatuta zeuden ekitaldi guztiak</t>
    </r>
    <r>
      <rPr>
        <rFont val="Arial"/>
        <color theme="1"/>
        <sz val="9.0"/>
      </rPr>
      <t>.</t>
    </r>
  </si>
  <si>
    <r>
      <rPr>
        <rFont val="Arial"/>
        <color rgb="FFFF9900"/>
        <sz val="9.0"/>
      </rPr>
      <t xml:space="preserve">Etxebarrin (Bizkaia) </t>
    </r>
    <r>
      <rPr>
        <rFont val="Arial"/>
        <color rgb="FFFF0000"/>
        <sz val="9.0"/>
      </rPr>
      <t xml:space="preserve">emakume bat </t>
    </r>
    <r>
      <rPr>
        <rFont val="Arial"/>
        <color rgb="FF38761D"/>
        <sz val="9.0"/>
      </rPr>
      <t>sexu eraso baten biktima izan zen</t>
    </r>
    <r>
      <rPr>
        <rFont val="Arial"/>
        <color theme="1"/>
        <sz val="9.0"/>
      </rPr>
      <t xml:space="preserve"> </t>
    </r>
    <r>
      <rPr>
        <rFont val="Arial"/>
        <strike/>
        <color theme="1"/>
        <sz val="9.0"/>
      </rPr>
      <t>atzo goizaldean</t>
    </r>
    <r>
      <rPr>
        <rFont val="Arial"/>
        <color theme="1"/>
        <sz val="9.0"/>
      </rPr>
      <t xml:space="preserve">, </t>
    </r>
    <r>
      <rPr>
        <rFont val="Arial"/>
        <color rgb="FF4A86E8"/>
        <sz val="9.0"/>
      </rPr>
      <t>herriko jaietan</t>
    </r>
    <r>
      <rPr>
        <rFont val="Arial"/>
        <color theme="1"/>
        <sz val="9.0"/>
      </rPr>
      <t>.</t>
    </r>
  </si>
  <si>
    <r>
      <rPr>
        <rFont val="Arial"/>
        <color rgb="FF666666"/>
        <sz val="9.0"/>
      </rPr>
      <t>Hurrengo laburpena egin daiteke 5W1H metodoa erabiliz:</t>
    </r>
    <r>
      <rPr>
        <rFont val="Arial"/>
        <color theme="1"/>
        <sz val="9.0"/>
      </rPr>
      <t xml:space="preserve">
* **Zer:** </t>
    </r>
    <r>
      <rPr>
        <rFont val="Arial"/>
        <color rgb="FFFF0000"/>
        <sz val="9.0"/>
      </rPr>
      <t>Emakume batek</t>
    </r>
    <r>
      <rPr>
        <rFont val="Arial"/>
        <color theme="1"/>
        <sz val="9.0"/>
      </rPr>
      <t xml:space="preserve"> </t>
    </r>
    <r>
      <rPr>
        <rFont val="Arial"/>
        <color rgb="FF38761D"/>
        <sz val="9.0"/>
      </rPr>
      <t>jasan zuen sexu eraso bat</t>
    </r>
    <r>
      <rPr>
        <rFont val="Arial"/>
        <color theme="1"/>
        <sz val="9.0"/>
      </rPr>
      <t xml:space="preserve"> eta </t>
    </r>
    <r>
      <rPr>
        <rFont val="Arial"/>
        <color rgb="FFFF0000"/>
        <sz val="9.0"/>
      </rPr>
      <t xml:space="preserve">Etxebarriko Udalak </t>
    </r>
    <r>
      <rPr>
        <rFont val="Arial"/>
        <color rgb="FF38761D"/>
        <sz val="9.0"/>
      </rPr>
      <t>bertan behera utzi zituen atzorako antolatuta zeuden ekitaldi guztiak</t>
    </r>
    <r>
      <rPr>
        <rFont val="Arial"/>
        <color theme="1"/>
        <sz val="9.0"/>
      </rPr>
      <t xml:space="preserve">.
* **Nork:** </t>
    </r>
    <r>
      <rPr>
        <rFont val="Arial"/>
        <color rgb="FFFF0000"/>
        <sz val="9.0"/>
      </rPr>
      <t>Emakume batek</t>
    </r>
    <r>
      <rPr>
        <rFont val="Arial"/>
        <color theme="1"/>
        <sz val="9.0"/>
      </rPr>
      <t xml:space="preserve"> eta </t>
    </r>
    <r>
      <rPr>
        <rFont val="Arial"/>
        <color rgb="FFFF0000"/>
        <sz val="9.0"/>
      </rPr>
      <t>Etxebarriko Udalak</t>
    </r>
    <r>
      <rPr>
        <rFont val="Arial"/>
        <color theme="1"/>
        <sz val="9.0"/>
      </rPr>
      <t xml:space="preserve">.
* **Noiz:** </t>
    </r>
    <r>
      <rPr>
        <rFont val="Arial"/>
        <strike/>
        <color theme="1"/>
        <sz val="9.0"/>
      </rPr>
      <t>Atzo goizaldean</t>
    </r>
    <r>
      <rPr>
        <rFont val="Arial"/>
        <color theme="1"/>
        <sz val="9.0"/>
      </rPr>
      <t xml:space="preserve">.
* **Non:** </t>
    </r>
    <r>
      <rPr>
        <rFont val="Arial"/>
        <color rgb="FFFF9900"/>
        <sz val="9.0"/>
      </rPr>
      <t>Etxebarrin (Bizkaia), kalean jarritako komunetan</t>
    </r>
    <r>
      <rPr>
        <rFont val="Arial"/>
        <color theme="1"/>
        <sz val="9.0"/>
      </rPr>
      <t xml:space="preserve">.
* **Zergatik:** </t>
    </r>
    <r>
      <rPr>
        <rFont val="Arial"/>
        <color rgb="FF38761D"/>
        <sz val="9.0"/>
      </rPr>
      <t>Sexu eraso bat gertatu zelako</t>
    </r>
    <r>
      <rPr>
        <rFont val="Arial"/>
        <color theme="1"/>
        <sz val="9.0"/>
      </rPr>
      <t xml:space="preserve">.
* **Nola:** </t>
    </r>
    <r>
      <rPr>
        <rFont val="Arial"/>
        <color rgb="FFFF0000"/>
        <sz val="9.0"/>
      </rPr>
      <t>Ertzaintzak</t>
    </r>
    <r>
      <rPr>
        <rFont val="Arial"/>
        <color theme="1"/>
        <sz val="9.0"/>
      </rPr>
      <t xml:space="preserve"> </t>
    </r>
    <r>
      <rPr>
        <rFont val="Arial"/>
        <color rgb="FF38761D"/>
        <sz val="9.0"/>
      </rPr>
      <t>ikerketa abiatu du</t>
    </r>
    <r>
      <rPr>
        <rFont val="Arial"/>
        <color theme="1"/>
        <sz val="9.0"/>
      </rPr>
      <t>, eta ez dute inor atxilotu.</t>
    </r>
  </si>
  <si>
    <r>
      <rPr>
        <rFont val="Arial"/>
        <color rgb="FFFF9900"/>
        <sz val="9.0"/>
      </rPr>
      <t>Etxebarrin (Bizkaia)</t>
    </r>
    <r>
      <rPr>
        <rFont val="Arial"/>
        <color theme="1"/>
        <sz val="9.0"/>
      </rPr>
      <t xml:space="preserve"> </t>
    </r>
    <r>
      <rPr>
        <rFont val="Arial"/>
        <color rgb="FF38761D"/>
        <sz val="9.0"/>
      </rPr>
      <t>sexu eraso bat jazo zen</t>
    </r>
    <r>
      <rPr>
        <rFont val="Arial"/>
        <color theme="1"/>
        <sz val="9.0"/>
      </rPr>
      <t xml:space="preserve"> </t>
    </r>
    <r>
      <rPr>
        <rFont val="Arial"/>
        <strike/>
        <color theme="1"/>
        <sz val="9.0"/>
      </rPr>
      <t>atzo goizaldean</t>
    </r>
    <r>
      <rPr>
        <rFont val="Arial"/>
        <color theme="1"/>
        <sz val="9.0"/>
      </rPr>
      <t>,</t>
    </r>
    <r>
      <rPr>
        <rFont val="Arial"/>
        <color rgb="FF4A86E8"/>
        <sz val="9.0"/>
      </rPr>
      <t xml:space="preserve"> herriko jaien ospakizunetan</t>
    </r>
    <r>
      <rPr>
        <rFont val="Arial"/>
        <color theme="1"/>
        <sz val="9.0"/>
      </rPr>
      <t xml:space="preserve">. </t>
    </r>
    <r>
      <rPr>
        <rFont val="Arial"/>
        <color rgb="FFFF0000"/>
        <sz val="9.0"/>
      </rPr>
      <t>Udalak</t>
    </r>
    <r>
      <rPr>
        <rFont val="Arial"/>
        <color theme="1"/>
        <sz val="9.0"/>
      </rPr>
      <t xml:space="preserve"> </t>
    </r>
    <r>
      <rPr>
        <rFont val="Arial"/>
        <color rgb="FF38761D"/>
        <sz val="9.0"/>
      </rPr>
      <t>bertan behera utzi zituen ekitaldi guztiak</t>
    </r>
    <r>
      <rPr>
        <rFont val="Arial"/>
        <color theme="1"/>
        <sz val="9.0"/>
      </rPr>
      <t xml:space="preserve">, eta </t>
    </r>
    <r>
      <rPr>
        <rFont val="Arial"/>
        <color rgb="FFFF0000"/>
        <sz val="9.0"/>
      </rPr>
      <t>herritarrek</t>
    </r>
    <r>
      <rPr>
        <rFont val="Arial"/>
        <color theme="1"/>
        <sz val="9.0"/>
      </rPr>
      <t xml:space="preserve"> </t>
    </r>
    <r>
      <rPr>
        <rFont val="Arial"/>
        <color rgb="FF38761D"/>
        <sz val="9.0"/>
      </rPr>
      <t>protesta egin dute</t>
    </r>
    <r>
      <rPr>
        <rFont val="Arial"/>
        <color theme="1"/>
        <sz val="9.0"/>
      </rPr>
      <t>.</t>
    </r>
  </si>
  <si>
    <r>
      <rPr>
        <rFont val="Arial"/>
        <color rgb="FFFF0000"/>
        <sz val="9.0"/>
      </rPr>
      <t>Erramun Baxok ohorezko euskaltzainaren</t>
    </r>
    <r>
      <rPr>
        <rFont val="Arial"/>
        <color theme="1"/>
        <sz val="9.0"/>
      </rPr>
      <t xml:space="preserve"> </t>
    </r>
    <r>
      <rPr>
        <rFont val="Arial"/>
        <color rgb="FF38761D"/>
        <sz val="9.0"/>
      </rPr>
      <t>heriotza</t>
    </r>
    <r>
      <rPr>
        <rFont val="Arial"/>
        <color theme="1"/>
        <sz val="9.0"/>
      </rPr>
      <t xml:space="preserve"> jaso du Euskaltzaindiak.</t>
    </r>
  </si>
  <si>
    <t>Euskaltzaindiak jakinarazi du Erramun Baxok ohorezko euskaltzainak azken hatsa eman duela; 96 urte zituen.</t>
  </si>
  <si>
    <r>
      <rPr>
        <rFont val="Arial"/>
        <color rgb="FF666666"/>
        <sz val="9.0"/>
      </rPr>
      <t>5W1H metodoaren bidez, testuaren laburpena egiten dut:</t>
    </r>
    <r>
      <rPr>
        <rFont val="Arial"/>
        <color theme="1"/>
        <sz val="9.0"/>
      </rPr>
      <t xml:space="preserve">
* Zer: Erramun Baxo euskaltzain ohorezkoaren heriotza.
* Nork: Erramun Baxo, euskaltzain ohorezkoa, filosofoa eta soziolinguista.
* Noiz: </t>
    </r>
    <r>
      <rPr>
        <rFont val="Arial"/>
        <strike/>
        <color theme="1"/>
        <sz val="9.0"/>
      </rPr>
      <t>2023ko</t>
    </r>
    <r>
      <rPr>
        <rFont val="Arial"/>
        <color theme="1"/>
        <sz val="9.0"/>
      </rPr>
      <t xml:space="preserve"> (data zehatza ez da aipatua).
* Non: Suhuskunen (Nafarroa Beherea).
* Zergatik: Baxok euskararen alde egin zuen lanagatik eta soziolinguistika arloan egindako ekarpenengatik.
* Nola: Baxok euskararen alde egin zuen lanagatik eta soziolinguistika arloan egindako ekarpenengatik, besteak beste, Euskal Herriko Garapen Kontseiluan, EKE Euskal Kultur Erakundean, Euskararen Erakunde Publikoan eta Euskaltzaindian.
</t>
    </r>
    <r>
      <rPr>
        <rFont val="Arial"/>
        <color rgb="FF666666"/>
        <sz val="9.0"/>
      </rPr>
      <t xml:space="preserve">Laburpena: </t>
    </r>
    <r>
      <rPr>
        <rFont val="Arial"/>
        <color theme="1"/>
        <sz val="9.0"/>
      </rPr>
      <t>Erramun Baxo euskaltzain ohorezkoa hil da, 96 urte zituela. Baxok euskararen alde egin zuen lanagatik eta soziolinguistika arloan egindako ekarpenengatik da ezaguna. Euskal Herriko Garapen Kontseiluan, EKE Euskal Kultur Erakundean, Euskararen Erakunde Publikoan eta Euskaltzaindian lan egin zuen.</t>
    </r>
  </si>
  <si>
    <r>
      <rPr>
        <rFont val="Arial"/>
        <color theme="1"/>
        <sz val="9.0"/>
      </rPr>
      <t xml:space="preserve">Erramun Baxok euskaltzain ohorezkoak 96 urterekin azken hatsa eman du. </t>
    </r>
    <r>
      <rPr>
        <rFont val="Arial"/>
        <strike/>
        <color theme="1"/>
        <sz val="9.0"/>
      </rPr>
      <t>Euskaltzaindiak jakinarazi duenez,</t>
    </r>
    <r>
      <rPr>
        <rFont val="Arial"/>
        <color theme="1"/>
        <sz val="9.0"/>
      </rPr>
      <t xml:space="preserve"> Baxok filosofian doktorea zen eta irakasle eta ikerlari gisa aritu zen lanean. Euskal Herriko mundu pedagogikoan, soziolinguistikoan eta kulturalean inplikatua izan zen, eta Euskal Kultur Erakundearen buru izan zen 1990etik 2005era.</t>
    </r>
  </si>
  <si>
    <r>
      <rPr>
        <rFont val="Arial"/>
        <color rgb="FF666666"/>
        <sz val="9.0"/>
      </rPr>
      <t xml:space="preserve">Testu honek azaltzen duen informazioa laburbilduz, </t>
    </r>
    <r>
      <rPr>
        <rFont val="Arial"/>
        <color theme="1"/>
        <sz val="9.0"/>
      </rPr>
      <t xml:space="preserve">Errobiko hautetsi batzuek kritika gogorra egin </t>
    </r>
    <r>
      <rPr>
        <rFont val="Arial"/>
        <color rgb="FFFF0000"/>
        <sz val="9.0"/>
      </rPr>
      <t>dute</t>
    </r>
    <r>
      <rPr>
        <rFont val="Arial"/>
        <color theme="1"/>
        <sz val="9.0"/>
      </rPr>
      <t xml:space="preserve"> Jean-René Etxegarai lehendakariari, Peio Etxelekuri lurralde eremuko ordezkari kargua kendu izana. Hautetsiek kritikatu dute sei auzapezen jarrera, eta Etxegaraien erabakia "presakako eta errekurtsorik gabeko"tzat jo dute. Hautetsien iritziz, lurralde eremua "informatu eta kontsultatu" gabe jardun da, eta erabakia Euskal Hirigune Elkargoko gobernantza itunaren kontrakoa da.</t>
    </r>
  </si>
  <si>
    <r>
      <rPr>
        <rFont val="Arial"/>
        <color rgb="FF666666"/>
        <sz val="9.0"/>
      </rPr>
      <t xml:space="preserve">Edukirik garrantzitsuena: </t>
    </r>
    <r>
      <rPr>
        <rFont val="Arial"/>
        <color theme="1"/>
        <sz val="9.0"/>
      </rPr>
      <t>Peio Etxelekuri lurralde eremuko ordezkaritza kendu izana kritikatzeko agiria zabaldu dute Errobiko bederatzi hautetsik.</t>
    </r>
  </si>
  <si>
    <r>
      <rPr>
        <rFont val="Arial"/>
        <color rgb="FF666666"/>
        <sz val="9.0"/>
      </rPr>
      <t>5W1H metodoa erabiliz, laburpen hau egin daiteke:</t>
    </r>
    <r>
      <rPr>
        <rFont val="Arial"/>
        <color theme="1"/>
        <sz val="9.0"/>
      </rPr>
      <t xml:space="preserve">
**Zer?**: Errobiko bederatzi hautetsik agiria zabaldu dute Peio Etxelekuri lurralde eremuko ordezkaritza kendu izana kritikatzeko.
**Nork?**: Hautetsiak dira: Yannick Bassier eta Emmanuelle Dallet (Basusarri), Denise Cedarry, Mikel Goienetxe, Erik Mailharrancin eta Françoise Gallois (Uztaritze), Laetitia Croc eta Nicole Etxamendi (Itsasu), Argitxu Hiriart Urruti eta Mikel Hiribarren (Itsasuko auzapeza).
**Noiz?**: Ez da zehaztuta noiz gertatu den, baina testuan aipatzen da 2020ko agintaldia hasi zenean sortu zirela lurralde eremuetako batzordeak.
**Non?**: Euskal Hirigune Elkargoan, Errobiko lurralde eremuan, Lapurdi barnealdeko 11 herrietan.
**Zergatik?**: Hautetsien iritziz, lurralde eremuko ordezkaritzaren kargu-kenketa Euskal Hirigune Elkargoko gobernantza itunaren kontrakoa da. Lehendakariak berehala kendu dio ordezkaritza Etxelekuri, haren argudioak entzun gabe, eta sinatzaile ez diren auzapezen jarrera ezagutzen saiatu gabe.
**Nola?**: Hautetsiek salatu dute sei auzapezek Etxelekuren kontra gutun bat idaztearen "printzipioa" bera, eta baita Etxegarairen "presakako eta errekurtsorik gabeko" erabakia ere.</t>
    </r>
  </si>
  <si>
    <t>Peio Etxelekuri lurralde eremuko ordezkaritza kendu izana kritikatu dute Errobiko bederatzi hautetsik. Hautetsi horiek Etxegarairen erabakia eta sei auzapezen jarrera salatu dituzte.</t>
  </si>
  <si>
    <t xml:space="preserve">Eusko Ikaskuntzak iragarri duenez, Itziar Lakari emango diote Eusko Ikaskuntza-Laboral Kutxaren Humanitateen, Kulturaren, Arteen eta Gizarte Zientzien Saria. </t>
  </si>
  <si>
    <r>
      <rPr>
        <rFont val="Arial"/>
        <color rgb="FF666666"/>
        <sz val="9.0"/>
      </rPr>
      <t>5W1H metodoa erabiliz, laburpena honela egin daiteke:</t>
    </r>
    <r>
      <rPr>
        <rFont val="Arial"/>
        <color theme="1"/>
        <sz val="9.0"/>
      </rPr>
      <t xml:space="preserve">
* **Zer:** Itziar Lakari Eusko Ikaskuntza-Laboral Kutxaren Humanitateen, Kulturaren, Arteen eta Gizarte Zientzien Saria </t>
    </r>
    <r>
      <rPr>
        <rFont val="Arial"/>
        <strike/>
        <color theme="1"/>
        <sz val="9.0"/>
      </rPr>
      <t>eman diote</t>
    </r>
    <r>
      <rPr>
        <rFont val="Arial"/>
        <color theme="1"/>
        <sz val="9.0"/>
      </rPr>
      <t>.
* **Nork:** Eusko Ikaskuntzak ematen du saria.
* **Noiz:** Ez da zehaztu noiz emango den saria, baina Itziar Lakaren ibilbide osoa saritua izan da.
* **Non:** Ez da zehaztu non emango den saria.
* **Zergatik:** Itziar Lakak euskararen garapenerako eta hizkuntza gaitasunak gobernatzen dituzten mekanismoetan sakontzeko egindako ekarpen berritzaileengatik.
* **Nola:** Lakak hizkuntzalaritza esperimental eta neurohizkuntzalaritzan egindako lanagatik, eta euskararen sustapenaren alde egindako lanagatik.</t>
    </r>
  </si>
  <si>
    <r>
      <rPr>
        <rFont val="Arial"/>
        <color theme="1"/>
        <sz val="9.0"/>
      </rPr>
      <t xml:space="preserve">Itziar Laka hizkuntzalariak Eusko Ikaskuntza-Laboral Kutxaren Humanitateen Saria </t>
    </r>
    <r>
      <rPr>
        <rFont val="Arial"/>
        <strike/>
        <color theme="1"/>
        <sz val="9.0"/>
      </rPr>
      <t>jaso du</t>
    </r>
    <r>
      <rPr>
        <rFont val="Arial"/>
        <color theme="1"/>
        <sz val="9.0"/>
      </rPr>
      <t xml:space="preserve"> euskararen garapenean eta hizkuntzalaritzan egindako ekarpenengatik.</t>
    </r>
  </si>
  <si>
    <r>
      <rPr>
        <rFont val="Arial"/>
        <color theme="1"/>
        <sz val="9.0"/>
      </rPr>
      <t xml:space="preserve">Arabako Foru Aldundiak emakumeen sexu indarkeriaren biktimei laguntzeko zentro berri bat zabaldu du, Tximeletak </t>
    </r>
    <r>
      <rPr>
        <rFont val="Arial"/>
        <color rgb="FFFF0000"/>
        <sz val="9.0"/>
      </rPr>
      <t>izenekoan</t>
    </r>
    <r>
      <rPr>
        <rFont val="Arial"/>
        <color theme="1"/>
        <sz val="9.0"/>
      </rPr>
      <t xml:space="preserve">. Zentro honek 24 orduz eta </t>
    </r>
    <r>
      <rPr>
        <rFont val="Arial"/>
        <strike/>
        <color theme="1"/>
        <sz val="9.0"/>
      </rPr>
      <t>urtean zehar</t>
    </r>
    <r>
      <rPr>
        <rFont val="Arial"/>
        <color theme="1"/>
        <sz val="9.0"/>
      </rPr>
      <t xml:space="preserve"> emakumeak artatzeko eskaintza integrala eskainiko du, krisi eta larrialdi egoeretan. Zentroan profesional talde batek aurrez aurreko laguntza eskainiko dio biktimari, arreta psikologikoa eta aholkularitza juridikoa barne. Gainera, biktimen lehengoratze integrala sustatuko dute, informazioa, aholkularitza eta arreta soziala, juridikoa eta psikologikoa eskainita.</t>
    </r>
  </si>
  <si>
    <t>Tximeletak zentroa Arabako Foru Aldundiak ireki du, sexu indarkeria jasaten duten emakumeei arreta integrala emateko. Zentroan, profesional talde batek aurrez aurreko laguntza eskainiko dio biktimari krisi eta larrialdi egoeretan, arreta psikologikoa eta aholkularitza juridikoa barne.</t>
  </si>
  <si>
    <r>
      <rPr>
        <rFont val="Arial"/>
        <color rgb="FF666666"/>
        <sz val="9.0"/>
      </rPr>
      <t>Hona hemen testuaren laburpena 5W1H metodoaren arabera:</t>
    </r>
    <r>
      <rPr>
        <rFont val="Arial"/>
        <color theme="1"/>
        <sz val="9.0"/>
      </rPr>
      <t xml:space="preserve">
* Zer: Arabako Foru Aldundiak sexu indarkeriaren biktimei arreta integrala emateko zentro bat zabaldu du, Tximeletak izenekoa.
* Nork: Gorka Urtaran Gizarte Politiketarako diputatuak eta Maika Diez Bermejo Esku Hartze Sozialeko zuzendariorde teknikoak eman dituzte zentro berriaren xehetasunak.
* Noiz: Apirilaren 19tik dago martxan.
* Non: Gasteizko erdigunean, baina ez dute zehaztu non dagoen, erabiltzaileen konfidentzialtasuna bermatze aldera.
* Zergatik: Sexu indarkeria nozitu duten emakumeei eta haien gertukoei arreta integrala emateko, eta biktimen lehengoratze psikologikoa sustatzeko.
* Nola: Aurrez aurre, telefonoz zein online, egunean 24 orduz eta urtean 365 egunez.</t>
    </r>
  </si>
  <si>
    <t>Arabako Foru Aldundiak Tximeletak deitutako zentroa zabaldu du, sexu indarkeriaren biktimei arreta integrala emateko. Zentroa Gasteizko erdigunean dago, baina kokapena ezkutuan gordetzen dute biktimen konfidentzialtasuna bermatzeko. Zentroan, psikologo, juristak eta beste profesional batzuek egun eta gau guztietan, urtean zehar, laguntza eskainiko diete biktimei, telefono eta online bidez.</t>
  </si>
  <si>
    <t xml:space="preserve"> model key</t>
  </si>
  <si>
    <t>prompt key</t>
  </si>
  <si>
    <t>PROMPTS</t>
  </si>
  <si>
    <t>Laburtu hurrengo testua.\n\n{text}</t>
  </si>
  <si>
    <t>Pentsatu ondo zein den hurrengo testuaren edukirik garrantzitsuena eta laburtu testua edukirik garrantzitsuena erabiliz.\n\n{text}</t>
  </si>
  <si>
    <t>Laburtu hurrengo testua, 5W1H metodoa erabiliz (zer, nork, noiz, non, zergatik, nola).\n\n{text}</t>
  </si>
  <si>
    <t>{text}\n\ntldr:</t>
  </si>
  <si>
    <t>HUMAN SUMMARIES</t>
  </si>
  <si>
    <t>Human-generated XLSum-like summary (i.e., the heading of the article)</t>
  </si>
  <si>
    <t>Summary generated manually by Jeremy</t>
  </si>
  <si>
    <t>Begoña</t>
  </si>
  <si>
    <t>Summary generated manually by Begoña</t>
  </si>
  <si>
    <t>Alba</t>
  </si>
  <si>
    <t>Summary generated manually by Alba</t>
  </si>
  <si>
    <t>Naiara</t>
  </si>
  <si>
    <t>Summary generated manually by Naiara</t>
  </si>
  <si>
    <t>ANNOTATION GUIDELINES</t>
  </si>
  <si>
    <t>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</si>
  <si>
    <t>The factual alignment between the summary and the summarized source. A factually consistent summary contains only statements that are entailed by the source document. Annotators were also asked to penalize summaries that contained hallucinated facts.</t>
  </si>
  <si>
    <t>The quality of individual sentences. Drawing again from the DUC quality guidelines, sentences in the summary "should have no formatting problems, capitalization errors or obviously ungrammatical sentences (e.g., fragments, missing components) that make the text difficult to read."</t>
  </si>
  <si>
    <t>Selection of important content from the source. The summary should include only important information from the source document.</t>
  </si>
  <si>
    <t>Selection of important content from the source. The summary should include ALL the important information from the source document (the important information being the 5W1H in the source).</t>
  </si>
  <si>
    <t>TEXT ANNOTATION KEY</t>
  </si>
  <si>
    <t>text</t>
  </si>
  <si>
    <t>model hallucination (penalizes consistency)</t>
  </si>
  <si>
    <t>model "hallucination" that introduces correct information</t>
  </si>
  <si>
    <t xml:space="preserve">"conversational" or "metalinguistic" model output that is not to be considered as part of the summary (e.g., "Here is the summary:", "This text is about...") </t>
  </si>
  <si>
    <t>what</t>
  </si>
  <si>
    <t>who</t>
  </si>
  <si>
    <t>when</t>
  </si>
  <si>
    <t>where</t>
  </si>
  <si>
    <t>why</t>
  </si>
  <si>
    <t>how</t>
  </si>
  <si>
    <t>El criterio 5W es importante para que quede claro que en los headings falta mucha información.</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</si>
</sst>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color theme="1"/>
      <name val="Arial"/>
      <scheme val="minor"/>
    </font>
    <font>
      <color theme="1"/>
      <name val="Arial"/>
      <scheme val="minor"/>
    </font>
    <font>
      <b/>
      <color rgb="FFFFFFFF"/>
      <name val="Arial"/>
      <scheme val="minor"/>
    </font>
    <font/>
    <font>
      <u/>
      <color rgb="FF0000FF"/>
    </font>
    <font>
      <u/>
      <color rgb="FF0000FF"/>
    </font>
    <font>
      <color theme="1"/>
      <name val="Arial"/>
    </font>
    <font>
      <sz val="9.0"/>
      <color rgb="FF4285F4"/>
      <name val="Arial"/>
      <scheme val="minor"/>
    </font>
    <font>
      <b/>
      <sz val="9.0"/>
      <color theme="1"/>
      <name val="Arial"/>
      <scheme val="minor"/>
    </font>
    <font>
      <b/>
      <sz val="9.0"/>
      <color theme="1"/>
      <name val="Arial"/>
    </font>
    <font>
      <b/>
      <u/>
      <color rgb="FF0000FF"/>
    </font>
    <font>
      <sz val="9.0"/>
      <color theme="1"/>
      <name val="Arial"/>
      <scheme val="minor"/>
    </font>
    <font>
      <b/>
      <u/>
      <color rgb="FF0000FF"/>
    </font>
    <font>
      <u/>
      <color rgb="FF0000FF"/>
    </font>
    <font>
      <i/>
      <color theme="1"/>
      <name val="Arial"/>
      <scheme val="minor"/>
    </font>
    <font>
      <b/>
      <color rgb="FFFFFFFF"/>
      <name val="Arial"/>
    </font>
    <font>
      <b/>
      <color theme="1"/>
      <name val="Arial"/>
    </font>
    <font>
      <b/>
      <strike/>
      <color theme="1"/>
      <name val="Arial"/>
    </font>
    <font>
      <b/>
      <u/>
      <color theme="1"/>
      <name val="Arial"/>
    </font>
    <font>
      <b/>
      <color rgb="FF999999"/>
      <name val="Arial"/>
    </font>
    <font>
      <b/>
      <color rgb="FF38761D"/>
      <name val="Arial"/>
    </font>
    <font>
      <b/>
      <color rgb="FFFF0000"/>
      <name val="Arial"/>
    </font>
    <font>
      <b/>
      <color rgb="FF4A86E8"/>
      <name val="Arial"/>
    </font>
    <font>
      <b/>
      <color rgb="FFFF9900"/>
      <name val="Arial"/>
    </font>
    <font>
      <b/>
      <color rgb="FF674EA7"/>
      <name val="Arial"/>
    </font>
    <font>
      <b/>
      <color rgb="FFBF9000"/>
      <name val="Arial"/>
    </font>
  </fonts>
  <fills count="24">
    <fill>
      <patternFill patternType="none"/>
    </fill>
    <fill>
      <patternFill patternType="lightGray"/>
    </fill>
    <fill>
      <patternFill patternType="solid">
        <fgColor rgb="FF000000"/>
        <bgColor rgb="FF000000"/>
      </patternFill>
    </fill>
    <fill>
      <patternFill patternType="solid">
        <fgColor rgb="FFFFFBFB"/>
        <bgColor rgb="FFFFFBFB"/>
      </patternFill>
    </fill>
    <fill>
      <patternFill patternType="solid">
        <fgColor rgb="FFFFFFFF"/>
        <bgColor rgb="FFFFFFFF"/>
      </patternFill>
    </fill>
    <fill>
      <patternFill patternType="solid">
        <fgColor rgb="FFFEFAF9"/>
        <bgColor rgb="FFFEFAF9"/>
      </patternFill>
    </fill>
    <fill>
      <patternFill patternType="solid">
        <fgColor rgb="FFFDF2F0"/>
        <bgColor rgb="FFFDF2F0"/>
      </patternFill>
    </fill>
    <fill>
      <patternFill patternType="solid">
        <fgColor rgb="FFFDF4F3"/>
        <bgColor rgb="FFFDF4F3"/>
      </patternFill>
    </fill>
    <fill>
      <patternFill patternType="solid">
        <fgColor rgb="FFFCEEED"/>
        <bgColor rgb="FFFCEEED"/>
      </patternFill>
    </fill>
    <fill>
      <patternFill patternType="solid">
        <fgColor rgb="FFFCECEB"/>
        <bgColor rgb="FFFCECEB"/>
      </patternFill>
    </fill>
    <fill>
      <patternFill patternType="solid">
        <fgColor rgb="FFFBE7E5"/>
        <bgColor rgb="FFFBE7E5"/>
      </patternFill>
    </fill>
    <fill>
      <patternFill patternType="solid">
        <fgColor rgb="FFFCEDEC"/>
        <bgColor rgb="FFFCEDEC"/>
      </patternFill>
    </fill>
    <fill>
      <patternFill patternType="solid">
        <fgColor rgb="FFFCEAE9"/>
        <bgColor rgb="FFFCEAE9"/>
      </patternFill>
    </fill>
    <fill>
      <patternFill patternType="solid">
        <fgColor rgb="FFFBE5E3"/>
        <bgColor rgb="FFFBE5E3"/>
      </patternFill>
    </fill>
    <fill>
      <patternFill patternType="solid">
        <fgColor rgb="FFF4C3BE"/>
        <bgColor rgb="FFF4C3BE"/>
      </patternFill>
    </fill>
    <fill>
      <patternFill patternType="solid">
        <fgColor rgb="FFF9DCD9"/>
        <bgColor rgb="FFF9DCD9"/>
      </patternFill>
    </fill>
    <fill>
      <patternFill patternType="solid">
        <fgColor rgb="FFF0ADA7"/>
        <bgColor rgb="FFF0ADA7"/>
      </patternFill>
    </fill>
    <fill>
      <patternFill patternType="solid">
        <fgColor rgb="FFF8D5D2"/>
        <bgColor rgb="FFF8D5D2"/>
      </patternFill>
    </fill>
    <fill>
      <patternFill patternType="solid">
        <fgColor rgb="FFF8D7D4"/>
        <bgColor rgb="FFF8D7D4"/>
      </patternFill>
    </fill>
    <fill>
      <patternFill patternType="solid">
        <fgColor rgb="FFF7D2CF"/>
        <bgColor rgb="FFF7D2CF"/>
      </patternFill>
    </fill>
    <fill>
      <patternFill patternType="solid">
        <fgColor rgb="FFF8D8D5"/>
        <bgColor rgb="FFF8D8D5"/>
      </patternFill>
    </fill>
    <fill>
      <patternFill patternType="solid">
        <fgColor rgb="FFF6CAC6"/>
        <bgColor rgb="FFF6CAC6"/>
      </patternFill>
    </fill>
    <fill>
      <patternFill patternType="solid">
        <fgColor rgb="FFF5C8C4"/>
        <bgColor rgb="FFF5C8C4"/>
      </patternFill>
    </fill>
    <fill>
      <patternFill patternType="solid">
        <fgColor rgb="FFF9DFDC"/>
        <bgColor rgb="FFF9DFDC"/>
      </patternFill>
    </fill>
  </fills>
  <borders count="16">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ck">
        <color rgb="FF000000"/>
      </left>
    </border>
    <border>
      <right style="thick">
        <color rgb="FF000000"/>
      </right>
    </border>
    <border>
      <bottom style="double">
        <color rgb="FF000000"/>
      </bottom>
    </border>
    <border>
      <top style="double">
        <color rgb="FF000000"/>
      </top>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top"/>
    </xf>
    <xf borderId="0" fillId="0" fontId="2" numFmtId="0" xfId="0" applyAlignment="1" applyFont="1">
      <alignment horizontal="center"/>
    </xf>
    <xf borderId="0" fillId="0" fontId="1" numFmtId="0" xfId="0" applyAlignment="1" applyFont="1">
      <alignment horizontal="center"/>
    </xf>
    <xf borderId="0" fillId="0" fontId="1" numFmtId="2"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readingOrder="0" vertical="top"/>
    </xf>
    <xf borderId="0" fillId="0" fontId="2" numFmtId="9" xfId="0" applyFont="1" applyNumberFormat="1"/>
    <xf borderId="0" fillId="0" fontId="2" numFmtId="4" xfId="0" applyFont="1" applyNumberFormat="1"/>
    <xf borderId="0" fillId="0" fontId="2" numFmtId="2" xfId="0" applyFont="1" applyNumberFormat="1"/>
    <xf borderId="0" fillId="0" fontId="2" numFmtId="0" xfId="0" applyFont="1"/>
    <xf borderId="1" fillId="2" fontId="3" numFmtId="0" xfId="0" applyAlignment="1" applyBorder="1" applyFill="1" applyFont="1">
      <alignment horizontal="center" readingOrder="0"/>
    </xf>
    <xf borderId="2" fillId="2" fontId="3" numFmtId="0" xfId="0" applyAlignment="1" applyBorder="1" applyFont="1">
      <alignment horizontal="center" readingOrder="0"/>
    </xf>
    <xf borderId="2" fillId="0" fontId="4" numFmtId="0" xfId="0" applyBorder="1" applyFont="1"/>
    <xf borderId="3" fillId="0" fontId="4" numFmtId="0" xfId="0" applyBorder="1" applyFont="1"/>
    <xf borderId="4" fillId="0" fontId="5" numFmtId="0" xfId="0" applyAlignment="1" applyBorder="1" applyFont="1">
      <alignment horizontal="right"/>
    </xf>
    <xf borderId="5" fillId="0" fontId="2" numFmtId="0" xfId="0" applyAlignment="1" applyBorder="1" applyFont="1">
      <alignment horizontal="center" readingOrder="0"/>
    </xf>
    <xf borderId="5" fillId="0" fontId="2" numFmtId="0" xfId="0" applyBorder="1" applyFont="1"/>
    <xf borderId="5" fillId="0" fontId="2" numFmtId="9" xfId="0" applyBorder="1" applyFont="1" applyNumberFormat="1"/>
    <xf borderId="5" fillId="0" fontId="2" numFmtId="4" xfId="0" applyBorder="1" applyFont="1" applyNumberFormat="1"/>
    <xf borderId="6" fillId="0" fontId="2" numFmtId="0" xfId="0" applyAlignment="1" applyBorder="1" applyFont="1">
      <alignment horizontal="center" readingOrder="0"/>
    </xf>
    <xf borderId="7" fillId="0" fontId="6" numFmtId="0" xfId="0" applyAlignment="1" applyBorder="1" applyFont="1">
      <alignment horizontal="right"/>
    </xf>
    <xf borderId="8" fillId="0" fontId="2" numFmtId="0" xfId="0" applyAlignment="1" applyBorder="1" applyFont="1">
      <alignment horizontal="center" readingOrder="0"/>
    </xf>
    <xf borderId="7" fillId="0" fontId="2" numFmtId="0" xfId="0" applyAlignment="1" applyBorder="1" applyFont="1">
      <alignment horizontal="right"/>
    </xf>
    <xf borderId="0" fillId="0" fontId="2" numFmtId="0" xfId="0" applyAlignment="1" applyFont="1">
      <alignment horizontal="right"/>
    </xf>
    <xf borderId="4" fillId="0" fontId="2" numFmtId="0" xfId="0" applyAlignment="1" applyBorder="1" applyFont="1">
      <alignment horizontal="center" readingOrder="0"/>
    </xf>
    <xf borderId="6" fillId="0" fontId="7" numFmtId="0" xfId="0" applyAlignment="1" applyBorder="1" applyFont="1">
      <alignment horizontal="center" vertical="bottom"/>
    </xf>
    <xf borderId="7" fillId="0" fontId="2" numFmtId="0" xfId="0" applyAlignment="1" applyBorder="1" applyFont="1">
      <alignment horizontal="center" readingOrder="0"/>
    </xf>
    <xf borderId="8" fillId="0" fontId="7" numFmtId="0" xfId="0" applyAlignment="1" applyBorder="1" applyFont="1">
      <alignment horizontal="center" vertical="bottom"/>
    </xf>
    <xf borderId="9" fillId="0" fontId="2" numFmtId="0" xfId="0" applyAlignment="1" applyBorder="1" applyFont="1">
      <alignment horizontal="center" readingOrder="0"/>
    </xf>
    <xf borderId="10" fillId="0" fontId="2" numFmtId="0" xfId="0" applyAlignment="1" applyBorder="1" applyFont="1">
      <alignment horizontal="center" readingOrder="0"/>
    </xf>
    <xf borderId="10" fillId="0" fontId="2" numFmtId="0" xfId="0" applyBorder="1" applyFont="1"/>
    <xf borderId="10" fillId="0" fontId="2" numFmtId="9" xfId="0" applyBorder="1" applyFont="1" applyNumberFormat="1"/>
    <xf borderId="10" fillId="0" fontId="2" numFmtId="4" xfId="0" applyBorder="1" applyFont="1" applyNumberFormat="1"/>
    <xf borderId="11" fillId="0" fontId="7" numFmtId="0" xfId="0" applyAlignment="1" applyBorder="1" applyFont="1">
      <alignment horizontal="center" vertical="bottom"/>
    </xf>
    <xf borderId="4" fillId="0" fontId="2" numFmtId="0" xfId="0" applyBorder="1" applyFont="1"/>
    <xf borderId="5" fillId="0" fontId="2" numFmtId="0" xfId="0" applyAlignment="1" applyBorder="1" applyFont="1">
      <alignment horizontal="center" readingOrder="0" vertical="top"/>
    </xf>
    <xf borderId="5" fillId="0" fontId="2" numFmtId="2" xfId="0" applyBorder="1" applyFont="1" applyNumberFormat="1"/>
    <xf borderId="7" fillId="0" fontId="2" numFmtId="0" xfId="0" applyBorder="1" applyFont="1"/>
    <xf borderId="9" fillId="0" fontId="2" numFmtId="0" xfId="0" applyBorder="1" applyFont="1"/>
    <xf borderId="10" fillId="0" fontId="2" numFmtId="0" xfId="0" applyAlignment="1" applyBorder="1" applyFont="1">
      <alignment horizontal="center" readingOrder="0" vertical="top"/>
    </xf>
    <xf borderId="10" fillId="0" fontId="2" numFmtId="2" xfId="0" applyBorder="1" applyFont="1" applyNumberFormat="1"/>
    <xf borderId="12" fillId="2" fontId="3" numFmtId="0" xfId="0" applyAlignment="1" applyBorder="1" applyFont="1">
      <alignment horizontal="center" readingOrder="0"/>
    </xf>
    <xf borderId="0" fillId="2" fontId="3" numFmtId="0" xfId="0" applyAlignment="1" applyFont="1">
      <alignment horizontal="center" readingOrder="0"/>
    </xf>
    <xf borderId="13" fillId="0" fontId="4" numFmtId="0" xfId="0" applyBorder="1" applyFont="1"/>
    <xf borderId="6" fillId="0" fontId="2" numFmtId="2" xfId="0" applyBorder="1" applyFont="1" applyNumberFormat="1"/>
    <xf borderId="8" fillId="0" fontId="2" numFmtId="2" xfId="0" applyBorder="1" applyFont="1" applyNumberFormat="1"/>
    <xf borderId="11" fillId="0" fontId="2" numFmtId="2" xfId="0" applyBorder="1" applyFont="1" applyNumberFormat="1"/>
    <xf borderId="0" fillId="0" fontId="8" numFmtId="0" xfId="0" applyFont="1"/>
    <xf borderId="0" fillId="0" fontId="9" numFmtId="0" xfId="0" applyAlignment="1" applyFont="1">
      <alignment horizontal="center" readingOrder="0" shrinkToFit="0" vertical="top" wrapText="1"/>
    </xf>
    <xf borderId="0" fillId="0" fontId="10" numFmtId="0" xfId="0" applyAlignment="1" applyFont="1">
      <alignment horizontal="center" shrinkToFit="0" vertical="top" wrapText="1"/>
    </xf>
    <xf borderId="0" fillId="0" fontId="1" numFmtId="0" xfId="0" applyAlignment="1" applyFont="1">
      <alignment horizontal="center" vertical="top"/>
    </xf>
    <xf borderId="0" fillId="0" fontId="11" numFmtId="0" xfId="0" applyAlignment="1" applyFont="1">
      <alignment horizontal="center" readingOrder="0" shrinkToFit="0" textRotation="90" vertical="center" wrapText="1"/>
    </xf>
    <xf borderId="0" fillId="0" fontId="2" numFmtId="0" xfId="0" applyAlignment="1" applyFont="1">
      <alignment readingOrder="0" shrinkToFit="0" vertical="top" wrapText="1"/>
    </xf>
    <xf borderId="0" fillId="0" fontId="12" numFmtId="0" xfId="0" applyAlignment="1" applyFont="1">
      <alignment readingOrder="0" shrinkToFit="0" vertical="top" wrapText="1"/>
    </xf>
    <xf borderId="0" fillId="3" fontId="7" numFmtId="9" xfId="0" applyAlignment="1" applyFill="1" applyFont="1" applyNumberFormat="1">
      <alignment horizontal="right" vertical="top"/>
    </xf>
    <xf borderId="0" fillId="0" fontId="2" numFmtId="0" xfId="0" applyAlignment="1" applyFont="1">
      <alignment vertical="top"/>
    </xf>
    <xf borderId="0" fillId="4" fontId="7" numFmtId="9" xfId="0" applyAlignment="1" applyFill="1" applyFont="1" applyNumberFormat="1">
      <alignment horizontal="right" vertical="top"/>
    </xf>
    <xf borderId="0" fillId="0" fontId="2" numFmtId="0" xfId="0" applyAlignment="1" applyFont="1">
      <alignment horizontal="center" vertical="top"/>
    </xf>
    <xf borderId="0" fillId="0" fontId="12" numFmtId="0" xfId="0" applyAlignment="1" applyFont="1">
      <alignment shrinkToFit="0" vertical="top" wrapText="1"/>
    </xf>
    <xf borderId="14" fillId="0" fontId="7" numFmtId="0" xfId="0" applyAlignment="1" applyBorder="1" applyFont="1">
      <alignment vertical="top"/>
    </xf>
    <xf borderId="15" fillId="0" fontId="13" numFmtId="0" xfId="0" applyAlignment="1" applyBorder="1" applyFont="1">
      <alignment horizontal="center" readingOrder="0" textRotation="90" vertical="center"/>
    </xf>
    <xf borderId="15" fillId="0" fontId="2" numFmtId="0" xfId="0" applyAlignment="1" applyBorder="1" applyFont="1">
      <alignment readingOrder="0" shrinkToFit="0" vertical="top" wrapText="1"/>
    </xf>
    <xf borderId="15" fillId="0" fontId="2" numFmtId="0" xfId="0" applyAlignment="1" applyBorder="1" applyFont="1">
      <alignment horizontal="center" readingOrder="0" vertical="top"/>
    </xf>
    <xf borderId="15" fillId="0" fontId="12" numFmtId="0" xfId="0" applyAlignment="1" applyBorder="1" applyFont="1">
      <alignment readingOrder="0" shrinkToFit="0" vertical="top" wrapText="1"/>
    </xf>
    <xf borderId="0" fillId="5" fontId="7" numFmtId="9" xfId="0" applyAlignment="1" applyFill="1" applyFont="1" applyNumberFormat="1">
      <alignment horizontal="right" vertical="top"/>
    </xf>
    <xf borderId="15" fillId="0" fontId="2" numFmtId="0" xfId="0" applyAlignment="1" applyBorder="1" applyFont="1">
      <alignment vertical="top"/>
    </xf>
    <xf borderId="0" fillId="6" fontId="7" numFmtId="9" xfId="0" applyAlignment="1" applyFill="1" applyFont="1" applyNumberFormat="1">
      <alignment horizontal="right" vertical="top"/>
    </xf>
    <xf borderId="0" fillId="7" fontId="7" numFmtId="9" xfId="0" applyAlignment="1" applyFill="1" applyFont="1" applyNumberFormat="1">
      <alignment horizontal="right" vertical="top"/>
    </xf>
    <xf borderId="0" fillId="8" fontId="7" numFmtId="9" xfId="0" applyAlignment="1" applyFill="1" applyFont="1" applyNumberFormat="1">
      <alignment horizontal="right" vertical="top"/>
    </xf>
    <xf borderId="0" fillId="0" fontId="7" numFmtId="0" xfId="0" applyAlignment="1" applyFont="1">
      <alignment vertical="top"/>
    </xf>
    <xf borderId="0" fillId="0" fontId="9" numFmtId="0" xfId="0" applyAlignment="1" applyFont="1">
      <alignment horizontal="center" readingOrder="0" shrinkToFit="0" vertical="top" wrapText="1"/>
    </xf>
    <xf borderId="0" fillId="0" fontId="12" numFmtId="0" xfId="0" applyAlignment="1" applyFont="1">
      <alignment readingOrder="0" shrinkToFit="0" vertical="top" wrapText="1"/>
    </xf>
    <xf borderId="0" fillId="9" fontId="7" numFmtId="9" xfId="0" applyAlignment="1" applyFill="1" applyFont="1" applyNumberFormat="1">
      <alignment horizontal="right" vertical="top"/>
    </xf>
    <xf borderId="0" fillId="10" fontId="7" numFmtId="9" xfId="0" applyAlignment="1" applyFill="1" applyFont="1" applyNumberFormat="1">
      <alignment horizontal="right" vertical="top"/>
    </xf>
    <xf borderId="0" fillId="11" fontId="7" numFmtId="9" xfId="0" applyAlignment="1" applyFill="1" applyFont="1" applyNumberFormat="1">
      <alignment horizontal="right" vertical="top"/>
    </xf>
    <xf borderId="0" fillId="0" fontId="12" numFmtId="0" xfId="0" applyAlignment="1" applyFont="1">
      <alignment shrinkToFit="0" vertical="top" wrapText="1"/>
    </xf>
    <xf borderId="15" fillId="0" fontId="12" numFmtId="0" xfId="0" applyAlignment="1" applyBorder="1" applyFont="1">
      <alignment readingOrder="0" shrinkToFit="0" vertical="top" wrapText="1"/>
    </xf>
    <xf borderId="0" fillId="12" fontId="7" numFmtId="9" xfId="0" applyAlignment="1" applyFill="1" applyFont="1" applyNumberFormat="1">
      <alignment horizontal="right" vertical="top"/>
    </xf>
    <xf borderId="0" fillId="13" fontId="7" numFmtId="9" xfId="0" applyAlignment="1" applyFill="1" applyFont="1" applyNumberFormat="1">
      <alignment horizontal="right" vertical="top"/>
    </xf>
    <xf borderId="0" fillId="14" fontId="7" numFmtId="9" xfId="0" applyAlignment="1" applyFill="1" applyFont="1" applyNumberFormat="1">
      <alignment horizontal="right" vertical="top"/>
    </xf>
    <xf borderId="0" fillId="15" fontId="7" numFmtId="9" xfId="0" applyAlignment="1" applyFill="1" applyFont="1" applyNumberFormat="1">
      <alignment horizontal="right" vertical="top"/>
    </xf>
    <xf borderId="0" fillId="16" fontId="7" numFmtId="9" xfId="0" applyAlignment="1" applyFill="1" applyFont="1" applyNumberFormat="1">
      <alignment horizontal="right" vertical="top"/>
    </xf>
    <xf borderId="0" fillId="17" fontId="7" numFmtId="9" xfId="0" applyAlignment="1" applyFill="1" applyFont="1" applyNumberFormat="1">
      <alignment horizontal="right" vertical="top"/>
    </xf>
    <xf borderId="0" fillId="18" fontId="7" numFmtId="9" xfId="0" applyAlignment="1" applyFill="1" applyFont="1" applyNumberFormat="1">
      <alignment horizontal="right" vertical="top"/>
    </xf>
    <xf borderId="0" fillId="19" fontId="7" numFmtId="9" xfId="0" applyAlignment="1" applyFill="1" applyFont="1" applyNumberFormat="1">
      <alignment horizontal="right" vertical="top"/>
    </xf>
    <xf borderId="0" fillId="20" fontId="7" numFmtId="9" xfId="0" applyAlignment="1" applyFill="1" applyFont="1" applyNumberFormat="1">
      <alignment horizontal="right" vertical="top"/>
    </xf>
    <xf borderId="0" fillId="21" fontId="7" numFmtId="9" xfId="0" applyAlignment="1" applyFill="1" applyFont="1" applyNumberFormat="1">
      <alignment horizontal="right" vertical="top"/>
    </xf>
    <xf borderId="0" fillId="22" fontId="7" numFmtId="9" xfId="0" applyAlignment="1" applyFill="1" applyFont="1" applyNumberFormat="1">
      <alignment horizontal="right" vertical="top"/>
    </xf>
    <xf borderId="0" fillId="23" fontId="7" numFmtId="9" xfId="0" applyAlignment="1" applyFill="1" applyFont="1" applyNumberFormat="1">
      <alignment horizontal="right" vertical="top"/>
    </xf>
    <xf borderId="0" fillId="0" fontId="14" numFmtId="0" xfId="0" applyAlignment="1" applyFont="1">
      <alignment horizontal="right"/>
    </xf>
    <xf borderId="0" fillId="0" fontId="2" numFmtId="9" xfId="0" applyAlignment="1" applyFont="1" applyNumberFormat="1">
      <alignment horizontal="center"/>
    </xf>
    <xf borderId="0" fillId="0" fontId="15" numFmtId="0" xfId="0" applyAlignment="1" applyFont="1">
      <alignment horizontal="center" readingOrder="0"/>
    </xf>
    <xf borderId="0" fillId="2" fontId="16" numFmtId="0" xfId="0" applyAlignment="1" applyFont="1">
      <alignment vertical="top"/>
    </xf>
    <xf borderId="0" fillId="2" fontId="7" numFmtId="0" xfId="0" applyAlignment="1" applyFont="1">
      <alignment vertical="bottom"/>
    </xf>
    <xf borderId="0" fillId="2" fontId="7" numFmtId="0" xfId="0" applyAlignment="1" applyFont="1">
      <alignment vertical="bottom"/>
    </xf>
    <xf borderId="0" fillId="0" fontId="17" numFmtId="0" xfId="0" applyAlignment="1" applyFont="1">
      <alignment horizontal="center" vertical="top"/>
    </xf>
    <xf borderId="0" fillId="0" fontId="7" numFmtId="0" xfId="0" applyAlignment="1" applyFont="1">
      <alignment shrinkToFit="0" vertical="bottom" wrapText="0"/>
    </xf>
    <xf borderId="0" fillId="0" fontId="7" numFmtId="0" xfId="0" applyAlignment="1" applyFont="1">
      <alignment vertical="bottom"/>
    </xf>
    <xf borderId="0" fillId="0" fontId="17" numFmtId="0" xfId="0" applyAlignment="1" applyFont="1">
      <alignment horizontal="center" vertical="top"/>
    </xf>
    <xf borderId="0" fillId="2" fontId="16" numFmtId="0" xfId="0" applyAlignment="1" applyFont="1">
      <alignment shrinkToFit="0" vertical="top" wrapText="0"/>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17" numFmtId="0" xfId="0" applyAlignment="1" applyFont="1">
      <alignment horizontal="center" vertical="bottom"/>
    </xf>
    <xf borderId="0" fillId="0" fontId="18" numFmtId="0" xfId="0" applyAlignment="1" applyFont="1">
      <alignment horizontal="center" vertical="bottom"/>
    </xf>
    <xf borderId="0" fillId="0" fontId="19" numFmtId="0" xfId="0" applyAlignment="1" applyFont="1">
      <alignment horizontal="center" vertical="bottom"/>
    </xf>
    <xf borderId="0" fillId="0" fontId="20" numFmtId="0" xfId="0" applyAlignment="1" applyFont="1">
      <alignment horizontal="center" vertical="bottom"/>
    </xf>
    <xf borderId="0" fillId="0" fontId="21" numFmtId="0" xfId="0" applyAlignment="1" applyFont="1">
      <alignment horizontal="center" vertical="bottom"/>
    </xf>
    <xf borderId="0" fillId="0" fontId="22" numFmtId="0" xfId="0" applyAlignment="1" applyFont="1">
      <alignment horizontal="center" vertical="bottom"/>
    </xf>
    <xf borderId="0" fillId="0" fontId="23" numFmtId="0" xfId="0" applyAlignment="1" applyFont="1">
      <alignment horizontal="center" vertical="bottom"/>
    </xf>
    <xf borderId="0" fillId="0" fontId="24" numFmtId="0" xfId="0" applyAlignment="1" applyFont="1">
      <alignment horizontal="center" vertical="bottom"/>
    </xf>
    <xf borderId="0" fillId="0" fontId="25" numFmtId="0" xfId="0" applyAlignment="1" applyFont="1">
      <alignment horizontal="center" vertical="bottom"/>
    </xf>
    <xf borderId="0" fillId="0" fontId="26" numFmtId="0" xfId="0" applyAlignment="1" applyFont="1">
      <alignment horizontal="center" vertical="bottom"/>
    </xf>
    <xf borderId="0" fillId="0" fontId="2" numFmtId="0" xfId="0" applyAlignment="1" applyFont="1">
      <alignment readingOrder="0"/>
    </xf>
  </cellXfs>
  <cellStyles count="1">
    <cellStyle xfId="0" name="Normal" builtinId="0"/>
  </cellStyles>
  <dxfs count="1">
    <dxf>
      <font>
        <b/>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3.xml"/><Relationship Id="rId8"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4.xml"/><Relationship Id="rId8"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5.xml"/><Relationship Id="rId8"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6.xml"/><Relationship Id="rId8"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7.xml"/><Relationship Id="rId8"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hidden="1" min="1" max="1" width="14.88"/>
    <col customWidth="1" min="2" max="2" width="14.88"/>
    <col customWidth="1" min="13" max="18" width="7.63"/>
  </cols>
  <sheetData>
    <row r="1">
      <c r="A1" s="1" t="s">
        <v>0</v>
      </c>
      <c r="B1" s="1" t="s">
        <v>1</v>
      </c>
      <c r="C1" s="1" t="s">
        <v>2</v>
      </c>
      <c r="D1" s="1" t="s">
        <v>3</v>
      </c>
      <c r="E1" s="2" t="s">
        <v>4</v>
      </c>
      <c r="F1" s="2" t="s">
        <v>5</v>
      </c>
      <c r="G1" s="2" t="s">
        <v>6</v>
      </c>
      <c r="H1" s="2" t="s">
        <v>7</v>
      </c>
      <c r="I1" s="2" t="s">
        <v>8</v>
      </c>
      <c r="J1" s="1" t="s">
        <v>9</v>
      </c>
      <c r="K1" s="2" t="s">
        <v>10</v>
      </c>
      <c r="L1" s="3"/>
      <c r="M1" s="4"/>
      <c r="N1" s="5" t="s">
        <v>3</v>
      </c>
      <c r="O1" s="2" t="s">
        <v>11</v>
      </c>
      <c r="P1" s="2" t="s">
        <v>12</v>
      </c>
      <c r="Q1" s="2" t="s">
        <v>13</v>
      </c>
      <c r="R1" s="2" t="s">
        <v>14</v>
      </c>
    </row>
    <row r="2">
      <c r="A2" s="6"/>
      <c r="B2" s="6" t="s">
        <v>15</v>
      </c>
      <c r="C2" s="7" t="s">
        <v>16</v>
      </c>
      <c r="D2" s="8">
        <f>IFERROR(__xludf.DUMMYFUNCTION("AVERAGE(FILTER('__flatlist__'!D$2:D1006,('__flatlist__'!$B$2:$B1006=$B2),('__flatlist__'!$C$2:$C1006=$C2)))"),0.10611324480869685)</f>
        <v>0.1061132448</v>
      </c>
      <c r="E2" s="9">
        <f>IFERROR(__xludf.DUMMYFUNCTION("AVERAGE(FILTER('__flatlist__'!E$2:E1006,('__flatlist__'!$B$2:$B1006=$B2),('__flatlist__'!$C$2:$C1006=$C2)))"),4.0)</f>
        <v>4</v>
      </c>
      <c r="F2" s="9">
        <f>IFERROR(__xludf.DUMMYFUNCTION("AVERAGE(FILTER('__flatlist__'!F$2:F1006,('__flatlist__'!$B$2:$B1006=$B2),('__flatlist__'!$C$2:$C1006=$C2)))"),4.6)</f>
        <v>4.6</v>
      </c>
      <c r="G2" s="9">
        <f>IFERROR(__xludf.DUMMYFUNCTION("AVERAGE(FILTER('__flatlist__'!G$2:G1006,('__flatlist__'!$B$2:$B1006=$B2),('__flatlist__'!$C$2:$C1006=$C2)))"),4.8)</f>
        <v>4.8</v>
      </c>
      <c r="H2" s="9">
        <f>IFERROR(__xludf.DUMMYFUNCTION("AVERAGE(FILTER('__flatlist__'!H$2:H1006,('__flatlist__'!$B$2:$B1006=$B2),('__flatlist__'!$C$2:$C1006=$C2)))"),5.0)</f>
        <v>5</v>
      </c>
      <c r="I2" s="9">
        <f>IFERROR(__xludf.DUMMYFUNCTION("AVERAGE(FILTER('__flatlist__'!I$2:I1006,('__flatlist__'!$B$2:$B1006=$B2),('__flatlist__'!$C$2:$C1006=$C2)))"),2.8)</f>
        <v>2.8</v>
      </c>
      <c r="J2" s="9">
        <f t="shared" ref="J2:J19" si="1">AVERAGE(E2:I2)</f>
        <v>4.24</v>
      </c>
      <c r="K2" s="3"/>
      <c r="M2" s="2" t="s">
        <v>11</v>
      </c>
      <c r="N2" s="10">
        <f>correl('__flatlist__'!D:D,'__flatlist__'!E:E)</f>
        <v>-0.2085159253</v>
      </c>
      <c r="O2" s="10"/>
      <c r="P2" s="10"/>
      <c r="Q2" s="10"/>
      <c r="R2" s="10"/>
    </row>
    <row r="3">
      <c r="A3" s="6"/>
      <c r="B3" s="6" t="s">
        <v>15</v>
      </c>
      <c r="C3" s="7" t="s">
        <v>17</v>
      </c>
      <c r="D3" s="8">
        <f>IFERROR(__xludf.DUMMYFUNCTION("AVERAGE(FILTER('__flatlist__'!D$2:D1006,('__flatlist__'!$B$2:$B1006=$B3),('__flatlist__'!$C$2:$C1006=$C3)))"),0.004210988282637421)</f>
        <v>0.004210988283</v>
      </c>
      <c r="E3" s="9" t="str">
        <f>IFERROR(__xludf.DUMMYFUNCTION("AVERAGE(FILTER('__flatlist__'!E$2:E1006,('__flatlist__'!$B$2:$B1006=$B3),('__flatlist__'!$C$2:$C1006=$C3)))"),"#DIV/0!")</f>
        <v>#DIV/0!</v>
      </c>
      <c r="F3" s="9" t="str">
        <f>IFERROR(__xludf.DUMMYFUNCTION("AVERAGE(FILTER('__flatlist__'!F$2:F1006,('__flatlist__'!$B$2:$B1006=$B3),('__flatlist__'!$C$2:$C1006=$C3)))"),"#DIV/0!")</f>
        <v>#DIV/0!</v>
      </c>
      <c r="G3" s="9" t="str">
        <f>IFERROR(__xludf.DUMMYFUNCTION("AVERAGE(FILTER('__flatlist__'!G$2:G1006,('__flatlist__'!$B$2:$B1006=$B3),('__flatlist__'!$C$2:$C1006=$C3)))"),"#DIV/0!")</f>
        <v>#DIV/0!</v>
      </c>
      <c r="H3" s="9" t="str">
        <f>IFERROR(__xludf.DUMMYFUNCTION("AVERAGE(FILTER('__flatlist__'!H$2:H1006,('__flatlist__'!$B$2:$B1006=$B3),('__flatlist__'!$C$2:$C1006=$C3)))"),"#DIV/0!")</f>
        <v>#DIV/0!</v>
      </c>
      <c r="I3" s="9" t="str">
        <f>IFERROR(__xludf.DUMMYFUNCTION("AVERAGE(FILTER('__flatlist__'!I$2:I1006,('__flatlist__'!$B$2:$B1006=$B3),('__flatlist__'!$C$2:$C1006=$C3)))"),"#DIV/0!")</f>
        <v>#DIV/0!</v>
      </c>
      <c r="J3" s="11" t="str">
        <f t="shared" si="1"/>
        <v>#DIV/0!</v>
      </c>
      <c r="K3" s="3"/>
      <c r="M3" s="1" t="s">
        <v>12</v>
      </c>
      <c r="N3" s="10">
        <f>correl('__flatlist__'!D:D,'__flatlist__'!F:F)</f>
        <v>-0.3595894682</v>
      </c>
      <c r="O3" s="10">
        <f>correl('__flatlist__'!E:E,'__flatlist__'!F:F)</f>
        <v>0.3197311785</v>
      </c>
      <c r="P3" s="10"/>
      <c r="Q3" s="10"/>
      <c r="R3" s="10"/>
    </row>
    <row r="4">
      <c r="A4" s="6"/>
      <c r="B4" s="6" t="s">
        <v>18</v>
      </c>
      <c r="C4" s="7" t="s">
        <v>8</v>
      </c>
      <c r="D4" s="8">
        <f>IFERROR(__xludf.DUMMYFUNCTION("AVERAGE(FILTER('__flatlist__'!D$2:D1006,('__flatlist__'!$B$2:$B1006=$B4),('__flatlist__'!$C$2:$C1006=$C4)))"),0.6211152332383891)</f>
        <v>0.6211152332</v>
      </c>
      <c r="E4" s="9">
        <f>IFERROR(__xludf.DUMMYFUNCTION("AVERAGE(FILTER('__flatlist__'!E$2:E1006,('__flatlist__'!$B$2:$B1006=$B4),('__flatlist__'!$C$2:$C1006=$C4)))"),2.0)</f>
        <v>2</v>
      </c>
      <c r="F4" s="9">
        <f>IFERROR(__xludf.DUMMYFUNCTION("AVERAGE(FILTER('__flatlist__'!F$2:F1006,('__flatlist__'!$B$2:$B1006=$B4),('__flatlist__'!$C$2:$C1006=$C4)))"),4.6)</f>
        <v>4.6</v>
      </c>
      <c r="G4" s="9">
        <f>IFERROR(__xludf.DUMMYFUNCTION("AVERAGE(FILTER('__flatlist__'!G$2:G1006,('__flatlist__'!$B$2:$B1006=$B4),('__flatlist__'!$C$2:$C1006=$C4)))"),4.6)</f>
        <v>4.6</v>
      </c>
      <c r="H4" s="9">
        <f>IFERROR(__xludf.DUMMYFUNCTION("AVERAGE(FILTER('__flatlist__'!H$2:H1006,('__flatlist__'!$B$2:$B1006=$B4),('__flatlist__'!$C$2:$C1006=$C4)))"),2.8)</f>
        <v>2.8</v>
      </c>
      <c r="I4" s="9">
        <f>IFERROR(__xludf.DUMMYFUNCTION("AVERAGE(FILTER('__flatlist__'!I$2:I1006,('__flatlist__'!$B$2:$B1006=$B4),('__flatlist__'!$C$2:$C1006=$C4)))"),4.6)</f>
        <v>4.6</v>
      </c>
      <c r="J4" s="9">
        <f t="shared" si="1"/>
        <v>3.72</v>
      </c>
      <c r="K4" s="3">
        <f t="shared" ref="K4:K19" si="2">rank(J4,$J$4:$J$19,FALSE)</f>
        <v>10</v>
      </c>
      <c r="M4" s="1" t="s">
        <v>13</v>
      </c>
      <c r="N4" s="10">
        <f>correl('__flatlist__'!D:D,'__flatlist__'!G:G)</f>
        <v>-0.273886907</v>
      </c>
      <c r="O4" s="10">
        <f>correl('__flatlist__'!E:E,'__flatlist__'!G:G)</f>
        <v>0.2628607532</v>
      </c>
      <c r="P4" s="10">
        <f>correl('__flatlist__'!F:F,'__flatlist__'!G:G)</f>
        <v>0.4029843911</v>
      </c>
      <c r="Q4" s="10"/>
      <c r="R4" s="10"/>
    </row>
    <row r="5">
      <c r="A5" s="6"/>
      <c r="B5" s="6" t="s">
        <v>18</v>
      </c>
      <c r="C5" s="7" t="s">
        <v>19</v>
      </c>
      <c r="D5" s="8">
        <f>IFERROR(__xludf.DUMMYFUNCTION("AVERAGE(FILTER('__flatlist__'!D$2:D1006,('__flatlist__'!$B$2:$B1006=$B5),('__flatlist__'!$C$2:$C1006=$C5)))"),0.5394742875410594)</f>
        <v>0.5394742875</v>
      </c>
      <c r="E5" s="9">
        <f>IFERROR(__xludf.DUMMYFUNCTION("AVERAGE(FILTER('__flatlist__'!E$2:E1006,('__flatlist__'!$B$2:$B1006=$B5),('__flatlist__'!$C$2:$C1006=$C5)))"),2.8)</f>
        <v>2.8</v>
      </c>
      <c r="F5" s="9">
        <f>IFERROR(__xludf.DUMMYFUNCTION("AVERAGE(FILTER('__flatlist__'!F$2:F1006,('__flatlist__'!$B$2:$B1006=$B5),('__flatlist__'!$C$2:$C1006=$C5)))"),4.8)</f>
        <v>4.8</v>
      </c>
      <c r="G5" s="9">
        <f>IFERROR(__xludf.DUMMYFUNCTION("AVERAGE(FILTER('__flatlist__'!G$2:G1006,('__flatlist__'!$B$2:$B1006=$B5),('__flatlist__'!$C$2:$C1006=$C5)))"),5.0)</f>
        <v>5</v>
      </c>
      <c r="H5" s="9">
        <f>IFERROR(__xludf.DUMMYFUNCTION("AVERAGE(FILTER('__flatlist__'!H$2:H1006,('__flatlist__'!$B$2:$B1006=$B5),('__flatlist__'!$C$2:$C1006=$C5)))"),2.8)</f>
        <v>2.8</v>
      </c>
      <c r="I5" s="9">
        <f>IFERROR(__xludf.DUMMYFUNCTION("AVERAGE(FILTER('__flatlist__'!I$2:I1006,('__flatlist__'!$B$2:$B1006=$B5),('__flatlist__'!$C$2:$C1006=$C5)))"),4.8)</f>
        <v>4.8</v>
      </c>
      <c r="J5" s="9">
        <f t="shared" si="1"/>
        <v>4.04</v>
      </c>
      <c r="K5" s="3">
        <f t="shared" si="2"/>
        <v>6</v>
      </c>
      <c r="M5" s="1" t="s">
        <v>14</v>
      </c>
      <c r="N5" s="10">
        <f>correl('__flatlist__'!D:D,'__flatlist__'!H:H)</f>
        <v>-0.5901518886</v>
      </c>
      <c r="O5" s="10">
        <f>correl('__flatlist__'!E:E,'__flatlist__'!H:H)</f>
        <v>0.2629123913</v>
      </c>
      <c r="P5" s="10">
        <f>correl('__flatlist__'!F:F,'__flatlist__'!H:H)</f>
        <v>0.224919644</v>
      </c>
      <c r="Q5" s="10">
        <f>correl('__flatlist__'!G:G,'__flatlist__'!H:H)</f>
        <v>0.1862008378</v>
      </c>
      <c r="R5" s="10"/>
    </row>
    <row r="6">
      <c r="A6" s="6"/>
      <c r="B6" s="6" t="s">
        <v>18</v>
      </c>
      <c r="C6" s="7" t="s">
        <v>20</v>
      </c>
      <c r="D6" s="8">
        <f>IFERROR(__xludf.DUMMYFUNCTION("AVERAGE(FILTER('__flatlist__'!D$2:D1006,('__flatlist__'!$B$2:$B1006=$B6),('__flatlist__'!$C$2:$C1006=$C6)))"),0.31172212307120545)</f>
        <v>0.3117221231</v>
      </c>
      <c r="E6" s="9">
        <f>IFERROR(__xludf.DUMMYFUNCTION("AVERAGE(FILTER('__flatlist__'!E$2:E1006,('__flatlist__'!$B$2:$B1006=$B6),('__flatlist__'!$C$2:$C1006=$C6)))"),4.0)</f>
        <v>4</v>
      </c>
      <c r="F6" s="9">
        <f>IFERROR(__xludf.DUMMYFUNCTION("AVERAGE(FILTER('__flatlist__'!F$2:F1006,('__flatlist__'!$B$2:$B1006=$B6),('__flatlist__'!$C$2:$C1006=$C6)))"),4.8)</f>
        <v>4.8</v>
      </c>
      <c r="G6" s="9">
        <f>IFERROR(__xludf.DUMMYFUNCTION("AVERAGE(FILTER('__flatlist__'!G$2:G1006,('__flatlist__'!$B$2:$B1006=$B6),('__flatlist__'!$C$2:$C1006=$C6)))"),4.4)</f>
        <v>4.4</v>
      </c>
      <c r="H6" s="9">
        <f>IFERROR(__xludf.DUMMYFUNCTION("AVERAGE(FILTER('__flatlist__'!H$2:H1006,('__flatlist__'!$B$2:$B1006=$B6),('__flatlist__'!$C$2:$C1006=$C6)))"),4.0)</f>
        <v>4</v>
      </c>
      <c r="I6" s="9">
        <f>IFERROR(__xludf.DUMMYFUNCTION("AVERAGE(FILTER('__flatlist__'!I$2:I1006,('__flatlist__'!$B$2:$B1006=$B6),('__flatlist__'!$C$2:$C1006=$C6)))"),4.4)</f>
        <v>4.4</v>
      </c>
      <c r="J6" s="9">
        <f t="shared" si="1"/>
        <v>4.32</v>
      </c>
      <c r="K6" s="3">
        <f t="shared" si="2"/>
        <v>2</v>
      </c>
      <c r="M6" s="2" t="s">
        <v>8</v>
      </c>
      <c r="N6" s="10">
        <f>correl('__flatlist__'!D:D,'__flatlist__'!I:I)</f>
        <v>0.3084311351</v>
      </c>
      <c r="O6" s="10">
        <f>correl('__flatlist__'!E:E,'__flatlist__'!I:I)</f>
        <v>0.214102483</v>
      </c>
      <c r="P6" s="10">
        <f>correl('__flatlist__'!F:F,'__flatlist__'!I:I)</f>
        <v>0.210354415</v>
      </c>
      <c r="Q6" s="10">
        <f>correl('__flatlist__'!G:G,'__flatlist__'!I:I)</f>
        <v>0.2788098892</v>
      </c>
      <c r="R6" s="10">
        <f>correl('__flatlist__'!H:H,'__flatlist__'!I:I)</f>
        <v>-0.1114603944</v>
      </c>
    </row>
    <row r="7">
      <c r="A7" s="6"/>
      <c r="B7" s="6" t="s">
        <v>18</v>
      </c>
      <c r="C7" s="7" t="s">
        <v>21</v>
      </c>
      <c r="D7" s="8">
        <f>IFERROR(__xludf.DUMMYFUNCTION("AVERAGE(FILTER('__flatlist__'!D$2:D1006,('__flatlist__'!$B$2:$B1006=$B7),('__flatlist__'!$C$2:$C1006=$C7)))"),0.35312175397254497)</f>
        <v>0.353121754</v>
      </c>
      <c r="E7" s="9">
        <f>IFERROR(__xludf.DUMMYFUNCTION("AVERAGE(FILTER('__flatlist__'!E$2:E1006,('__flatlist__'!$B$2:$B1006=$B7),('__flatlist__'!$C$2:$C1006=$C7)))"),3.0)</f>
        <v>3</v>
      </c>
      <c r="F7" s="9">
        <f>IFERROR(__xludf.DUMMYFUNCTION("AVERAGE(FILTER('__flatlist__'!F$2:F1006,('__flatlist__'!$B$2:$B1006=$B7),('__flatlist__'!$C$2:$C1006=$C7)))"),4.8)</f>
        <v>4.8</v>
      </c>
      <c r="G7" s="9">
        <f>IFERROR(__xludf.DUMMYFUNCTION("AVERAGE(FILTER('__flatlist__'!G$2:G1006,('__flatlist__'!$B$2:$B1006=$B7),('__flatlist__'!$C$2:$C1006=$C7)))"),4.8)</f>
        <v>4.8</v>
      </c>
      <c r="H7" s="9">
        <f>IFERROR(__xludf.DUMMYFUNCTION("AVERAGE(FILTER('__flatlist__'!H$2:H1006,('__flatlist__'!$B$2:$B1006=$B7),('__flatlist__'!$C$2:$C1006=$C7)))"),3.4)</f>
        <v>3.4</v>
      </c>
      <c r="I7" s="9">
        <f>IFERROR(__xludf.DUMMYFUNCTION("AVERAGE(FILTER('__flatlist__'!I$2:I1006,('__flatlist__'!$B$2:$B1006=$B7),('__flatlist__'!$C$2:$C1006=$C7)))"),4.8)</f>
        <v>4.8</v>
      </c>
      <c r="J7" s="9">
        <f t="shared" si="1"/>
        <v>4.16</v>
      </c>
      <c r="K7" s="3">
        <f t="shared" si="2"/>
        <v>5</v>
      </c>
    </row>
    <row r="8">
      <c r="A8" s="6"/>
      <c r="B8" s="6" t="s">
        <v>22</v>
      </c>
      <c r="C8" s="7" t="s">
        <v>8</v>
      </c>
      <c r="D8" s="8">
        <f>IFERROR(__xludf.DUMMYFUNCTION("AVERAGE(FILTER('__flatlist__'!D$2:D1006,('__flatlist__'!$B$2:$B1006=$B8),('__flatlist__'!$C$2:$C1006=$C8)))"),0.37140505216909003)</f>
        <v>0.3714050522</v>
      </c>
      <c r="E8" s="9">
        <f>IFERROR(__xludf.DUMMYFUNCTION("AVERAGE(FILTER('__flatlist__'!E$2:E1006,('__flatlist__'!$B$2:$B1006=$B8),('__flatlist__'!$C$2:$C1006=$C8)))"),2.2)</f>
        <v>2.2</v>
      </c>
      <c r="F8" s="9">
        <f>IFERROR(__xludf.DUMMYFUNCTION("AVERAGE(FILTER('__flatlist__'!F$2:F1006,('__flatlist__'!$B$2:$B1006=$B8),('__flatlist__'!$C$2:$C1006=$C8)))"),3.6)</f>
        <v>3.6</v>
      </c>
      <c r="G8" s="9">
        <f>IFERROR(__xludf.DUMMYFUNCTION("AVERAGE(FILTER('__flatlist__'!G$2:G1006,('__flatlist__'!$B$2:$B1006=$B8),('__flatlist__'!$C$2:$C1006=$C8)))"),3.0)</f>
        <v>3</v>
      </c>
      <c r="H8" s="9">
        <f>IFERROR(__xludf.DUMMYFUNCTION("AVERAGE(FILTER('__flatlist__'!H$2:H1006,('__flatlist__'!$B$2:$B1006=$B8),('__flatlist__'!$C$2:$C1006=$C8)))"),3.8)</f>
        <v>3.8</v>
      </c>
      <c r="I8" s="9">
        <f>IFERROR(__xludf.DUMMYFUNCTION("AVERAGE(FILTER('__flatlist__'!I$2:I1006,('__flatlist__'!$B$2:$B1006=$B8),('__flatlist__'!$C$2:$C1006=$C8)))"),3.6)</f>
        <v>3.6</v>
      </c>
      <c r="J8" s="9">
        <f t="shared" si="1"/>
        <v>3.24</v>
      </c>
      <c r="K8" s="3">
        <f t="shared" si="2"/>
        <v>14</v>
      </c>
    </row>
    <row r="9">
      <c r="A9" s="6"/>
      <c r="B9" s="6" t="s">
        <v>22</v>
      </c>
      <c r="C9" s="7" t="s">
        <v>19</v>
      </c>
      <c r="D9" s="8">
        <f>IFERROR(__xludf.DUMMYFUNCTION("AVERAGE(FILTER('__flatlist__'!D$2:D1006,('__flatlist__'!$B$2:$B1006=$B9),('__flatlist__'!$C$2:$C1006=$C9)))"),0.7110786756981962)</f>
        <v>0.7110786757</v>
      </c>
      <c r="E9" s="9">
        <f>IFERROR(__xludf.DUMMYFUNCTION("AVERAGE(FILTER('__flatlist__'!E$2:E1006,('__flatlist__'!$B$2:$B1006=$B9),('__flatlist__'!$C$2:$C1006=$C9)))"),2.8)</f>
        <v>2.8</v>
      </c>
      <c r="F9" s="9">
        <f>IFERROR(__xludf.DUMMYFUNCTION("AVERAGE(FILTER('__flatlist__'!F$2:F1006,('__flatlist__'!$B$2:$B1006=$B9),('__flatlist__'!$C$2:$C1006=$C9)))"),3.0)</f>
        <v>3</v>
      </c>
      <c r="G9" s="9">
        <f>IFERROR(__xludf.DUMMYFUNCTION("AVERAGE(FILTER('__flatlist__'!G$2:G1006,('__flatlist__'!$B$2:$B1006=$B9),('__flatlist__'!$C$2:$C1006=$C9)))"),2.6)</f>
        <v>2.6</v>
      </c>
      <c r="H9" s="9">
        <f>IFERROR(__xludf.DUMMYFUNCTION("AVERAGE(FILTER('__flatlist__'!H$2:H1006,('__flatlist__'!$B$2:$B1006=$B9),('__flatlist__'!$C$2:$C1006=$C9)))"),2.4)</f>
        <v>2.4</v>
      </c>
      <c r="I9" s="9">
        <f>IFERROR(__xludf.DUMMYFUNCTION("AVERAGE(FILTER('__flatlist__'!I$2:I1006,('__flatlist__'!$B$2:$B1006=$B9),('__flatlist__'!$C$2:$C1006=$C9)))"),4.0)</f>
        <v>4</v>
      </c>
      <c r="J9" s="9">
        <f t="shared" si="1"/>
        <v>2.96</v>
      </c>
      <c r="K9" s="3">
        <f t="shared" si="2"/>
        <v>15</v>
      </c>
    </row>
    <row r="10">
      <c r="A10" s="6"/>
      <c r="B10" s="6" t="s">
        <v>22</v>
      </c>
      <c r="C10" s="7" t="s">
        <v>20</v>
      </c>
      <c r="D10" s="8">
        <f>IFERROR(__xludf.DUMMYFUNCTION("AVERAGE(FILTER('__flatlist__'!D$2:D1006,('__flatlist__'!$B$2:$B1006=$B10),('__flatlist__'!$C$2:$C1006=$C10)))"),0.5748801841115163)</f>
        <v>0.5748801841</v>
      </c>
      <c r="E10" s="9">
        <f>IFERROR(__xludf.DUMMYFUNCTION("AVERAGE(FILTER('__flatlist__'!E$2:E1006,('__flatlist__'!$B$2:$B1006=$B10),('__flatlist__'!$C$2:$C1006=$C10)))"),2.2)</f>
        <v>2.2</v>
      </c>
      <c r="F10" s="9">
        <f>IFERROR(__xludf.DUMMYFUNCTION("AVERAGE(FILTER('__flatlist__'!F$2:F1006,('__flatlist__'!$B$2:$B1006=$B10),('__flatlist__'!$C$2:$C1006=$C10)))"),3.6)</f>
        <v>3.6</v>
      </c>
      <c r="G10" s="9">
        <f>IFERROR(__xludf.DUMMYFUNCTION("AVERAGE(FILTER('__flatlist__'!G$2:G1006,('__flatlist__'!$B$2:$B1006=$B10),('__flatlist__'!$C$2:$C1006=$C10)))"),2.2)</f>
        <v>2.2</v>
      </c>
      <c r="H10" s="9">
        <f>IFERROR(__xludf.DUMMYFUNCTION("AVERAGE(FILTER('__flatlist__'!H$2:H1006,('__flatlist__'!$B$2:$B1006=$B10),('__flatlist__'!$C$2:$C1006=$C10)))"),2.2)</f>
        <v>2.2</v>
      </c>
      <c r="I10" s="9">
        <f>IFERROR(__xludf.DUMMYFUNCTION("AVERAGE(FILTER('__flatlist__'!I$2:I1006,('__flatlist__'!$B$2:$B1006=$B10),('__flatlist__'!$C$2:$C1006=$C10)))"),2.8)</f>
        <v>2.8</v>
      </c>
      <c r="J10" s="9">
        <f t="shared" si="1"/>
        <v>2.6</v>
      </c>
      <c r="K10" s="3">
        <f t="shared" si="2"/>
        <v>16</v>
      </c>
    </row>
    <row r="11">
      <c r="A11" s="6"/>
      <c r="B11" s="6" t="s">
        <v>22</v>
      </c>
      <c r="C11" s="7" t="s">
        <v>21</v>
      </c>
      <c r="D11" s="8">
        <f>IFERROR(__xludf.DUMMYFUNCTION("AVERAGE(FILTER('__flatlist__'!D$2:D1006,('__flatlist__'!$B$2:$B1006=$B11),('__flatlist__'!$C$2:$C1006=$C11)))"),0.4712908719404054)</f>
        <v>0.4712908719</v>
      </c>
      <c r="E11" s="9">
        <f>IFERROR(__xludf.DUMMYFUNCTION("AVERAGE(FILTER('__flatlist__'!E$2:E1006,('__flatlist__'!$B$2:$B1006=$B11),('__flatlist__'!$C$2:$C1006=$C11)))"),3.6)</f>
        <v>3.6</v>
      </c>
      <c r="F11" s="9">
        <f>IFERROR(__xludf.DUMMYFUNCTION("AVERAGE(FILTER('__flatlist__'!F$2:F1006,('__flatlist__'!$B$2:$B1006=$B11),('__flatlist__'!$C$2:$C1006=$C11)))"),4.0)</f>
        <v>4</v>
      </c>
      <c r="G11" s="9">
        <f>IFERROR(__xludf.DUMMYFUNCTION("AVERAGE(FILTER('__flatlist__'!G$2:G1006,('__flatlist__'!$B$2:$B1006=$B11),('__flatlist__'!$C$2:$C1006=$C11)))"),2.4)</f>
        <v>2.4</v>
      </c>
      <c r="H11" s="9">
        <f>IFERROR(__xludf.DUMMYFUNCTION("AVERAGE(FILTER('__flatlist__'!H$2:H1006,('__flatlist__'!$B$2:$B1006=$B11),('__flatlist__'!$C$2:$C1006=$C11)))"),3.4)</f>
        <v>3.4</v>
      </c>
      <c r="I11" s="9">
        <f>IFERROR(__xludf.DUMMYFUNCTION("AVERAGE(FILTER('__flatlist__'!I$2:I1006,('__flatlist__'!$B$2:$B1006=$B11),('__flatlist__'!$C$2:$C1006=$C11)))"),4.2)</f>
        <v>4.2</v>
      </c>
      <c r="J11" s="9">
        <f t="shared" si="1"/>
        <v>3.52</v>
      </c>
      <c r="K11" s="3">
        <f t="shared" si="2"/>
        <v>13</v>
      </c>
    </row>
    <row r="12">
      <c r="A12" s="6"/>
      <c r="B12" s="6" t="s">
        <v>23</v>
      </c>
      <c r="C12" s="7" t="s">
        <v>8</v>
      </c>
      <c r="D12" s="8">
        <f>IFERROR(__xludf.DUMMYFUNCTION("AVERAGE(FILTER('__flatlist__'!D$2:D1006,('__flatlist__'!$B$2:$B1006=$B12),('__flatlist__'!$C$2:$C1006=$C12)))"),0.496710703590316)</f>
        <v>0.4967107036</v>
      </c>
      <c r="E12" s="9">
        <f>IFERROR(__xludf.DUMMYFUNCTION("AVERAGE(FILTER('__flatlist__'!E$2:E1006,('__flatlist__'!$B$2:$B1006=$B12),('__flatlist__'!$C$2:$C1006=$C12)))"),2.8)</f>
        <v>2.8</v>
      </c>
      <c r="F12" s="9">
        <f>IFERROR(__xludf.DUMMYFUNCTION("AVERAGE(FILTER('__flatlist__'!F$2:F1006,('__flatlist__'!$B$2:$B1006=$B12),('__flatlist__'!$C$2:$C1006=$C12)))"),4.0)</f>
        <v>4</v>
      </c>
      <c r="G12" s="9">
        <f>IFERROR(__xludf.DUMMYFUNCTION("AVERAGE(FILTER('__flatlist__'!G$2:G1006,('__flatlist__'!$B$2:$B1006=$B12),('__flatlist__'!$C$2:$C1006=$C12)))"),4.0)</f>
        <v>4</v>
      </c>
      <c r="H12" s="9">
        <f>IFERROR(__xludf.DUMMYFUNCTION("AVERAGE(FILTER('__flatlist__'!H$2:H1006,('__flatlist__'!$B$2:$B1006=$B12),('__flatlist__'!$C$2:$C1006=$C12)))"),3.2)</f>
        <v>3.2</v>
      </c>
      <c r="I12" s="9">
        <f>IFERROR(__xludf.DUMMYFUNCTION("AVERAGE(FILTER('__flatlist__'!I$2:I1006,('__flatlist__'!$B$2:$B1006=$B12),('__flatlist__'!$C$2:$C1006=$C12)))"),4.4)</f>
        <v>4.4</v>
      </c>
      <c r="J12" s="9">
        <f t="shared" si="1"/>
        <v>3.68</v>
      </c>
      <c r="K12" s="3">
        <f t="shared" si="2"/>
        <v>12</v>
      </c>
      <c r="M12" s="4"/>
      <c r="N12" s="10"/>
      <c r="O12" s="10"/>
      <c r="P12" s="10"/>
      <c r="Q12" s="10"/>
      <c r="R12" s="10"/>
    </row>
    <row r="13">
      <c r="A13" s="6"/>
      <c r="B13" s="6" t="s">
        <v>23</v>
      </c>
      <c r="C13" s="7" t="s">
        <v>19</v>
      </c>
      <c r="D13" s="8">
        <f>IFERROR(__xludf.DUMMYFUNCTION("AVERAGE(FILTER('__flatlist__'!D$2:D1006,('__flatlist__'!$B$2:$B1006=$B13),('__flatlist__'!$C$2:$C1006=$C13)))"),0.7118829366909121)</f>
        <v>0.7118829367</v>
      </c>
      <c r="E13" s="9">
        <f>IFERROR(__xludf.DUMMYFUNCTION("AVERAGE(FILTER('__flatlist__'!E$2:E1006,('__flatlist__'!$B$2:$B1006=$B13),('__flatlist__'!$C$2:$C1006=$C13)))"),4.0)</f>
        <v>4</v>
      </c>
      <c r="F13" s="9">
        <f>IFERROR(__xludf.DUMMYFUNCTION("AVERAGE(FILTER('__flatlist__'!F$2:F1006,('__flatlist__'!$B$2:$B1006=$B13),('__flatlist__'!$C$2:$C1006=$C13)))"),4.4)</f>
        <v>4.4</v>
      </c>
      <c r="G13" s="9">
        <f>IFERROR(__xludf.DUMMYFUNCTION("AVERAGE(FILTER('__flatlist__'!G$2:G1006,('__flatlist__'!$B$2:$B1006=$B13),('__flatlist__'!$C$2:$C1006=$C13)))"),4.2)</f>
        <v>4.2</v>
      </c>
      <c r="H13" s="9">
        <f>IFERROR(__xludf.DUMMYFUNCTION("AVERAGE(FILTER('__flatlist__'!H$2:H1006,('__flatlist__'!$B$2:$B1006=$B13),('__flatlist__'!$C$2:$C1006=$C13)))"),2.2)</f>
        <v>2.2</v>
      </c>
      <c r="I13" s="9">
        <f>IFERROR(__xludf.DUMMYFUNCTION("AVERAGE(FILTER('__flatlist__'!I$2:I1006,('__flatlist__'!$B$2:$B1006=$B13),('__flatlist__'!$C$2:$C1006=$C13)))"),4.8)</f>
        <v>4.8</v>
      </c>
      <c r="J13" s="9">
        <f t="shared" si="1"/>
        <v>3.92</v>
      </c>
      <c r="K13" s="3">
        <f t="shared" si="2"/>
        <v>7</v>
      </c>
      <c r="M13" s="4"/>
      <c r="N13" s="10"/>
    </row>
    <row r="14">
      <c r="A14" s="6"/>
      <c r="B14" s="6" t="s">
        <v>23</v>
      </c>
      <c r="C14" s="7" t="s">
        <v>20</v>
      </c>
      <c r="D14" s="8">
        <f>IFERROR(__xludf.DUMMYFUNCTION("AVERAGE(FILTER('__flatlist__'!D$2:D1006,('__flatlist__'!$B$2:$B1006=$B14),('__flatlist__'!$C$2:$C1006=$C14)))"),0.2632644393898144)</f>
        <v>0.2632644394</v>
      </c>
      <c r="E14" s="9">
        <f>IFERROR(__xludf.DUMMYFUNCTION("AVERAGE(FILTER('__flatlist__'!E$2:E1006,('__flatlist__'!$B$2:$B1006=$B14),('__flatlist__'!$C$2:$C1006=$C14)))"),4.0)</f>
        <v>4</v>
      </c>
      <c r="F14" s="9">
        <f>IFERROR(__xludf.DUMMYFUNCTION("AVERAGE(FILTER('__flatlist__'!F$2:F1006,('__flatlist__'!$B$2:$B1006=$B14),('__flatlist__'!$C$2:$C1006=$C14)))"),4.2)</f>
        <v>4.2</v>
      </c>
      <c r="G14" s="9">
        <f>IFERROR(__xludf.DUMMYFUNCTION("AVERAGE(FILTER('__flatlist__'!G$2:G1006,('__flatlist__'!$B$2:$B1006=$B14),('__flatlist__'!$C$2:$C1006=$C14)))"),4.6)</f>
        <v>4.6</v>
      </c>
      <c r="H14" s="9">
        <f>IFERROR(__xludf.DUMMYFUNCTION("AVERAGE(FILTER('__flatlist__'!H$2:H1006,('__flatlist__'!$B$2:$B1006=$B14),('__flatlist__'!$C$2:$C1006=$C14)))"),4.2)</f>
        <v>4.2</v>
      </c>
      <c r="I14" s="9">
        <f>IFERROR(__xludf.DUMMYFUNCTION("AVERAGE(FILTER('__flatlist__'!I$2:I1006,('__flatlist__'!$B$2:$B1006=$B14),('__flatlist__'!$C$2:$C1006=$C14)))"),4.6)</f>
        <v>4.6</v>
      </c>
      <c r="J14" s="9">
        <f t="shared" si="1"/>
        <v>4.32</v>
      </c>
      <c r="K14" s="3">
        <f t="shared" si="2"/>
        <v>2</v>
      </c>
      <c r="M14" s="4"/>
      <c r="N14" s="10"/>
    </row>
    <row r="15">
      <c r="A15" s="6"/>
      <c r="B15" s="6" t="s">
        <v>23</v>
      </c>
      <c r="C15" s="7" t="s">
        <v>21</v>
      </c>
      <c r="D15" s="8">
        <f>IFERROR(__xludf.DUMMYFUNCTION("AVERAGE(FILTER('__flatlist__'!D$2:D1006,('__flatlist__'!$B$2:$B1006=$B15),('__flatlist__'!$C$2:$C1006=$C15)))"),0.25165376884893187)</f>
        <v>0.2516537688</v>
      </c>
      <c r="E15" s="9">
        <f>IFERROR(__xludf.DUMMYFUNCTION("AVERAGE(FILTER('__flatlist__'!E$2:E1006,('__flatlist__'!$B$2:$B1006=$B15),('__flatlist__'!$C$2:$C1006=$C15)))"),4.2)</f>
        <v>4.2</v>
      </c>
      <c r="F15" s="9">
        <f>IFERROR(__xludf.DUMMYFUNCTION("AVERAGE(FILTER('__flatlist__'!F$2:F1006,('__flatlist__'!$B$2:$B1006=$B15),('__flatlist__'!$C$2:$C1006=$C15)))"),4.8)</f>
        <v>4.8</v>
      </c>
      <c r="G15" s="9">
        <f>IFERROR(__xludf.DUMMYFUNCTION("AVERAGE(FILTER('__flatlist__'!G$2:G1006,('__flatlist__'!$B$2:$B1006=$B15),('__flatlist__'!$C$2:$C1006=$C15)))"),4.8)</f>
        <v>4.8</v>
      </c>
      <c r="H15" s="9">
        <f>IFERROR(__xludf.DUMMYFUNCTION("AVERAGE(FILTER('__flatlist__'!H$2:H1006,('__flatlist__'!$B$2:$B1006=$B15),('__flatlist__'!$C$2:$C1006=$C15)))"),4.2)</f>
        <v>4.2</v>
      </c>
      <c r="I15" s="9">
        <f>IFERROR(__xludf.DUMMYFUNCTION("AVERAGE(FILTER('__flatlist__'!I$2:I1006,('__flatlist__'!$B$2:$B1006=$B15),('__flatlist__'!$C$2:$C1006=$C15)))"),4.6)</f>
        <v>4.6</v>
      </c>
      <c r="J15" s="9">
        <f t="shared" si="1"/>
        <v>4.52</v>
      </c>
      <c r="K15" s="3">
        <f t="shared" si="2"/>
        <v>1</v>
      </c>
      <c r="M15" s="4"/>
      <c r="N15" s="10"/>
    </row>
    <row r="16">
      <c r="A16" s="6"/>
      <c r="B16" s="6" t="s">
        <v>24</v>
      </c>
      <c r="C16" s="7" t="s">
        <v>8</v>
      </c>
      <c r="D16" s="8">
        <f>IFERROR(__xludf.DUMMYFUNCTION("AVERAGE(FILTER('__flatlist__'!D$2:D1006,('__flatlist__'!$B$2:$B1006=$B16),('__flatlist__'!$C$2:$C1006=$C16)))"),0.4607902043449868)</f>
        <v>0.4607902043</v>
      </c>
      <c r="E16" s="9">
        <f>IFERROR(__xludf.DUMMYFUNCTION("AVERAGE(FILTER('__flatlist__'!E$2:E1006,('__flatlist__'!$B$2:$B1006=$B16),('__flatlist__'!$C$2:$C1006=$C16)))"),2.6)</f>
        <v>2.6</v>
      </c>
      <c r="F16" s="9">
        <f>IFERROR(__xludf.DUMMYFUNCTION("AVERAGE(FILTER('__flatlist__'!F$2:F1006,('__flatlist__'!$B$2:$B1006=$B16),('__flatlist__'!$C$2:$C1006=$C16)))"),3.8)</f>
        <v>3.8</v>
      </c>
      <c r="G16" s="9">
        <f>IFERROR(__xludf.DUMMYFUNCTION("AVERAGE(FILTER('__flatlist__'!G$2:G1006,('__flatlist__'!$B$2:$B1006=$B16),('__flatlist__'!$C$2:$C1006=$C16)))"),4.6)</f>
        <v>4.6</v>
      </c>
      <c r="H16" s="9">
        <f>IFERROR(__xludf.DUMMYFUNCTION("AVERAGE(FILTER('__flatlist__'!H$2:H1006,('__flatlist__'!$B$2:$B1006=$B16),('__flatlist__'!$C$2:$C1006=$C16)))"),3.2)</f>
        <v>3.2</v>
      </c>
      <c r="I16" s="9">
        <f>IFERROR(__xludf.DUMMYFUNCTION("AVERAGE(FILTER('__flatlist__'!I$2:I1006,('__flatlist__'!$B$2:$B1006=$B16),('__flatlist__'!$C$2:$C1006=$C16)))"),4.4)</f>
        <v>4.4</v>
      </c>
      <c r="J16" s="9">
        <f t="shared" si="1"/>
        <v>3.72</v>
      </c>
      <c r="K16" s="3">
        <f t="shared" si="2"/>
        <v>10</v>
      </c>
      <c r="M16" s="4"/>
      <c r="N16" s="10"/>
    </row>
    <row r="17">
      <c r="A17" s="6"/>
      <c r="B17" s="6" t="s">
        <v>24</v>
      </c>
      <c r="C17" s="7" t="s">
        <v>19</v>
      </c>
      <c r="D17" s="8">
        <f>IFERROR(__xludf.DUMMYFUNCTION("AVERAGE(FILTER('__flatlist__'!D$2:D1006,('__flatlist__'!$B$2:$B1006=$B17),('__flatlist__'!$C$2:$C1006=$C17)))"),0.749907931856852)</f>
        <v>0.7499079319</v>
      </c>
      <c r="E17" s="9">
        <f>IFERROR(__xludf.DUMMYFUNCTION("AVERAGE(FILTER('__flatlist__'!E$2:E1006,('__flatlist__'!$B$2:$B1006=$B17),('__flatlist__'!$C$2:$C1006=$C17)))"),4.2)</f>
        <v>4.2</v>
      </c>
      <c r="F17" s="9">
        <f>IFERROR(__xludf.DUMMYFUNCTION("AVERAGE(FILTER('__flatlist__'!F$2:F1006,('__flatlist__'!$B$2:$B1006=$B17),('__flatlist__'!$C$2:$C1006=$C17)))"),4.2)</f>
        <v>4.2</v>
      </c>
      <c r="G17" s="9">
        <f>IFERROR(__xludf.DUMMYFUNCTION("AVERAGE(FILTER('__flatlist__'!G$2:G1006,('__flatlist__'!$B$2:$B1006=$B17),('__flatlist__'!$C$2:$C1006=$C17)))"),4.4)</f>
        <v>4.4</v>
      </c>
      <c r="H17" s="9">
        <f>IFERROR(__xludf.DUMMYFUNCTION("AVERAGE(FILTER('__flatlist__'!H$2:H1006,('__flatlist__'!$B$2:$B1006=$B17),('__flatlist__'!$C$2:$C1006=$C17)))"),1.8)</f>
        <v>1.8</v>
      </c>
      <c r="I17" s="9">
        <f>IFERROR(__xludf.DUMMYFUNCTION("AVERAGE(FILTER('__flatlist__'!I$2:I1006,('__flatlist__'!$B$2:$B1006=$B17),('__flatlist__'!$C$2:$C1006=$C17)))"),5.0)</f>
        <v>5</v>
      </c>
      <c r="J17" s="9">
        <f t="shared" si="1"/>
        <v>3.92</v>
      </c>
      <c r="K17" s="3">
        <f t="shared" si="2"/>
        <v>7</v>
      </c>
      <c r="M17" s="4"/>
      <c r="N17" s="10"/>
    </row>
    <row r="18">
      <c r="A18" s="6"/>
      <c r="B18" s="6" t="s">
        <v>24</v>
      </c>
      <c r="C18" s="7" t="s">
        <v>20</v>
      </c>
      <c r="D18" s="8">
        <f>IFERROR(__xludf.DUMMYFUNCTION("AVERAGE(FILTER('__flatlist__'!D$2:D1006,('__flatlist__'!$B$2:$B1006=$B18),('__flatlist__'!$C$2:$C1006=$C18)))"),0.2845727208127983)</f>
        <v>0.2845727208</v>
      </c>
      <c r="E18" s="9">
        <f>IFERROR(__xludf.DUMMYFUNCTION("AVERAGE(FILTER('__flatlist__'!E$2:E1006,('__flatlist__'!$B$2:$B1006=$B18),('__flatlist__'!$C$2:$C1006=$C18)))"),4.0)</f>
        <v>4</v>
      </c>
      <c r="F18" s="9">
        <f>IFERROR(__xludf.DUMMYFUNCTION("AVERAGE(FILTER('__flatlist__'!F$2:F1006,('__flatlist__'!$B$2:$B1006=$B18),('__flatlist__'!$C$2:$C1006=$C18)))"),4.2)</f>
        <v>4.2</v>
      </c>
      <c r="G18" s="9">
        <f>IFERROR(__xludf.DUMMYFUNCTION("AVERAGE(FILTER('__flatlist__'!G$2:G1006,('__flatlist__'!$B$2:$B1006=$B18),('__flatlist__'!$C$2:$C1006=$C18)))"),4.6)</f>
        <v>4.6</v>
      </c>
      <c r="H18" s="9">
        <f>IFERROR(__xludf.DUMMYFUNCTION("AVERAGE(FILTER('__flatlist__'!H$2:H1006,('__flatlist__'!$B$2:$B1006=$B18),('__flatlist__'!$C$2:$C1006=$C18)))"),3.0)</f>
        <v>3</v>
      </c>
      <c r="I18" s="9">
        <f>IFERROR(__xludf.DUMMYFUNCTION("AVERAGE(FILTER('__flatlist__'!I$2:I1006,('__flatlist__'!$B$2:$B1006=$B18),('__flatlist__'!$C$2:$C1006=$C18)))"),3.8)</f>
        <v>3.8</v>
      </c>
      <c r="J18" s="9">
        <f t="shared" si="1"/>
        <v>3.92</v>
      </c>
      <c r="K18" s="3">
        <f t="shared" si="2"/>
        <v>9</v>
      </c>
      <c r="M18" s="4"/>
      <c r="N18" s="10"/>
    </row>
    <row r="19">
      <c r="A19" s="6"/>
      <c r="B19" s="6" t="s">
        <v>24</v>
      </c>
      <c r="C19" s="7" t="s">
        <v>21</v>
      </c>
      <c r="D19" s="8">
        <f>IFERROR(__xludf.DUMMYFUNCTION("AVERAGE(FILTER('__flatlist__'!D$2:D1006,('__flatlist__'!$B$2:$B1006=$B19),('__flatlist__'!$C$2:$C1006=$C19)))"),0.28129105243702657)</f>
        <v>0.2812910524</v>
      </c>
      <c r="E19" s="9">
        <f>IFERROR(__xludf.DUMMYFUNCTION("AVERAGE(FILTER('__flatlist__'!E$2:E1006,('__flatlist__'!$B$2:$B1006=$B19),('__flatlist__'!$C$2:$C1006=$C19)))"),4.2)</f>
        <v>4.2</v>
      </c>
      <c r="F19" s="9">
        <f>IFERROR(__xludf.DUMMYFUNCTION("AVERAGE(FILTER('__flatlist__'!F$2:F1006,('__flatlist__'!$B$2:$B1006=$B19),('__flatlist__'!$C$2:$C1006=$C19)))"),4.6)</f>
        <v>4.6</v>
      </c>
      <c r="G19" s="9">
        <f>IFERROR(__xludf.DUMMYFUNCTION("AVERAGE(FILTER('__flatlist__'!G$2:G1006,('__flatlist__'!$B$2:$B1006=$B19),('__flatlist__'!$C$2:$C1006=$C19)))"),4.0)</f>
        <v>4</v>
      </c>
      <c r="H19" s="9">
        <f>IFERROR(__xludf.DUMMYFUNCTION("AVERAGE(FILTER('__flatlist__'!H$2:H1006,('__flatlist__'!$B$2:$B1006=$B19),('__flatlist__'!$C$2:$C1006=$C19)))"),4.4)</f>
        <v>4.4</v>
      </c>
      <c r="I19" s="9">
        <f>IFERROR(__xludf.DUMMYFUNCTION("AVERAGE(FILTER('__flatlist__'!I$2:I1006,('__flatlist__'!$B$2:$B1006=$B19),('__flatlist__'!$C$2:$C1006=$C19)))"),4.4)</f>
        <v>4.4</v>
      </c>
      <c r="J19" s="9">
        <f t="shared" si="1"/>
        <v>4.32</v>
      </c>
      <c r="K19" s="3">
        <f t="shared" si="2"/>
        <v>2</v>
      </c>
      <c r="M19" s="4"/>
      <c r="N19" s="10"/>
    </row>
    <row r="20">
      <c r="C20" s="7"/>
      <c r="E20" s="9"/>
      <c r="F20" s="9"/>
      <c r="G20" s="9"/>
      <c r="H20" s="9"/>
      <c r="I20" s="9"/>
      <c r="K20" s="3"/>
      <c r="M20" s="4"/>
      <c r="N20" s="10"/>
    </row>
    <row r="21">
      <c r="A21" s="12"/>
      <c r="B21" s="13"/>
      <c r="C21" s="13"/>
      <c r="D21" s="12" t="s">
        <v>25</v>
      </c>
      <c r="E21" s="14"/>
      <c r="F21" s="14"/>
      <c r="G21" s="14"/>
      <c r="H21" s="14"/>
      <c r="I21" s="14"/>
      <c r="J21" s="14"/>
      <c r="K21" s="15"/>
      <c r="M21" s="4"/>
      <c r="N21" s="10"/>
    </row>
    <row r="22" hidden="1">
      <c r="A22" s="16" t="str">
        <f>'🤖 Claude Sonnet 3.5'!$A$2</f>
        <v>www.berria.eus/euskal-herria/ehunka-herritarrek-etxebarriko-sexu-erasoa-salatu-dute_2126343_102.html</v>
      </c>
      <c r="B22" s="17"/>
      <c r="C22" s="18"/>
      <c r="D22" s="19">
        <f>IFERROR(__xludf.DUMMYFUNCTION("AVERAGE(FILTER('__flatlist__'!D$2:D1006,('__flatlist__'!$A$2:$A1006=$A22)))"),0.7297447280799111)</f>
        <v>0.7297447281</v>
      </c>
      <c r="E22" s="20">
        <f>IFERROR(__xludf.DUMMYFUNCTION("AVERAGE(FILTER('__flatlist__'!E$2:E1006,('__flatlist__'!$A$2:$A1006=$A22)))"),3.2941176470588234)</f>
        <v>3.294117647</v>
      </c>
      <c r="F22" s="20">
        <f>IFERROR(__xludf.DUMMYFUNCTION("AVERAGE(FILTER('__flatlist__'!F$2:F1006,('__flatlist__'!$A$2:$A1006=$A22)))"),3.823529411764706)</f>
        <v>3.823529412</v>
      </c>
      <c r="G22" s="20">
        <f>IFERROR(__xludf.DUMMYFUNCTION("AVERAGE(FILTER('__flatlist__'!G$2:G1006,('__flatlist__'!$A$2:$A1006=$A22)))"),3.8823529411764706)</f>
        <v>3.882352941</v>
      </c>
      <c r="H22" s="20">
        <f>IFERROR(__xludf.DUMMYFUNCTION("AVERAGE(FILTER('__flatlist__'!H$2:H1006,('__flatlist__'!$A$2:$A1006=$A22)))"),3.3529411764705883)</f>
        <v>3.352941176</v>
      </c>
      <c r="I22" s="20">
        <f>IFERROR(__xludf.DUMMYFUNCTION("AVERAGE(FILTER('__flatlist__'!I$2:I1006,('__flatlist__'!$A$2:$A1006=$A22)))"),4.529411764705882)</f>
        <v>4.529411765</v>
      </c>
      <c r="J22" s="20">
        <f t="shared" ref="J22:J39" si="3">average(E22:I22)</f>
        <v>3.776470588</v>
      </c>
      <c r="K22" s="21"/>
      <c r="M22" s="4"/>
      <c r="N22" s="10"/>
    </row>
    <row r="23" hidden="1">
      <c r="A23" s="22" t="str">
        <f>'🤖 Claude Sonnet 3.5'!$A$7</f>
        <v>https://www.berria.eus/euskal-herria/erramun-baxok-ohorezko-euskaltzaina-zendu-da_2126101_102.html</v>
      </c>
      <c r="B23" s="6"/>
      <c r="D23" s="8">
        <f>IFERROR(__xludf.DUMMYFUNCTION("AVERAGE(FILTER('__flatlist__'!D$2:D1006,('__flatlist__'!$A$2:$A1006=$A23)))"),0.24274150026983268)</f>
        <v>0.2427415003</v>
      </c>
      <c r="E23" s="9">
        <f>IFERROR(__xludf.DUMMYFUNCTION("AVERAGE(FILTER('__flatlist__'!E$2:E1006,('__flatlist__'!$A$2:$A1006=$A23)))"),3.1176470588235294)</f>
        <v>3.117647059</v>
      </c>
      <c r="F23" s="9">
        <f>IFERROR(__xludf.DUMMYFUNCTION("AVERAGE(FILTER('__flatlist__'!F$2:F1006,('__flatlist__'!$A$2:$A1006=$A23)))"),4.470588235294118)</f>
        <v>4.470588235</v>
      </c>
      <c r="G23" s="9">
        <f>IFERROR(__xludf.DUMMYFUNCTION("AVERAGE(FILTER('__flatlist__'!G$2:G1006,('__flatlist__'!$A$2:$A1006=$A23)))"),4.0)</f>
        <v>4</v>
      </c>
      <c r="H23" s="9">
        <f>IFERROR(__xludf.DUMMYFUNCTION("AVERAGE(FILTER('__flatlist__'!H$2:H1006,('__flatlist__'!$A$2:$A1006=$A23)))"),3.5294117647058822)</f>
        <v>3.529411765</v>
      </c>
      <c r="I23" s="9">
        <f>IFERROR(__xludf.DUMMYFUNCTION("AVERAGE(FILTER('__flatlist__'!I$2:I1006,('__flatlist__'!$A$2:$A1006=$A23)))"),4.294117647058823)</f>
        <v>4.294117647</v>
      </c>
      <c r="J23" s="9">
        <f t="shared" si="3"/>
        <v>3.882352941</v>
      </c>
      <c r="K23" s="23"/>
      <c r="M23" s="4"/>
      <c r="N23" s="10"/>
    </row>
    <row r="24" hidden="1">
      <c r="A24" s="22" t="str">
        <f>'🤖 Claude Sonnet 3.5'!$A$12</f>
        <v>https://www.berria.eus/euskal-herria/etxelekuren-kargugabetzea-kritikatu-dute-errobiko-bederatzi-hautetsik_2125690_102.html</v>
      </c>
      <c r="B24" s="6"/>
      <c r="D24" s="8">
        <f>IFERROR(__xludf.DUMMYFUNCTION("AVERAGE(FILTER('__flatlist__'!D$2:D1006,('__flatlist__'!$A$2:$A1006=$A24)))"),0.39363885088919287)</f>
        <v>0.3936388509</v>
      </c>
      <c r="E24" s="9">
        <f>IFERROR(__xludf.DUMMYFUNCTION("AVERAGE(FILTER('__flatlist__'!E$2:E1006,('__flatlist__'!$A$2:$A1006=$A24)))"),3.411764705882353)</f>
        <v>3.411764706</v>
      </c>
      <c r="F24" s="9">
        <f>IFERROR(__xludf.DUMMYFUNCTION("AVERAGE(FILTER('__flatlist__'!F$2:F1006,('__flatlist__'!$A$2:$A1006=$A24)))"),4.235294117647059)</f>
        <v>4.235294118</v>
      </c>
      <c r="G24" s="9">
        <f>IFERROR(__xludf.DUMMYFUNCTION("AVERAGE(FILTER('__flatlist__'!G$2:G1006,('__flatlist__'!$A$2:$A1006=$A24)))"),4.0)</f>
        <v>4</v>
      </c>
      <c r="H24" s="9">
        <f>IFERROR(__xludf.DUMMYFUNCTION("AVERAGE(FILTER('__flatlist__'!H$2:H1006,('__flatlist__'!$A$2:$A1006=$A24)))"),3.2941176470588234)</f>
        <v>3.294117647</v>
      </c>
      <c r="I24" s="9">
        <f>IFERROR(__xludf.DUMMYFUNCTION("AVERAGE(FILTER('__flatlist__'!I$2:I1006,('__flatlist__'!$A$2:$A1006=$A24)))"),4.411764705882353)</f>
        <v>4.411764706</v>
      </c>
      <c r="J24" s="9">
        <f t="shared" si="3"/>
        <v>3.870588235</v>
      </c>
      <c r="K24" s="23"/>
      <c r="M24" s="4"/>
      <c r="N24" s="10"/>
    </row>
    <row r="25" hidden="1">
      <c r="A25" s="22" t="str">
        <f>'🤖 Claude Sonnet 3.5'!$A$17</f>
        <v>https://www.berria.eus/euskal-herria/itziar-lakari-eman-diote-eusko-ikaskuntzaren-saria_2125317_102.html</v>
      </c>
      <c r="B25" s="6"/>
      <c r="D25" s="8">
        <f>IFERROR(__xludf.DUMMYFUNCTION("AVERAGE(FILTER('__flatlist__'!D$2:D1006,('__flatlist__'!$A$2:$A1006=$A25)))"),0.5882352941176471)</f>
        <v>0.5882352941</v>
      </c>
      <c r="E25" s="9">
        <f>IFERROR(__xludf.DUMMYFUNCTION("AVERAGE(FILTER('__flatlist__'!E$2:E1006,('__flatlist__'!$A$2:$A1006=$A25)))"),3.411764705882353)</f>
        <v>3.411764706</v>
      </c>
      <c r="F25" s="9">
        <f>IFERROR(__xludf.DUMMYFUNCTION("AVERAGE(FILTER('__flatlist__'!F$2:F1006,('__flatlist__'!$A$2:$A1006=$A25)))"),4.294117647058823)</f>
        <v>4.294117647</v>
      </c>
      <c r="G25" s="9">
        <f>IFERROR(__xludf.DUMMYFUNCTION("AVERAGE(FILTER('__flatlist__'!G$2:G1006,('__flatlist__'!$A$2:$A1006=$A25)))"),4.0588235294117645)</f>
        <v>4.058823529</v>
      </c>
      <c r="H25" s="9">
        <f>IFERROR(__xludf.DUMMYFUNCTION("AVERAGE(FILTER('__flatlist__'!H$2:H1006,('__flatlist__'!$A$2:$A1006=$A25)))"),3.1176470588235294)</f>
        <v>3.117647059</v>
      </c>
      <c r="I25" s="9">
        <f>IFERROR(__xludf.DUMMYFUNCTION("AVERAGE(FILTER('__flatlist__'!I$2:I1006,('__flatlist__'!$A$2:$A1006=$A25)))"),4.352941176470588)</f>
        <v>4.352941176</v>
      </c>
      <c r="J25" s="9">
        <f t="shared" si="3"/>
        <v>3.847058824</v>
      </c>
      <c r="K25" s="23"/>
      <c r="M25" s="4"/>
      <c r="N25" s="10"/>
    </row>
    <row r="26" hidden="1">
      <c r="A26" s="22" t="str">
        <f>'🤖 Claude Sonnet 3.5'!$A$22</f>
        <v>https://www.berria.eus/euskal-herria/sexu-indarkeriaren-biktimentzako-zentro-bat-zabaldu-dute-araban_2124914_102.html</v>
      </c>
      <c r="B26" s="6"/>
      <c r="D26" s="8">
        <f>IFERROR(__xludf.DUMMYFUNCTION("AVERAGE(FILTER('__flatlist__'!D$2:D1006,('__flatlist__'!$A$2:$A1006=$A26)))"),0.26924997503245784)</f>
        <v>0.269249975</v>
      </c>
      <c r="E26" s="9">
        <f>IFERROR(__xludf.DUMMYFUNCTION("AVERAGE(FILTER('__flatlist__'!E$2:E1006,('__flatlist__'!$A$2:$A1006=$A26)))"),3.411764705882353)</f>
        <v>3.411764706</v>
      </c>
      <c r="F26" s="9">
        <f>IFERROR(__xludf.DUMMYFUNCTION("AVERAGE(FILTER('__flatlist__'!F$2:F1006,('__flatlist__'!$A$2:$A1006=$A26)))"),4.352941176470588)</f>
        <v>4.352941176</v>
      </c>
      <c r="G26" s="9">
        <f>IFERROR(__xludf.DUMMYFUNCTION("AVERAGE(FILTER('__flatlist__'!G$2:G1006,('__flatlist__'!$A$2:$A1006=$A26)))"),4.352941176470588)</f>
        <v>4.352941176</v>
      </c>
      <c r="H26" s="9">
        <f>IFERROR(__xludf.DUMMYFUNCTION("AVERAGE(FILTER('__flatlist__'!H$2:H1006,('__flatlist__'!$A$2:$A1006=$A26)))"),3.176470588235294)</f>
        <v>3.176470588</v>
      </c>
      <c r="I26" s="9">
        <f>IFERROR(__xludf.DUMMYFUNCTION("AVERAGE(FILTER('__flatlist__'!I$2:I1006,('__flatlist__'!$A$2:$A1006=$A26)))"),3.588235294117647)</f>
        <v>3.588235294</v>
      </c>
      <c r="J26" s="9">
        <f t="shared" si="3"/>
        <v>3.776470588</v>
      </c>
      <c r="K26" s="23"/>
      <c r="M26" s="4"/>
      <c r="N26" s="10"/>
    </row>
    <row r="27" hidden="1">
      <c r="A27" s="24" t="str">
        <f t="shared" ref="A27:A31" si="4">#REF!</f>
        <v>#REF!</v>
      </c>
      <c r="B27" s="6"/>
      <c r="D27" s="11" t="str">
        <f>IFERROR(__xludf.DUMMYFUNCTION("AVERAGE(FILTER('__flatlist__'!D$2:D1006,('__flatlist__'!$A$2:$A1006=$A27)))"),"#N/A")</f>
        <v>#N/A</v>
      </c>
      <c r="E27" s="9" t="str">
        <f>IFERROR(__xludf.DUMMYFUNCTION("AVERAGE(FILTER('__flatlist__'!E$2:E1006,('__flatlist__'!$A$2:$A1006=$A27)))"),"#N/A")</f>
        <v>#N/A</v>
      </c>
      <c r="F27" s="9" t="str">
        <f>IFERROR(__xludf.DUMMYFUNCTION("AVERAGE(FILTER('__flatlist__'!F$2:F1006,('__flatlist__'!$A$2:$A1006=$A27)))"),"#N/A")</f>
        <v>#N/A</v>
      </c>
      <c r="G27" s="9" t="str">
        <f>IFERROR(__xludf.DUMMYFUNCTION("AVERAGE(FILTER('__flatlist__'!G$2:G1006,('__flatlist__'!$A$2:$A1006=$A27)))"),"#N/A")</f>
        <v>#N/A</v>
      </c>
      <c r="H27" s="9" t="str">
        <f>IFERROR(__xludf.DUMMYFUNCTION("AVERAGE(FILTER('__flatlist__'!H$2:H1006,('__flatlist__'!$A$2:$A1006=$A27)))"),"#N/A")</f>
        <v>#N/A</v>
      </c>
      <c r="I27" s="9" t="str">
        <f>IFERROR(__xludf.DUMMYFUNCTION("AVERAGE(FILTER('__flatlist__'!I$2:I1006,('__flatlist__'!$A$2:$A1006=$A27)))"),"#N/A")</f>
        <v>#N/A</v>
      </c>
      <c r="J27" s="11" t="str">
        <f t="shared" si="3"/>
        <v>#N/A</v>
      </c>
      <c r="K27" s="23"/>
      <c r="M27" s="4"/>
      <c r="N27" s="10"/>
    </row>
    <row r="28" hidden="1">
      <c r="A28" s="24" t="str">
        <f t="shared" si="4"/>
        <v>#REF!</v>
      </c>
      <c r="B28" s="6"/>
      <c r="D28" s="11" t="str">
        <f>IFERROR(__xludf.DUMMYFUNCTION("AVERAGE(FILTER('__flatlist__'!D$2:D1006,('__flatlist__'!$A$2:$A1006=$A28)))"),"#N/A")</f>
        <v>#N/A</v>
      </c>
      <c r="E28" s="9" t="str">
        <f>IFERROR(__xludf.DUMMYFUNCTION("AVERAGE(FILTER('__flatlist__'!E$2:E1006,('__flatlist__'!$A$2:$A1006=$A28)))"),"#N/A")</f>
        <v>#N/A</v>
      </c>
      <c r="F28" s="9" t="str">
        <f>IFERROR(__xludf.DUMMYFUNCTION("AVERAGE(FILTER('__flatlist__'!F$2:F1006,('__flatlist__'!$A$2:$A1006=$A28)))"),"#N/A")</f>
        <v>#N/A</v>
      </c>
      <c r="G28" s="9" t="str">
        <f>IFERROR(__xludf.DUMMYFUNCTION("AVERAGE(FILTER('__flatlist__'!G$2:G1006,('__flatlist__'!$A$2:$A1006=$A28)))"),"#N/A")</f>
        <v>#N/A</v>
      </c>
      <c r="H28" s="9" t="str">
        <f>IFERROR(__xludf.DUMMYFUNCTION("AVERAGE(FILTER('__flatlist__'!H$2:H1006,('__flatlist__'!$A$2:$A1006=$A28)))"),"#N/A")</f>
        <v>#N/A</v>
      </c>
      <c r="I28" s="9" t="str">
        <f>IFERROR(__xludf.DUMMYFUNCTION("AVERAGE(FILTER('__flatlist__'!I$2:I1006,('__flatlist__'!$A$2:$A1006=$A28)))"),"#N/A")</f>
        <v>#N/A</v>
      </c>
      <c r="J28" s="11" t="str">
        <f t="shared" si="3"/>
        <v>#N/A</v>
      </c>
      <c r="K28" s="23"/>
      <c r="M28" s="4"/>
      <c r="N28" s="10"/>
    </row>
    <row r="29" hidden="1">
      <c r="A29" s="24" t="str">
        <f t="shared" si="4"/>
        <v>#REF!</v>
      </c>
      <c r="B29" s="6"/>
      <c r="D29" s="11" t="str">
        <f>IFERROR(__xludf.DUMMYFUNCTION("AVERAGE(FILTER('__flatlist__'!D$2:D1006,('__flatlist__'!$A$2:$A1006=$A29)))"),"#N/A")</f>
        <v>#N/A</v>
      </c>
      <c r="E29" s="9" t="str">
        <f>IFERROR(__xludf.DUMMYFUNCTION("AVERAGE(FILTER('__flatlist__'!E$2:E1006,('__flatlist__'!$A$2:$A1006=$A29)))"),"#N/A")</f>
        <v>#N/A</v>
      </c>
      <c r="F29" s="9" t="str">
        <f>IFERROR(__xludf.DUMMYFUNCTION("AVERAGE(FILTER('__flatlist__'!F$2:F1006,('__flatlist__'!$A$2:$A1006=$A29)))"),"#N/A")</f>
        <v>#N/A</v>
      </c>
      <c r="G29" s="9" t="str">
        <f>IFERROR(__xludf.DUMMYFUNCTION("AVERAGE(FILTER('__flatlist__'!G$2:G1006,('__flatlist__'!$A$2:$A1006=$A29)))"),"#N/A")</f>
        <v>#N/A</v>
      </c>
      <c r="H29" s="9" t="str">
        <f>IFERROR(__xludf.DUMMYFUNCTION("AVERAGE(FILTER('__flatlist__'!H$2:H1006,('__flatlist__'!$A$2:$A1006=$A29)))"),"#N/A")</f>
        <v>#N/A</v>
      </c>
      <c r="I29" s="9" t="str">
        <f>IFERROR(__xludf.DUMMYFUNCTION("AVERAGE(FILTER('__flatlist__'!I$2:I1006,('__flatlist__'!$A$2:$A1006=$A29)))"),"#N/A")</f>
        <v>#N/A</v>
      </c>
      <c r="J29" s="11" t="str">
        <f t="shared" si="3"/>
        <v>#N/A</v>
      </c>
      <c r="K29" s="23"/>
      <c r="M29" s="4"/>
      <c r="N29" s="10"/>
    </row>
    <row r="30" hidden="1">
      <c r="A30" s="24" t="str">
        <f t="shared" si="4"/>
        <v>#REF!</v>
      </c>
      <c r="B30" s="6"/>
      <c r="D30" s="11" t="str">
        <f>IFERROR(__xludf.DUMMYFUNCTION("AVERAGE(FILTER('__flatlist__'!D$2:D1006,('__flatlist__'!$A$2:$A1006=$A30)))"),"#N/A")</f>
        <v>#N/A</v>
      </c>
      <c r="E30" s="9" t="str">
        <f>IFERROR(__xludf.DUMMYFUNCTION("AVERAGE(FILTER('__flatlist__'!E$2:E1006,('__flatlist__'!$A$2:$A1006=$A30)))"),"#N/A")</f>
        <v>#N/A</v>
      </c>
      <c r="F30" s="9" t="str">
        <f>IFERROR(__xludf.DUMMYFUNCTION("AVERAGE(FILTER('__flatlist__'!F$2:F1006,('__flatlist__'!$A$2:$A1006=$A30)))"),"#N/A")</f>
        <v>#N/A</v>
      </c>
      <c r="G30" s="9" t="str">
        <f>IFERROR(__xludf.DUMMYFUNCTION("AVERAGE(FILTER('__flatlist__'!G$2:G1006,('__flatlist__'!$A$2:$A1006=$A30)))"),"#N/A")</f>
        <v>#N/A</v>
      </c>
      <c r="H30" s="9" t="str">
        <f>IFERROR(__xludf.DUMMYFUNCTION("AVERAGE(FILTER('__flatlist__'!H$2:H1006,('__flatlist__'!$A$2:$A1006=$A30)))"),"#N/A")</f>
        <v>#N/A</v>
      </c>
      <c r="I30" s="9" t="str">
        <f>IFERROR(__xludf.DUMMYFUNCTION("AVERAGE(FILTER('__flatlist__'!I$2:I1006,('__flatlist__'!$A$2:$A1006=$A30)))"),"#N/A")</f>
        <v>#N/A</v>
      </c>
      <c r="J30" s="11" t="str">
        <f t="shared" si="3"/>
        <v>#N/A</v>
      </c>
      <c r="K30" s="23"/>
      <c r="M30" s="4"/>
      <c r="N30" s="10"/>
    </row>
    <row r="31" hidden="1">
      <c r="A31" s="25" t="str">
        <f t="shared" si="4"/>
        <v>#REF!</v>
      </c>
      <c r="B31" s="6"/>
      <c r="D31" s="11" t="str">
        <f>IFERROR(__xludf.DUMMYFUNCTION("AVERAGE(FILTER('__flatlist__'!D$2:D1006,('__flatlist__'!$A$2:$A1006=$A31)))"),"#N/A")</f>
        <v>#N/A</v>
      </c>
      <c r="E31" s="9" t="str">
        <f>IFERROR(__xludf.DUMMYFUNCTION("AVERAGE(FILTER('__flatlist__'!E$2:E1006,('__flatlist__'!$A$2:$A1006=$A31)))"),"#N/A")</f>
        <v>#N/A</v>
      </c>
      <c r="F31" s="9" t="str">
        <f>IFERROR(__xludf.DUMMYFUNCTION("AVERAGE(FILTER('__flatlist__'!F$2:F1006,('__flatlist__'!$A$2:$A1006=$A31)))"),"#N/A")</f>
        <v>#N/A</v>
      </c>
      <c r="G31" s="9" t="str">
        <f>IFERROR(__xludf.DUMMYFUNCTION("AVERAGE(FILTER('__flatlist__'!G$2:G1006,('__flatlist__'!$A$2:$A1006=$A31)))"),"#N/A")</f>
        <v>#N/A</v>
      </c>
      <c r="H31" s="9" t="str">
        <f>IFERROR(__xludf.DUMMYFUNCTION("AVERAGE(FILTER('__flatlist__'!H$2:H1006,('__flatlist__'!$A$2:$A1006=$A31)))"),"#N/A")</f>
        <v>#N/A</v>
      </c>
      <c r="I31" s="9" t="str">
        <f>IFERROR(__xludf.DUMMYFUNCTION("AVERAGE(FILTER('__flatlist__'!I$2:I1006,('__flatlist__'!$A$2:$A1006=$A31)))"),"#N/A")</f>
        <v>#N/A</v>
      </c>
      <c r="J31" s="11" t="str">
        <f t="shared" si="3"/>
        <v>#N/A</v>
      </c>
      <c r="K31" s="23"/>
      <c r="M31" s="4"/>
      <c r="N31" s="10"/>
    </row>
    <row r="32">
      <c r="A32" s="26"/>
      <c r="B32" s="17" t="s">
        <v>18</v>
      </c>
      <c r="C32" s="18"/>
      <c r="D32" s="19">
        <f>IFERROR(__xludf.DUMMYFUNCTION("AVERAGE(FILTER('__flatlist__'!D$2:D1006,('__flatlist__'!$B$2:$B1006=$B32)))"),0.4563583494557997)</f>
        <v>0.4563583495</v>
      </c>
      <c r="E32" s="20">
        <f>IFERROR(__xludf.DUMMYFUNCTION("AVERAGE(FILTER('__flatlist__'!E$2:E1006,('__flatlist__'!$B$2:$B1006=$B32)))"),2.95)</f>
        <v>2.95</v>
      </c>
      <c r="F32" s="20">
        <f>IFERROR(__xludf.DUMMYFUNCTION("AVERAGE(FILTER('__flatlist__'!F$2:F1006,('__flatlist__'!$B$2:$B1006=$B32)))"),4.75)</f>
        <v>4.75</v>
      </c>
      <c r="G32" s="20">
        <f>IFERROR(__xludf.DUMMYFUNCTION("AVERAGE(FILTER('__flatlist__'!G$2:G1006,('__flatlist__'!$B$2:$B1006=$B32)))"),4.7)</f>
        <v>4.7</v>
      </c>
      <c r="H32" s="20">
        <f>IFERROR(__xludf.DUMMYFUNCTION("AVERAGE(FILTER('__flatlist__'!H$2:H1006,('__flatlist__'!$B$2:$B1006=$B32)))"),3.25)</f>
        <v>3.25</v>
      </c>
      <c r="I32" s="20">
        <f>IFERROR(__xludf.DUMMYFUNCTION("AVERAGE(FILTER('__flatlist__'!I$2:I1006,('__flatlist__'!$B$2:$B1006=$B32)))"),4.65)</f>
        <v>4.65</v>
      </c>
      <c r="J32" s="20">
        <f t="shared" si="3"/>
        <v>4.06</v>
      </c>
      <c r="K32" s="27">
        <f t="shared" ref="K32:K35" si="5">rank(J32,$J$32:$J$35,FALSE)</f>
        <v>2</v>
      </c>
      <c r="M32" s="4"/>
      <c r="N32" s="10"/>
    </row>
    <row r="33">
      <c r="A33" s="28"/>
      <c r="B33" s="6" t="s">
        <v>22</v>
      </c>
      <c r="D33" s="8">
        <f>IFERROR(__xludf.DUMMYFUNCTION("AVERAGE(FILTER('__flatlist__'!D$2:D1006,('__flatlist__'!$B$2:$B1006=$B33)))"),0.5321636959798018)</f>
        <v>0.532163696</v>
      </c>
      <c r="E33" s="9">
        <f>IFERROR(__xludf.DUMMYFUNCTION("AVERAGE(FILTER('__flatlist__'!E$2:E1006,('__flatlist__'!$B$2:$B1006=$B33)))"),2.7)</f>
        <v>2.7</v>
      </c>
      <c r="F33" s="9">
        <f>IFERROR(__xludf.DUMMYFUNCTION("AVERAGE(FILTER('__flatlist__'!F$2:F1006,('__flatlist__'!$B$2:$B1006=$B33)))"),3.55)</f>
        <v>3.55</v>
      </c>
      <c r="G33" s="9">
        <f>IFERROR(__xludf.DUMMYFUNCTION("AVERAGE(FILTER('__flatlist__'!G$2:G1006,('__flatlist__'!$B$2:$B1006=$B33)))"),2.55)</f>
        <v>2.55</v>
      </c>
      <c r="H33" s="9">
        <f>IFERROR(__xludf.DUMMYFUNCTION("AVERAGE(FILTER('__flatlist__'!H$2:H1006,('__flatlist__'!$B$2:$B1006=$B33)))"),2.95)</f>
        <v>2.95</v>
      </c>
      <c r="I33" s="9">
        <f>IFERROR(__xludf.DUMMYFUNCTION("AVERAGE(FILTER('__flatlist__'!I$2:I1006,('__flatlist__'!$B$2:$B1006=$B33)))"),3.65)</f>
        <v>3.65</v>
      </c>
      <c r="J33" s="9">
        <f t="shared" si="3"/>
        <v>3.08</v>
      </c>
      <c r="K33" s="29">
        <f t="shared" si="5"/>
        <v>4</v>
      </c>
      <c r="M33" s="4"/>
      <c r="N33" s="10"/>
    </row>
    <row r="34">
      <c r="A34" s="28"/>
      <c r="B34" s="6" t="s">
        <v>23</v>
      </c>
      <c r="D34" s="8">
        <f>IFERROR(__xludf.DUMMYFUNCTION("AVERAGE(FILTER('__flatlist__'!D$2:D1006,('__flatlist__'!$B$2:$B1006=$B34)))"),0.43087796212999363)</f>
        <v>0.4308779621</v>
      </c>
      <c r="E34" s="9">
        <f>IFERROR(__xludf.DUMMYFUNCTION("AVERAGE(FILTER('__flatlist__'!E$2:E1006,('__flatlist__'!$B$2:$B1006=$B34)))"),3.75)</f>
        <v>3.75</v>
      </c>
      <c r="F34" s="9">
        <f>IFERROR(__xludf.DUMMYFUNCTION("AVERAGE(FILTER('__flatlist__'!F$2:F1006,('__flatlist__'!$B$2:$B1006=$B34)))"),4.35)</f>
        <v>4.35</v>
      </c>
      <c r="G34" s="9">
        <f>IFERROR(__xludf.DUMMYFUNCTION("AVERAGE(FILTER('__flatlist__'!G$2:G1006,('__flatlist__'!$B$2:$B1006=$B34)))"),4.4)</f>
        <v>4.4</v>
      </c>
      <c r="H34" s="9">
        <f>IFERROR(__xludf.DUMMYFUNCTION("AVERAGE(FILTER('__flatlist__'!H$2:H1006,('__flatlist__'!$B$2:$B1006=$B34)))"),3.45)</f>
        <v>3.45</v>
      </c>
      <c r="I34" s="9">
        <f>IFERROR(__xludf.DUMMYFUNCTION("AVERAGE(FILTER('__flatlist__'!I$2:I1006,('__flatlist__'!$B$2:$B1006=$B34)))"),4.6)</f>
        <v>4.6</v>
      </c>
      <c r="J34" s="9">
        <f t="shared" si="3"/>
        <v>4.11</v>
      </c>
      <c r="K34" s="29">
        <f t="shared" si="5"/>
        <v>1</v>
      </c>
      <c r="M34" s="4"/>
      <c r="N34" s="10"/>
    </row>
    <row r="35">
      <c r="A35" s="30"/>
      <c r="B35" s="31" t="s">
        <v>24</v>
      </c>
      <c r="C35" s="32"/>
      <c r="D35" s="33">
        <f>IFERROR(__xludf.DUMMYFUNCTION("AVERAGE(FILTER('__flatlist__'!D$2:D1006,('__flatlist__'!$B$2:$B1006=$B35)))"),0.44414047736291595)</f>
        <v>0.4441404774</v>
      </c>
      <c r="E35" s="34">
        <f>IFERROR(__xludf.DUMMYFUNCTION("AVERAGE(FILTER('__flatlist__'!E$2:E1006,('__flatlist__'!$B$2:$B1006=$B35)))"),3.75)</f>
        <v>3.75</v>
      </c>
      <c r="F35" s="34">
        <f>IFERROR(__xludf.DUMMYFUNCTION("AVERAGE(FILTER('__flatlist__'!F$2:F1006,('__flatlist__'!$B$2:$B1006=$B35)))"),4.2)</f>
        <v>4.2</v>
      </c>
      <c r="G35" s="34">
        <f>IFERROR(__xludf.DUMMYFUNCTION("AVERAGE(FILTER('__flatlist__'!G$2:G1006,('__flatlist__'!$B$2:$B1006=$B35)))"),4.4)</f>
        <v>4.4</v>
      </c>
      <c r="H35" s="34">
        <f>IFERROR(__xludf.DUMMYFUNCTION("AVERAGE(FILTER('__flatlist__'!H$2:H1006,('__flatlist__'!$B$2:$B1006=$B35)))"),3.1)</f>
        <v>3.1</v>
      </c>
      <c r="I35" s="34">
        <f>IFERROR(__xludf.DUMMYFUNCTION("AVERAGE(FILTER('__flatlist__'!I$2:I1006,('__flatlist__'!$B$2:$B1006=$B35)))"),4.4)</f>
        <v>4.4</v>
      </c>
      <c r="J35" s="34">
        <f t="shared" si="3"/>
        <v>3.97</v>
      </c>
      <c r="K35" s="35">
        <f t="shared" si="5"/>
        <v>3</v>
      </c>
      <c r="M35" s="4"/>
      <c r="N35" s="10"/>
    </row>
    <row r="36">
      <c r="A36" s="36"/>
      <c r="B36" s="18"/>
      <c r="C36" s="37" t="s">
        <v>19</v>
      </c>
      <c r="D36" s="19">
        <f>IFERROR(__xludf.DUMMYFUNCTION("AVERAGE(FILTER('__flatlist__'!D$2:D1006,('__flatlist__'!$C$2:$C1006=$C36)))"),0.678085957946755)</f>
        <v>0.6780859579</v>
      </c>
      <c r="E36" s="38">
        <f>IFERROR(__xludf.DUMMYFUNCTION("AVERAGE(FILTER('__flatlist__'!E$2:E1006,('__flatlist__'!$C$2:$C1006=$C36)))"),3.45)</f>
        <v>3.45</v>
      </c>
      <c r="F36" s="38">
        <f>IFERROR(__xludf.DUMMYFUNCTION("AVERAGE(FILTER('__flatlist__'!F$2:F1006,('__flatlist__'!$C$2:$C1006=$C36)))"),4.1)</f>
        <v>4.1</v>
      </c>
      <c r="G36" s="38">
        <f>IFERROR(__xludf.DUMMYFUNCTION("AVERAGE(FILTER('__flatlist__'!G$2:G1006,('__flatlist__'!$C$2:$C1006=$C36)))"),4.05)</f>
        <v>4.05</v>
      </c>
      <c r="H36" s="38">
        <f>IFERROR(__xludf.DUMMYFUNCTION("AVERAGE(FILTER('__flatlist__'!H$2:H1006,('__flatlist__'!$C$2:$C1006=$C36)))"),2.3)</f>
        <v>2.3</v>
      </c>
      <c r="I36" s="38">
        <f>IFERROR(__xludf.DUMMYFUNCTION("AVERAGE(FILTER('__flatlist__'!I$2:I1006,('__flatlist__'!$C$2:$C1006=$C36)))"),4.65)</f>
        <v>4.65</v>
      </c>
      <c r="J36" s="38">
        <f t="shared" si="3"/>
        <v>3.71</v>
      </c>
      <c r="K36" s="29">
        <f t="shared" ref="K36:K39" si="6">rank(J36,$J$36:$J$39,FALSE)</f>
        <v>3</v>
      </c>
      <c r="M36" s="4"/>
      <c r="N36" s="10"/>
    </row>
    <row r="37">
      <c r="A37" s="39"/>
      <c r="C37" s="7" t="s">
        <v>20</v>
      </c>
      <c r="D37" s="8">
        <f>IFERROR(__xludf.DUMMYFUNCTION("AVERAGE(FILTER('__flatlist__'!D$2:D1006,('__flatlist__'!$C$2:$C1006=$C37)))"),0.35860986684633367)</f>
        <v>0.3586098668</v>
      </c>
      <c r="E37" s="10">
        <f>IFERROR(__xludf.DUMMYFUNCTION("AVERAGE(FILTER('__flatlist__'!E$2:E1006,('__flatlist__'!$C$2:$C1006=$C37)))"),3.55)</f>
        <v>3.55</v>
      </c>
      <c r="F37" s="10">
        <f>IFERROR(__xludf.DUMMYFUNCTION("AVERAGE(FILTER('__flatlist__'!F$2:F1006,('__flatlist__'!$C$2:$C1006=$C37)))"),4.2)</f>
        <v>4.2</v>
      </c>
      <c r="G37" s="10">
        <f>IFERROR(__xludf.DUMMYFUNCTION("AVERAGE(FILTER('__flatlist__'!G$2:G1006,('__flatlist__'!$C$2:$C1006=$C37)))"),3.95)</f>
        <v>3.95</v>
      </c>
      <c r="H37" s="10">
        <f>IFERROR(__xludf.DUMMYFUNCTION("AVERAGE(FILTER('__flatlist__'!H$2:H1006,('__flatlist__'!$C$2:$C1006=$C37)))"),3.35)</f>
        <v>3.35</v>
      </c>
      <c r="I37" s="10">
        <f>IFERROR(__xludf.DUMMYFUNCTION("AVERAGE(FILTER('__flatlist__'!I$2:I1006,('__flatlist__'!$C$2:$C1006=$C37)))"),3.9)</f>
        <v>3.9</v>
      </c>
      <c r="J37" s="10">
        <f t="shared" si="3"/>
        <v>3.79</v>
      </c>
      <c r="K37" s="29">
        <f t="shared" si="6"/>
        <v>2</v>
      </c>
      <c r="M37" s="4"/>
      <c r="N37" s="10"/>
    </row>
    <row r="38">
      <c r="A38" s="39"/>
      <c r="C38" s="7" t="s">
        <v>8</v>
      </c>
      <c r="D38" s="8">
        <f>IFERROR(__xludf.DUMMYFUNCTION("AVERAGE(FILTER('__flatlist__'!D$2:D1006,('__flatlist__'!$C$2:$C1006=$C38)))"),0.4875052983356955)</f>
        <v>0.4875052983</v>
      </c>
      <c r="E38" s="10">
        <f>IFERROR(__xludf.DUMMYFUNCTION("AVERAGE(FILTER('__flatlist__'!E$2:E1006,('__flatlist__'!$C$2:$C1006=$C38)))"),2.4)</f>
        <v>2.4</v>
      </c>
      <c r="F38" s="10">
        <f>IFERROR(__xludf.DUMMYFUNCTION("AVERAGE(FILTER('__flatlist__'!F$2:F1006,('__flatlist__'!$C$2:$C1006=$C38)))"),4.0)</f>
        <v>4</v>
      </c>
      <c r="G38" s="10">
        <f>IFERROR(__xludf.DUMMYFUNCTION("AVERAGE(FILTER('__flatlist__'!G$2:G1006,('__flatlist__'!$C$2:$C1006=$C38)))"),4.05)</f>
        <v>4.05</v>
      </c>
      <c r="H38" s="10">
        <f>IFERROR(__xludf.DUMMYFUNCTION("AVERAGE(FILTER('__flatlist__'!H$2:H1006,('__flatlist__'!$C$2:$C1006=$C38)))"),3.25)</f>
        <v>3.25</v>
      </c>
      <c r="I38" s="10">
        <f>IFERROR(__xludf.DUMMYFUNCTION("AVERAGE(FILTER('__flatlist__'!I$2:I1006,('__flatlist__'!$C$2:$C1006=$C38)))"),4.25)</f>
        <v>4.25</v>
      </c>
      <c r="J38" s="10">
        <f t="shared" si="3"/>
        <v>3.59</v>
      </c>
      <c r="K38" s="29">
        <f t="shared" si="6"/>
        <v>4</v>
      </c>
      <c r="M38" s="4"/>
      <c r="N38" s="10"/>
    </row>
    <row r="39">
      <c r="A39" s="40"/>
      <c r="B39" s="32"/>
      <c r="C39" s="41" t="s">
        <v>21</v>
      </c>
      <c r="D39" s="33">
        <f>IFERROR(__xludf.DUMMYFUNCTION("AVERAGE(FILTER('__flatlist__'!D$2:D1006,('__flatlist__'!$C$2:$C1006=$C39)))"),0.3393393617997272)</f>
        <v>0.3393393618</v>
      </c>
      <c r="E39" s="42">
        <f>IFERROR(__xludf.DUMMYFUNCTION("AVERAGE(FILTER('__flatlist__'!E$2:E1006,('__flatlist__'!$C$2:$C1006=$C39)))"),3.75)</f>
        <v>3.75</v>
      </c>
      <c r="F39" s="42">
        <f>IFERROR(__xludf.DUMMYFUNCTION("AVERAGE(FILTER('__flatlist__'!F$2:F1006,('__flatlist__'!$C$2:$C1006=$C39)))"),4.55)</f>
        <v>4.55</v>
      </c>
      <c r="G39" s="42">
        <f>IFERROR(__xludf.DUMMYFUNCTION("AVERAGE(FILTER('__flatlist__'!G$2:G1006,('__flatlist__'!$C$2:$C1006=$C39)))"),4.0)</f>
        <v>4</v>
      </c>
      <c r="H39" s="42">
        <f>IFERROR(__xludf.DUMMYFUNCTION("AVERAGE(FILTER('__flatlist__'!H$2:H1006,('__flatlist__'!$C$2:$C1006=$C39)))"),3.85)</f>
        <v>3.85</v>
      </c>
      <c r="I39" s="42">
        <f>IFERROR(__xludf.DUMMYFUNCTION("AVERAGE(FILTER('__flatlist__'!I$2:I1006,('__flatlist__'!$C$2:$C1006=$C39)))"),4.5)</f>
        <v>4.5</v>
      </c>
      <c r="J39" s="42">
        <f t="shared" si="3"/>
        <v>4.13</v>
      </c>
      <c r="K39" s="35">
        <f t="shared" si="6"/>
        <v>1</v>
      </c>
      <c r="M39" s="4"/>
      <c r="N39" s="10"/>
    </row>
    <row r="40">
      <c r="A40" s="4"/>
      <c r="B40" s="4"/>
      <c r="C40" s="10"/>
      <c r="K40" s="3"/>
    </row>
    <row r="41">
      <c r="A41" s="43"/>
      <c r="B41" s="44"/>
      <c r="C41" s="44"/>
      <c r="D41" s="43" t="s">
        <v>26</v>
      </c>
      <c r="I41" s="45"/>
      <c r="K41" s="3"/>
      <c r="M41" s="4"/>
      <c r="N41" s="10"/>
    </row>
    <row r="42" hidden="1">
      <c r="A42" s="16" t="str">
        <f>'🤖 Claude Sonnet 3.5'!$A$2</f>
        <v>www.berria.eus/euskal-herria/ehunka-herritarrek-etxebarriko-sexu-erasoa-salatu-dute_2126343_102.html</v>
      </c>
      <c r="B42" s="17"/>
      <c r="C42" s="18"/>
      <c r="D42" s="19">
        <f>IFERROR(__xludf.DUMMYFUNCTION("STDEV(FILTER('__flatlist__'!D$2:D1006,('__flatlist__'!$A$2:$A1006=$A42)))"),0.2860284397383623)</f>
        <v>0.2860284397</v>
      </c>
      <c r="E42" s="38">
        <f>IFERROR(__xludf.DUMMYFUNCTION("STDEV(FILTER('__flatlist__'!E$2:E1006,('__flatlist__'!$A$2:$A1006=$A42)))"),1.403776419268438)</f>
        <v>1.403776419</v>
      </c>
      <c r="F42" s="38">
        <f>IFERROR(__xludf.DUMMYFUNCTION("STDEV(FILTER('__flatlist__'!F$2:F1006,('__flatlist__'!$A$2:$A1006=$A42)))"),0.7276068751089989)</f>
        <v>0.7276068751</v>
      </c>
      <c r="G42" s="38">
        <f>IFERROR(__xludf.DUMMYFUNCTION("STDEV(FILTER('__flatlist__'!G$2:G1006,('__flatlist__'!$A$2:$A1006=$A42)))"),1.3639259941972872)</f>
        <v>1.363925994</v>
      </c>
      <c r="H42" s="38">
        <f>IFERROR(__xludf.DUMMYFUNCTION("STDEV(FILTER('__flatlist__'!H$2:H1006,('__flatlist__'!$A$2:$A1006=$A42)))"),0.8617697249402124)</f>
        <v>0.8617697249</v>
      </c>
      <c r="I42" s="46">
        <f>IFERROR(__xludf.DUMMYFUNCTION("STDEV(FILTER('__flatlist__'!I$2:I1006,('__flatlist__'!$A$2:$A1006=$A42)))"),1.0073261052672768)</f>
        <v>1.007326105</v>
      </c>
      <c r="K42" s="3"/>
      <c r="M42" s="4"/>
      <c r="N42" s="10"/>
    </row>
    <row r="43" hidden="1">
      <c r="A43" s="22" t="str">
        <f>'🤖 Claude Sonnet 3.5'!$A$7</f>
        <v>https://www.berria.eus/euskal-herria/erramun-baxok-ohorezko-euskaltzaina-zendu-da_2126101_102.html</v>
      </c>
      <c r="B43" s="6"/>
      <c r="D43" s="8">
        <f>IFERROR(__xludf.DUMMYFUNCTION("STDEV(FILTER('__flatlist__'!D$2:D1006,('__flatlist__'!$A$2:$A1006=$A43)))"),0.15912442005003155)</f>
        <v>0.1591244201</v>
      </c>
      <c r="E43" s="10">
        <f>IFERROR(__xludf.DUMMYFUNCTION("STDEV(FILTER('__flatlist__'!E$2:E1006,('__flatlist__'!$A$2:$A1006=$A43)))"),0.9275204136012636)</f>
        <v>0.9275204136</v>
      </c>
      <c r="F43" s="10">
        <f>IFERROR(__xludf.DUMMYFUNCTION("STDEV(FILTER('__flatlist__'!F$2:F1006,('__flatlist__'!$A$2:$A1006=$A43)))"),0.624264272846798)</f>
        <v>0.6242642728</v>
      </c>
      <c r="G43" s="10">
        <f>IFERROR(__xludf.DUMMYFUNCTION("STDEV(FILTER('__flatlist__'!G$2:G1006,('__flatlist__'!$A$2:$A1006=$A43)))"),0.7905694150420948)</f>
        <v>0.790569415</v>
      </c>
      <c r="H43" s="10">
        <f>IFERROR(__xludf.DUMMYFUNCTION("STDEV(FILTER('__flatlist__'!H$2:H1006,('__flatlist__'!$A$2:$A1006=$A43)))"),1.2307338795828047)</f>
        <v>1.23073388</v>
      </c>
      <c r="I43" s="47">
        <f>IFERROR(__xludf.DUMMYFUNCTION("STDEV(FILTER('__flatlist__'!I$2:I1006,('__flatlist__'!$A$2:$A1006=$A43)))"),0.8488746876271652)</f>
        <v>0.8488746876</v>
      </c>
      <c r="K43" s="3"/>
      <c r="M43" s="4"/>
      <c r="N43" s="10"/>
    </row>
    <row r="44" hidden="1">
      <c r="A44" s="22" t="str">
        <f>'🤖 Claude Sonnet 3.5'!$A$12</f>
        <v>https://www.berria.eus/euskal-herria/etxelekuren-kargugabetzea-kritikatu-dute-errobiko-bederatzi-hautetsik_2125690_102.html</v>
      </c>
      <c r="B44" s="6"/>
      <c r="D44" s="8">
        <f>IFERROR(__xludf.DUMMYFUNCTION("STDEV(FILTER('__flatlist__'!D$2:D1006,('__flatlist__'!$A$2:$A1006=$A44)))"),0.23422156466608132)</f>
        <v>0.2342215647</v>
      </c>
      <c r="E44" s="10">
        <f>IFERROR(__xludf.DUMMYFUNCTION("STDEV(FILTER('__flatlist__'!E$2:E1006,('__flatlist__'!$A$2:$A1006=$A44)))"),0.870260272089029)</f>
        <v>0.8702602721</v>
      </c>
      <c r="F44" s="10">
        <f>IFERROR(__xludf.DUMMYFUNCTION("STDEV(FILTER('__flatlist__'!F$2:F1006,('__flatlist__'!$A$2:$A1006=$A44)))"),1.0325582165612917)</f>
        <v>1.032558217</v>
      </c>
      <c r="G44" s="10">
        <f>IFERROR(__xludf.DUMMYFUNCTION("STDEV(FILTER('__flatlist__'!G$2:G1006,('__flatlist__'!$A$2:$A1006=$A44)))"),1.0606601717798214)</f>
        <v>1.060660172</v>
      </c>
      <c r="H44" s="10">
        <f>IFERROR(__xludf.DUMMYFUNCTION("STDEV(FILTER('__flatlist__'!H$2:H1006,('__flatlist__'!$A$2:$A1006=$A44)))"),1.3117119482928095)</f>
        <v>1.311711948</v>
      </c>
      <c r="I44" s="47">
        <f>IFERROR(__xludf.DUMMYFUNCTION("STDEV(FILTER('__flatlist__'!I$2:I1006,('__flatlist__'!$A$2:$A1006=$A44)))"),0.7122871199007256)</f>
        <v>0.7122871199</v>
      </c>
      <c r="K44" s="3"/>
      <c r="M44" s="4"/>
      <c r="N44" s="10"/>
    </row>
    <row r="45" hidden="1">
      <c r="A45" s="22" t="str">
        <f>'🤖 Claude Sonnet 3.5'!$A$17</f>
        <v>https://www.berria.eus/euskal-herria/itziar-lakari-eman-diote-eusko-ikaskuntzaren-saria_2125317_102.html</v>
      </c>
      <c r="B45" s="6"/>
      <c r="D45" s="8">
        <f>IFERROR(__xludf.DUMMYFUNCTION("STDEV(FILTER('__flatlist__'!D$2:D1006,('__flatlist__'!$A$2:$A1006=$A45)))"),0.23415245038264698)</f>
        <v>0.2341524504</v>
      </c>
      <c r="E45" s="10">
        <f>IFERROR(__xludf.DUMMYFUNCTION("STDEV(FILTER('__flatlist__'!E$2:E1006,('__flatlist__'!$A$2:$A1006=$A45)))"),0.7122871199007256)</f>
        <v>0.7122871199</v>
      </c>
      <c r="F45" s="10">
        <f>IFERROR(__xludf.DUMMYFUNCTION("STDEV(FILTER('__flatlist__'!F$2:F1006,('__flatlist__'!$A$2:$A1006=$A45)))"),0.5878675320972555)</f>
        <v>0.5878675321</v>
      </c>
      <c r="G45" s="10">
        <f>IFERROR(__xludf.DUMMYFUNCTION("STDEV(FILTER('__flatlist__'!G$2:G1006,('__flatlist__'!$A$2:$A1006=$A45)))"),1.2485285456935957)</f>
        <v>1.248528546</v>
      </c>
      <c r="H45" s="10">
        <f>IFERROR(__xludf.DUMMYFUNCTION("STDEV(FILTER('__flatlist__'!H$2:H1006,('__flatlist__'!$A$2:$A1006=$A45)))"),1.0537049480984033)</f>
        <v>1.053704948</v>
      </c>
      <c r="I45" s="47">
        <f>IFERROR(__xludf.DUMMYFUNCTION("STDEV(FILTER('__flatlist__'!I$2:I1006,('__flatlist__'!$A$2:$A1006=$A45)))"),0.9314757424772421)</f>
        <v>0.9314757425</v>
      </c>
      <c r="K45" s="3"/>
      <c r="M45" s="4"/>
      <c r="N45" s="10"/>
    </row>
    <row r="46" hidden="1">
      <c r="A46" s="22" t="str">
        <f>'🤖 Claude Sonnet 3.5'!$A$22</f>
        <v>https://www.berria.eus/euskal-herria/sexu-indarkeriaren-biktimentzako-zentro-bat-zabaldu-dute-araban_2124914_102.html</v>
      </c>
      <c r="B46" s="6"/>
      <c r="D46" s="8">
        <f>IFERROR(__xludf.DUMMYFUNCTION("STDEV(FILTER('__flatlist__'!D$2:D1006,('__flatlist__'!$A$2:$A1006=$A46)))"),0.14844533627799436)</f>
        <v>0.1484453363</v>
      </c>
      <c r="E46" s="10">
        <f>IFERROR(__xludf.DUMMYFUNCTION("STDEV(FILTER('__flatlist__'!E$2:E1006,('__flatlist__'!$A$2:$A1006=$A46)))"),0.7122871199007256)</f>
        <v>0.7122871199</v>
      </c>
      <c r="F46" s="10">
        <f>IFERROR(__xludf.DUMMYFUNCTION("STDEV(FILTER('__flatlist__'!F$2:F1006,('__flatlist__'!$A$2:$A1006=$A46)))"),0.7018882096342189)</f>
        <v>0.7018882096</v>
      </c>
      <c r="G46" s="10">
        <f>IFERROR(__xludf.DUMMYFUNCTION("STDEV(FILTER('__flatlist__'!G$2:G1006,('__flatlist__'!$A$2:$A1006=$A46)))"),0.8617697249402125)</f>
        <v>0.8617697249</v>
      </c>
      <c r="H46" s="10">
        <f>IFERROR(__xludf.DUMMYFUNCTION("STDEV(FILTER('__flatlist__'!H$2:H1006,('__flatlist__'!$A$2:$A1006=$A46)))"),0.7276068751089991)</f>
        <v>0.7276068751</v>
      </c>
      <c r="I46" s="47">
        <f>IFERROR(__xludf.DUMMYFUNCTION("STDEV(FILTER('__flatlist__'!I$2:I1006,('__flatlist__'!$A$2:$A1006=$A46)))"),0.7952062255644572)</f>
        <v>0.7952062256</v>
      </c>
      <c r="K46" s="3"/>
      <c r="M46" s="4"/>
      <c r="N46" s="10"/>
    </row>
    <row r="47" hidden="1">
      <c r="A47" s="24" t="str">
        <f t="shared" ref="A47:A51" si="7">#REF!</f>
        <v>#REF!</v>
      </c>
      <c r="B47" s="6"/>
      <c r="D47" s="8" t="str">
        <f>IFERROR(__xludf.DUMMYFUNCTION("STDEV(FILTER('__flatlist__'!D$2:D1006,('__flatlist__'!$A$2:$A1006=$A47)))"),"#N/A")</f>
        <v>#N/A</v>
      </c>
      <c r="E47" s="10" t="str">
        <f>IFERROR(__xludf.DUMMYFUNCTION("STDEV(FILTER('__flatlist__'!E$2:E1006,('__flatlist__'!$A$2:$A1006=$A47)))"),"#N/A")</f>
        <v>#N/A</v>
      </c>
      <c r="F47" s="10" t="str">
        <f>IFERROR(__xludf.DUMMYFUNCTION("STDEV(FILTER('__flatlist__'!F$2:F1006,('__flatlist__'!$A$2:$A1006=$A47)))"),"#N/A")</f>
        <v>#N/A</v>
      </c>
      <c r="G47" s="10" t="str">
        <f>IFERROR(__xludf.DUMMYFUNCTION("STDEV(FILTER('__flatlist__'!G$2:G1006,('__flatlist__'!$A$2:$A1006=$A47)))"),"#N/A")</f>
        <v>#N/A</v>
      </c>
      <c r="H47" s="10" t="str">
        <f>IFERROR(__xludf.DUMMYFUNCTION("STDEV(FILTER('__flatlist__'!H$2:H1006,('__flatlist__'!$A$2:$A1006=$A47)))"),"#N/A")</f>
        <v>#N/A</v>
      </c>
      <c r="I47" s="47" t="str">
        <f>IFERROR(__xludf.DUMMYFUNCTION("STDEV(FILTER('__flatlist__'!I$2:I1006,('__flatlist__'!$A$2:$A1006=$A47)))"),"#N/A")</f>
        <v>#N/A</v>
      </c>
      <c r="K47" s="3"/>
      <c r="M47" s="4"/>
      <c r="N47" s="10"/>
    </row>
    <row r="48" hidden="1">
      <c r="A48" s="24" t="str">
        <f t="shared" si="7"/>
        <v>#REF!</v>
      </c>
      <c r="B48" s="6"/>
      <c r="D48" s="8" t="str">
        <f>IFERROR(__xludf.DUMMYFUNCTION("STDEV(FILTER('__flatlist__'!D$2:D1006,('__flatlist__'!$A$2:$A1006=$A48)))"),"#N/A")</f>
        <v>#N/A</v>
      </c>
      <c r="E48" s="10" t="str">
        <f>IFERROR(__xludf.DUMMYFUNCTION("STDEV(FILTER('__flatlist__'!E$2:E1006,('__flatlist__'!$A$2:$A1006=$A48)))"),"#N/A")</f>
        <v>#N/A</v>
      </c>
      <c r="F48" s="10" t="str">
        <f>IFERROR(__xludf.DUMMYFUNCTION("STDEV(FILTER('__flatlist__'!F$2:F1006,('__flatlist__'!$A$2:$A1006=$A48)))"),"#N/A")</f>
        <v>#N/A</v>
      </c>
      <c r="G48" s="10" t="str">
        <f>IFERROR(__xludf.DUMMYFUNCTION("STDEV(FILTER('__flatlist__'!G$2:G1006,('__flatlist__'!$A$2:$A1006=$A48)))"),"#N/A")</f>
        <v>#N/A</v>
      </c>
      <c r="H48" s="10" t="str">
        <f>IFERROR(__xludf.DUMMYFUNCTION("STDEV(FILTER('__flatlist__'!H$2:H1006,('__flatlist__'!$A$2:$A1006=$A48)))"),"#N/A")</f>
        <v>#N/A</v>
      </c>
      <c r="I48" s="47" t="str">
        <f>IFERROR(__xludf.DUMMYFUNCTION("STDEV(FILTER('__flatlist__'!I$2:I1006,('__flatlist__'!$A$2:$A1006=$A48)))"),"#N/A")</f>
        <v>#N/A</v>
      </c>
      <c r="K48" s="3"/>
      <c r="M48" s="4"/>
      <c r="N48" s="10"/>
    </row>
    <row r="49" hidden="1">
      <c r="A49" s="24" t="str">
        <f t="shared" si="7"/>
        <v>#REF!</v>
      </c>
      <c r="B49" s="6"/>
      <c r="D49" s="8" t="str">
        <f>IFERROR(__xludf.DUMMYFUNCTION("STDEV(FILTER('__flatlist__'!D$2:D1006,('__flatlist__'!$A$2:$A1006=$A49)))"),"#N/A")</f>
        <v>#N/A</v>
      </c>
      <c r="E49" s="10" t="str">
        <f>IFERROR(__xludf.DUMMYFUNCTION("STDEV(FILTER('__flatlist__'!E$2:E1006,('__flatlist__'!$A$2:$A1006=$A49)))"),"#N/A")</f>
        <v>#N/A</v>
      </c>
      <c r="F49" s="10" t="str">
        <f>IFERROR(__xludf.DUMMYFUNCTION("STDEV(FILTER('__flatlist__'!F$2:F1006,('__flatlist__'!$A$2:$A1006=$A49)))"),"#N/A")</f>
        <v>#N/A</v>
      </c>
      <c r="G49" s="10" t="str">
        <f>IFERROR(__xludf.DUMMYFUNCTION("STDEV(FILTER('__flatlist__'!G$2:G1006,('__flatlist__'!$A$2:$A1006=$A49)))"),"#N/A")</f>
        <v>#N/A</v>
      </c>
      <c r="H49" s="10" t="str">
        <f>IFERROR(__xludf.DUMMYFUNCTION("STDEV(FILTER('__flatlist__'!H$2:H1006,('__flatlist__'!$A$2:$A1006=$A49)))"),"#N/A")</f>
        <v>#N/A</v>
      </c>
      <c r="I49" s="47" t="str">
        <f>IFERROR(__xludf.DUMMYFUNCTION("STDEV(FILTER('__flatlist__'!I$2:I1006,('__flatlist__'!$A$2:$A1006=$A49)))"),"#N/A")</f>
        <v>#N/A</v>
      </c>
      <c r="K49" s="3"/>
      <c r="M49" s="4"/>
      <c r="N49" s="10"/>
    </row>
    <row r="50" hidden="1">
      <c r="A50" s="24" t="str">
        <f t="shared" si="7"/>
        <v>#REF!</v>
      </c>
      <c r="B50" s="6"/>
      <c r="D50" s="8" t="str">
        <f>IFERROR(__xludf.DUMMYFUNCTION("STDEV(FILTER('__flatlist__'!D$2:D1006,('__flatlist__'!$A$2:$A1006=$A50)))"),"#N/A")</f>
        <v>#N/A</v>
      </c>
      <c r="E50" s="10" t="str">
        <f>IFERROR(__xludf.DUMMYFUNCTION("STDEV(FILTER('__flatlist__'!E$2:E1006,('__flatlist__'!$A$2:$A1006=$A50)))"),"#N/A")</f>
        <v>#N/A</v>
      </c>
      <c r="F50" s="10" t="str">
        <f>IFERROR(__xludf.DUMMYFUNCTION("STDEV(FILTER('__flatlist__'!F$2:F1006,('__flatlist__'!$A$2:$A1006=$A50)))"),"#N/A")</f>
        <v>#N/A</v>
      </c>
      <c r="G50" s="10" t="str">
        <f>IFERROR(__xludf.DUMMYFUNCTION("STDEV(FILTER('__flatlist__'!G$2:G1006,('__flatlist__'!$A$2:$A1006=$A50)))"),"#N/A")</f>
        <v>#N/A</v>
      </c>
      <c r="H50" s="10" t="str">
        <f>IFERROR(__xludf.DUMMYFUNCTION("STDEV(FILTER('__flatlist__'!H$2:H1006,('__flatlist__'!$A$2:$A1006=$A50)))"),"#N/A")</f>
        <v>#N/A</v>
      </c>
      <c r="I50" s="47" t="str">
        <f>IFERROR(__xludf.DUMMYFUNCTION("STDEV(FILTER('__flatlist__'!I$2:I1006,('__flatlist__'!$A$2:$A1006=$A50)))"),"#N/A")</f>
        <v>#N/A</v>
      </c>
      <c r="K50" s="3"/>
      <c r="M50" s="4"/>
      <c r="N50" s="10"/>
    </row>
    <row r="51" hidden="1">
      <c r="A51" s="24" t="str">
        <f t="shared" si="7"/>
        <v>#REF!</v>
      </c>
      <c r="B51" s="6"/>
      <c r="D51" s="8" t="str">
        <f>IFERROR(__xludf.DUMMYFUNCTION("STDEV(FILTER('__flatlist__'!D$2:D1006,('__flatlist__'!$A$2:$A1006=$A51)))"),"#N/A")</f>
        <v>#N/A</v>
      </c>
      <c r="E51" s="10" t="str">
        <f>IFERROR(__xludf.DUMMYFUNCTION("STDEV(FILTER('__flatlist__'!E$2:E1006,('__flatlist__'!$A$2:$A1006=$A51)))"),"#N/A")</f>
        <v>#N/A</v>
      </c>
      <c r="F51" s="10" t="str">
        <f>IFERROR(__xludf.DUMMYFUNCTION("STDEV(FILTER('__flatlist__'!F$2:F1006,('__flatlist__'!$A$2:$A1006=$A51)))"),"#N/A")</f>
        <v>#N/A</v>
      </c>
      <c r="G51" s="10" t="str">
        <f>IFERROR(__xludf.DUMMYFUNCTION("STDEV(FILTER('__flatlist__'!G$2:G1006,('__flatlist__'!$A$2:$A1006=$A51)))"),"#N/A")</f>
        <v>#N/A</v>
      </c>
      <c r="H51" s="10" t="str">
        <f>IFERROR(__xludf.DUMMYFUNCTION("STDEV(FILTER('__flatlist__'!H$2:H1006,('__flatlist__'!$A$2:$A1006=$A51)))"),"#N/A")</f>
        <v>#N/A</v>
      </c>
      <c r="I51" s="47" t="str">
        <f>IFERROR(__xludf.DUMMYFUNCTION("STDEV(FILTER('__flatlist__'!I$2:I1006,('__flatlist__'!$A$2:$A1006=$A51)))"),"#N/A")</f>
        <v>#N/A</v>
      </c>
      <c r="K51" s="3"/>
      <c r="M51" s="4"/>
      <c r="N51" s="10"/>
    </row>
    <row r="52">
      <c r="A52" s="26"/>
      <c r="B52" s="17" t="s">
        <v>18</v>
      </c>
      <c r="C52" s="18"/>
      <c r="D52" s="19">
        <f>IFERROR(__xludf.DUMMYFUNCTION("STDEV(FILTER('__flatlist__'!D$2:D1006,('__flatlist__'!$B$2:$B1006=$B52)))"),0.297448197062544)</f>
        <v>0.2974481971</v>
      </c>
      <c r="E52" s="38">
        <f>IFERROR(__xludf.DUMMYFUNCTION("STDEV(FILTER('__flatlist__'!E$2:E1006,('__flatlist__'!$B$2:$B1006=$B52)))"),0.9445132413883328)</f>
        <v>0.9445132414</v>
      </c>
      <c r="F52" s="38">
        <f>IFERROR(__xludf.DUMMYFUNCTION("STDEV(FILTER('__flatlist__'!F$2:F1006,('__flatlist__'!$B$2:$B1006=$B52)))"),0.44426165831931885)</f>
        <v>0.4442616583</v>
      </c>
      <c r="G52" s="38">
        <f>IFERROR(__xludf.DUMMYFUNCTION("STDEV(FILTER('__flatlist__'!G$2:G1006,('__flatlist__'!$B$2:$B1006=$B52)))"),0.4701623459816273)</f>
        <v>0.470162346</v>
      </c>
      <c r="H52" s="38">
        <f>IFERROR(__xludf.DUMMYFUNCTION("STDEV(FILTER('__flatlist__'!H$2:H1006,('__flatlist__'!$B$2:$B1006=$B52)))"),0.7863975156570492)</f>
        <v>0.7863975157</v>
      </c>
      <c r="I52" s="46">
        <f>IFERROR(__xludf.DUMMYFUNCTION("STDEV(FILTER('__flatlist__'!I$2:I1006,('__flatlist__'!$B$2:$B1006=$B52)))"),0.48936048492959316)</f>
        <v>0.4893604849</v>
      </c>
      <c r="K52" s="3"/>
      <c r="M52" s="4"/>
      <c r="N52" s="10"/>
    </row>
    <row r="53">
      <c r="A53" s="28"/>
      <c r="B53" s="6" t="s">
        <v>22</v>
      </c>
      <c r="D53" s="8">
        <f>IFERROR(__xludf.DUMMYFUNCTION("STDEV(FILTER('__flatlist__'!D$2:D1006,('__flatlist__'!$B$2:$B1006=$B53)))"),0.2642446013627421)</f>
        <v>0.2642446014</v>
      </c>
      <c r="E53" s="10">
        <f>IFERROR(__xludf.DUMMYFUNCTION("STDEV(FILTER('__flatlist__'!E$2:E1006,('__flatlist__'!$B$2:$B1006=$B53)))"),0.8645047258706174)</f>
        <v>0.8645047259</v>
      </c>
      <c r="F53" s="10">
        <f>IFERROR(__xludf.DUMMYFUNCTION("STDEV(FILTER('__flatlist__'!F$2:F1006,('__flatlist__'!$B$2:$B1006=$B53)))"),0.8870412083230168)</f>
        <v>0.8870412083</v>
      </c>
      <c r="G53" s="10">
        <f>IFERROR(__xludf.DUMMYFUNCTION("STDEV(FILTER('__flatlist__'!G$2:G1006,('__flatlist__'!$B$2:$B1006=$B53)))"),0.9445132413883327)</f>
        <v>0.9445132414</v>
      </c>
      <c r="H53" s="10">
        <f>IFERROR(__xludf.DUMMYFUNCTION("STDEV(FILTER('__flatlist__'!H$2:H1006,('__flatlist__'!$B$2:$B1006=$B53)))"),0.887041208323017)</f>
        <v>0.8870412083</v>
      </c>
      <c r="I53" s="47">
        <f>IFERROR(__xludf.DUMMYFUNCTION("STDEV(FILTER('__flatlist__'!I$2:I1006,('__flatlist__'!$B$2:$B1006=$B53)))"),0.9880869341680844)</f>
        <v>0.9880869342</v>
      </c>
      <c r="K53" s="3"/>
      <c r="M53" s="4"/>
      <c r="N53" s="10"/>
    </row>
    <row r="54">
      <c r="A54" s="28"/>
      <c r="B54" s="6" t="s">
        <v>23</v>
      </c>
      <c r="D54" s="8">
        <f>IFERROR(__xludf.DUMMYFUNCTION("STDEV(FILTER('__flatlist__'!D$2:D1006,('__flatlist__'!$B$2:$B1006=$B54)))"),0.2644049701972067)</f>
        <v>0.2644049702</v>
      </c>
      <c r="E54" s="10">
        <f>IFERROR(__xludf.DUMMYFUNCTION("STDEV(FILTER('__flatlist__'!E$2:E1006,('__flatlist__'!$B$2:$B1006=$B54)))"),0.7163503994113789)</f>
        <v>0.7163503994</v>
      </c>
      <c r="F54" s="10">
        <f>IFERROR(__xludf.DUMMYFUNCTION("STDEV(FILTER('__flatlist__'!F$2:F1006,('__flatlist__'!$B$2:$B1006=$B54)))"),0.5871429486123998)</f>
        <v>0.5871429486</v>
      </c>
      <c r="G54" s="10">
        <f>IFERROR(__xludf.DUMMYFUNCTION("STDEV(FILTER('__flatlist__'!G$2:G1006,('__flatlist__'!$B$2:$B1006=$B54)))"),0.5982430416161187)</f>
        <v>0.5982430416</v>
      </c>
      <c r="H54" s="10">
        <f>IFERROR(__xludf.DUMMYFUNCTION("STDEV(FILTER('__flatlist__'!H$2:H1006,('__flatlist__'!$B$2:$B1006=$B54)))"),1.145931016569864)</f>
        <v>1.145931017</v>
      </c>
      <c r="I54" s="47">
        <f>IFERROR(__xludf.DUMMYFUNCTION("STDEV(FILTER('__flatlist__'!I$2:I1006,('__flatlist__'!$B$2:$B1006=$B54)))"),0.6805570473787205)</f>
        <v>0.6805570474</v>
      </c>
      <c r="K54" s="3"/>
      <c r="M54" s="4"/>
      <c r="N54" s="10"/>
    </row>
    <row r="55">
      <c r="A55" s="30"/>
      <c r="B55" s="31" t="s">
        <v>24</v>
      </c>
      <c r="C55" s="32"/>
      <c r="D55" s="33">
        <f>IFERROR(__xludf.DUMMYFUNCTION("STDEV(FILTER('__flatlist__'!D$2:D1006,('__flatlist__'!$B$2:$B1006=$B55)))"),0.3007603670262448)</f>
        <v>0.300760367</v>
      </c>
      <c r="E55" s="42">
        <f>IFERROR(__xludf.DUMMYFUNCTION("STDEV(FILTER('__flatlist__'!E$2:E1006,('__flatlist__'!$B$2:$B1006=$B55)))"),0.8506963092234007)</f>
        <v>0.8506963092</v>
      </c>
      <c r="F55" s="42">
        <f>IFERROR(__xludf.DUMMYFUNCTION("STDEV(FILTER('__flatlist__'!F$2:F1006,('__flatlist__'!$B$2:$B1006=$B55)))"),0.6155870112510924)</f>
        <v>0.6155870113</v>
      </c>
      <c r="G55" s="42">
        <f>IFERROR(__xludf.DUMMYFUNCTION("STDEV(FILTER('__flatlist__'!G$2:G1006,('__flatlist__'!$B$2:$B1006=$B55)))"),0.5982430416161189)</f>
        <v>0.5982430416</v>
      </c>
      <c r="H55" s="42">
        <f>IFERROR(__xludf.DUMMYFUNCTION("STDEV(FILTER('__flatlist__'!H$2:H1006,('__flatlist__'!$B$2:$B1006=$B55)))"),1.0711528467275955)</f>
        <v>1.071152847</v>
      </c>
      <c r="I55" s="48">
        <f>IFERROR(__xludf.DUMMYFUNCTION("STDEV(FILTER('__flatlist__'!I$2:I1006,('__flatlist__'!$B$2:$B1006=$B55)))"),0.8207826816681233)</f>
        <v>0.8207826817</v>
      </c>
      <c r="K55" s="3"/>
      <c r="M55" s="4"/>
      <c r="N55" s="10"/>
    </row>
    <row r="56">
      <c r="A56" s="36"/>
      <c r="B56" s="18"/>
      <c r="C56" s="37" t="s">
        <v>19</v>
      </c>
      <c r="D56" s="19">
        <f>IFERROR(__xludf.DUMMYFUNCTION("STDEV(FILTER('__flatlist__'!D$2:D1006,('__flatlist__'!$C$2:$C1006=$C56)))"),0.27043856894833795)</f>
        <v>0.2704385689</v>
      </c>
      <c r="E56" s="38">
        <f>IFERROR(__xludf.DUMMYFUNCTION("STDEV(FILTER('__flatlist__'!E$2:E1006,('__flatlist__'!$C$2:$C1006=$C56)))"),0.9445132413883327)</f>
        <v>0.9445132414</v>
      </c>
      <c r="F56" s="38">
        <f>IFERROR(__xludf.DUMMYFUNCTION("STDEV(FILTER('__flatlist__'!F$2:F1006,('__flatlist__'!$C$2:$C1006=$C56)))"),0.7880689256524124)</f>
        <v>0.7880689257</v>
      </c>
      <c r="G56" s="38">
        <f>IFERROR(__xludf.DUMMYFUNCTION("STDEV(FILTER('__flatlist__'!G$2:G1006,('__flatlist__'!$C$2:$C1006=$C56)))"),1.050062654772261)</f>
        <v>1.050062655</v>
      </c>
      <c r="H56" s="38">
        <f>IFERROR(__xludf.DUMMYFUNCTION("STDEV(FILTER('__flatlist__'!H$2:H1006,('__flatlist__'!$C$2:$C1006=$C56)))"),0.8645047258706174)</f>
        <v>0.8645047259</v>
      </c>
      <c r="I56" s="46">
        <f>IFERROR(__xludf.DUMMYFUNCTION("STDEV(FILTER('__flatlist__'!I$2:I1006,('__flatlist__'!$C$2:$C1006=$C56)))"),0.7451598203705946)</f>
        <v>0.7451598204</v>
      </c>
      <c r="K56" s="3"/>
      <c r="M56" s="4"/>
      <c r="N56" s="10"/>
    </row>
    <row r="57">
      <c r="A57" s="39"/>
      <c r="C57" s="7" t="s">
        <v>20</v>
      </c>
      <c r="D57" s="8">
        <f>IFERROR(__xludf.DUMMYFUNCTION("STDEV(FILTER('__flatlist__'!D$2:D1006,('__flatlist__'!$C$2:$C1006=$C57)))"),0.23633144184823351)</f>
        <v>0.2363314418</v>
      </c>
      <c r="E57" s="10">
        <f>IFERROR(__xludf.DUMMYFUNCTION("STDEV(FILTER('__flatlist__'!E$2:E1006,('__flatlist__'!$C$2:$C1006=$C57)))"),0.8870412083230169)</f>
        <v>0.8870412083</v>
      </c>
      <c r="F57" s="10">
        <f>IFERROR(__xludf.DUMMYFUNCTION("STDEV(FILTER('__flatlist__'!F$2:F1006,('__flatlist__'!$C$2:$C1006=$C57)))"),0.8944271909999157)</f>
        <v>0.894427191</v>
      </c>
      <c r="G57" s="10">
        <f>IFERROR(__xludf.DUMMYFUNCTION("STDEV(FILTER('__flatlist__'!G$2:G1006,('__flatlist__'!$C$2:$C1006=$C57)))"),1.190974832912761)</f>
        <v>1.190974833</v>
      </c>
      <c r="H57" s="10">
        <f>IFERROR(__xludf.DUMMYFUNCTION("STDEV(FILTER('__flatlist__'!H$2:H1006,('__flatlist__'!$C$2:$C1006=$C57)))"),0.9880869341680841)</f>
        <v>0.9880869342</v>
      </c>
      <c r="I57" s="47">
        <f>IFERROR(__xludf.DUMMYFUNCTION("STDEV(FILTER('__flatlist__'!I$2:I1006,('__flatlist__'!$C$2:$C1006=$C57)))"),1.020835571068081)</f>
        <v>1.020835571</v>
      </c>
      <c r="K57" s="3"/>
      <c r="M57" s="4"/>
      <c r="N57" s="10"/>
    </row>
    <row r="58">
      <c r="A58" s="39"/>
      <c r="C58" s="7" t="s">
        <v>8</v>
      </c>
      <c r="D58" s="8">
        <f>IFERROR(__xludf.DUMMYFUNCTION("STDEV(FILTER('__flatlist__'!D$2:D1006,('__flatlist__'!$C$2:$C1006=$C58)))"),0.28721110764010505)</f>
        <v>0.2872111076</v>
      </c>
      <c r="E58" s="10">
        <f>IFERROR(__xludf.DUMMYFUNCTION("STDEV(FILTER('__flatlist__'!E$2:E1006,('__flatlist__'!$C$2:$C1006=$C58)))"),0.753937034925052)</f>
        <v>0.7539370349</v>
      </c>
      <c r="F58" s="10">
        <f>IFERROR(__xludf.DUMMYFUNCTION("STDEV(FILTER('__flatlist__'!F$2:F1006,('__flatlist__'!$C$2:$C1006=$C58)))"),0.7254762501100116)</f>
        <v>0.7254762501</v>
      </c>
      <c r="G58" s="10">
        <f>IFERROR(__xludf.DUMMYFUNCTION("STDEV(FILTER('__flatlist__'!G$2:G1006,('__flatlist__'!$C$2:$C1006=$C58)))"),0.9986833437344548)</f>
        <v>0.9986833437</v>
      </c>
      <c r="H58" s="10">
        <f>IFERROR(__xludf.DUMMYFUNCTION("STDEV(FILTER('__flatlist__'!H$2:H1006,('__flatlist__'!$C$2:$C1006=$C58)))"),0.6386663736585051)</f>
        <v>0.6386663737</v>
      </c>
      <c r="I58" s="47">
        <f>IFERROR(__xludf.DUMMYFUNCTION("STDEV(FILTER('__flatlist__'!I$2:I1006,('__flatlist__'!$C$2:$C1006=$C58)))"),0.7163503994113789)</f>
        <v>0.7163503994</v>
      </c>
      <c r="K58" s="3"/>
      <c r="M58" s="4"/>
      <c r="N58" s="10"/>
    </row>
    <row r="59">
      <c r="A59" s="40"/>
      <c r="B59" s="32"/>
      <c r="C59" s="41" t="s">
        <v>21</v>
      </c>
      <c r="D59" s="33">
        <f>IFERROR(__xludf.DUMMYFUNCTION("STDEV(FILTER('__flatlist__'!D$2:D1006,('__flatlist__'!$C$2:$C1006=$C59)))"),0.19192036943477922)</f>
        <v>0.1919203694</v>
      </c>
      <c r="E59" s="42">
        <f>IFERROR(__xludf.DUMMYFUNCTION("STDEV(FILTER('__flatlist__'!E$2:E1006,('__flatlist__'!$C$2:$C1006=$C59)))"),0.638666373658505)</f>
        <v>0.6386663737</v>
      </c>
      <c r="F59" s="42">
        <f>IFERROR(__xludf.DUMMYFUNCTION("STDEV(FILTER('__flatlist__'!F$2:F1006,('__flatlist__'!$C$2:$C1006=$C59)))"),0.6048053188292994)</f>
        <v>0.6048053188</v>
      </c>
      <c r="G59" s="42">
        <f>IFERROR(__xludf.DUMMYFUNCTION("STDEV(FILTER('__flatlist__'!G$2:G1006,('__flatlist__'!$C$2:$C1006=$C59)))"),1.1697953037312034)</f>
        <v>1.169795304</v>
      </c>
      <c r="H59" s="42">
        <f>IFERROR(__xludf.DUMMYFUNCTION("STDEV(FILTER('__flatlist__'!H$2:H1006,('__flatlist__'!$C$2:$C1006=$C59)))"),0.7451598203705947)</f>
        <v>0.7451598204</v>
      </c>
      <c r="I59" s="48">
        <f>IFERROR(__xludf.DUMMYFUNCTION("STDEV(FILTER('__flatlist__'!I$2:I1006,('__flatlist__'!$C$2:$C1006=$C59)))"),0.7608859102526822)</f>
        <v>0.7608859103</v>
      </c>
      <c r="K59" s="3"/>
      <c r="M59" s="4"/>
      <c r="N59" s="10"/>
    </row>
    <row r="60">
      <c r="K60" s="3"/>
      <c r="M60" s="4"/>
      <c r="N60" s="10"/>
    </row>
    <row r="61">
      <c r="K61" s="3"/>
      <c r="M61" s="4"/>
      <c r="N61" s="10"/>
    </row>
    <row r="62">
      <c r="K62" s="3"/>
      <c r="M62" s="4"/>
      <c r="N62" s="10"/>
    </row>
    <row r="63">
      <c r="K63" s="3"/>
      <c r="M63" s="4"/>
      <c r="N63" s="10"/>
    </row>
    <row r="64">
      <c r="D64" s="49"/>
      <c r="K64" s="3"/>
      <c r="M64" s="4"/>
      <c r="N64" s="10"/>
    </row>
    <row r="65">
      <c r="K65" s="3"/>
      <c r="M65" s="4"/>
      <c r="N65" s="10"/>
    </row>
    <row r="66">
      <c r="K66" s="3"/>
      <c r="M66" s="4"/>
      <c r="N66" s="10"/>
    </row>
    <row r="67">
      <c r="K67" s="3"/>
      <c r="M67" s="4"/>
      <c r="N67" s="10"/>
    </row>
    <row r="68">
      <c r="K68" s="3"/>
      <c r="M68" s="4"/>
      <c r="N68" s="10"/>
    </row>
    <row r="69">
      <c r="K69" s="3"/>
      <c r="M69" s="4"/>
      <c r="N69" s="10"/>
    </row>
    <row r="70">
      <c r="K70" s="3"/>
      <c r="M70" s="4"/>
      <c r="N70" s="10"/>
    </row>
    <row r="71">
      <c r="K71" s="3"/>
      <c r="M71" s="4"/>
      <c r="N71" s="10"/>
    </row>
    <row r="72">
      <c r="K72" s="3"/>
      <c r="M72" s="4"/>
      <c r="N72" s="10"/>
    </row>
    <row r="73">
      <c r="K73" s="3"/>
      <c r="M73" s="4"/>
      <c r="N73" s="10"/>
    </row>
    <row r="74">
      <c r="K74" s="3"/>
      <c r="M74" s="4"/>
      <c r="N74" s="10"/>
    </row>
    <row r="75">
      <c r="K75" s="3"/>
      <c r="M75" s="4"/>
      <c r="N75" s="10"/>
    </row>
    <row r="76">
      <c r="K76" s="3"/>
      <c r="M76" s="4"/>
      <c r="N76" s="10"/>
    </row>
    <row r="77">
      <c r="K77" s="3"/>
      <c r="M77" s="4"/>
      <c r="N77" s="10"/>
    </row>
    <row r="78">
      <c r="K78" s="3"/>
      <c r="M78" s="4"/>
      <c r="N78" s="10"/>
    </row>
    <row r="79">
      <c r="K79" s="3"/>
      <c r="M79" s="4"/>
      <c r="N79" s="10"/>
    </row>
    <row r="80">
      <c r="K80" s="3"/>
      <c r="M80" s="4"/>
      <c r="N80" s="10"/>
    </row>
    <row r="81">
      <c r="K81" s="3"/>
      <c r="M81" s="4"/>
      <c r="N81" s="10"/>
    </row>
    <row r="82">
      <c r="K82" s="3"/>
      <c r="M82" s="4"/>
      <c r="N82" s="10"/>
    </row>
    <row r="83">
      <c r="K83" s="3"/>
      <c r="M83" s="4"/>
      <c r="N83" s="10"/>
    </row>
    <row r="84">
      <c r="K84" s="3"/>
      <c r="M84" s="4"/>
      <c r="N84" s="10"/>
    </row>
    <row r="85">
      <c r="K85" s="3"/>
      <c r="M85" s="4"/>
      <c r="N85" s="10"/>
    </row>
    <row r="86">
      <c r="K86" s="3"/>
      <c r="M86" s="4"/>
      <c r="N86" s="10"/>
    </row>
    <row r="87">
      <c r="K87" s="3"/>
      <c r="M87" s="4"/>
      <c r="N87" s="10"/>
    </row>
    <row r="88">
      <c r="K88" s="3"/>
      <c r="M88" s="4"/>
      <c r="N88" s="10"/>
    </row>
    <row r="89">
      <c r="K89" s="3"/>
      <c r="M89" s="4"/>
      <c r="N89" s="10"/>
    </row>
    <row r="90">
      <c r="K90" s="3"/>
      <c r="M90" s="4"/>
      <c r="N90" s="10"/>
    </row>
    <row r="91">
      <c r="K91" s="3"/>
      <c r="M91" s="4"/>
      <c r="N91" s="10"/>
    </row>
    <row r="92">
      <c r="K92" s="3"/>
      <c r="M92" s="4"/>
      <c r="N92" s="10"/>
    </row>
    <row r="93">
      <c r="K93" s="3"/>
      <c r="M93" s="4"/>
      <c r="N93" s="10"/>
    </row>
    <row r="94">
      <c r="K94" s="3"/>
      <c r="M94" s="4"/>
      <c r="N94" s="10"/>
    </row>
    <row r="95">
      <c r="K95" s="3"/>
      <c r="M95" s="4"/>
      <c r="N95" s="10"/>
    </row>
    <row r="96">
      <c r="K96" s="3"/>
      <c r="M96" s="4"/>
      <c r="N96" s="10"/>
    </row>
    <row r="97">
      <c r="K97" s="3"/>
      <c r="M97" s="4"/>
      <c r="N97" s="10"/>
    </row>
    <row r="98">
      <c r="K98" s="3"/>
      <c r="M98" s="4"/>
      <c r="N98" s="10"/>
    </row>
    <row r="99">
      <c r="K99" s="3"/>
      <c r="M99" s="4"/>
      <c r="N99" s="10"/>
    </row>
    <row r="100">
      <c r="K100" s="3"/>
      <c r="M100" s="4"/>
      <c r="N100" s="10"/>
    </row>
    <row r="101">
      <c r="K101" s="3"/>
      <c r="M101" s="4"/>
      <c r="N101" s="10"/>
    </row>
    <row r="102">
      <c r="K102" s="3"/>
      <c r="M102" s="4"/>
      <c r="N102" s="10"/>
    </row>
    <row r="103">
      <c r="K103" s="3"/>
      <c r="M103" s="4"/>
      <c r="N103" s="10"/>
    </row>
    <row r="104">
      <c r="K104" s="3"/>
      <c r="M104" s="4"/>
      <c r="N104" s="10"/>
    </row>
    <row r="105">
      <c r="K105" s="3"/>
      <c r="M105" s="4"/>
      <c r="N105" s="10"/>
    </row>
    <row r="106">
      <c r="K106" s="3"/>
      <c r="M106" s="4"/>
      <c r="N106" s="10"/>
    </row>
    <row r="107">
      <c r="K107" s="3"/>
      <c r="M107" s="4"/>
      <c r="N107" s="10"/>
    </row>
    <row r="108">
      <c r="K108" s="3"/>
      <c r="M108" s="4"/>
      <c r="N108" s="10"/>
    </row>
    <row r="109">
      <c r="K109" s="3"/>
      <c r="M109" s="4"/>
      <c r="N109" s="10"/>
    </row>
    <row r="110">
      <c r="K110" s="3"/>
      <c r="M110" s="4"/>
      <c r="N110" s="10"/>
    </row>
    <row r="111">
      <c r="K111" s="3"/>
      <c r="M111" s="4"/>
      <c r="N111" s="10"/>
    </row>
    <row r="112">
      <c r="K112" s="3"/>
      <c r="M112" s="4"/>
      <c r="N112" s="10"/>
    </row>
    <row r="113">
      <c r="K113" s="3"/>
      <c r="M113" s="4"/>
      <c r="N113" s="10"/>
    </row>
    <row r="114">
      <c r="K114" s="3"/>
      <c r="M114" s="4"/>
      <c r="N114" s="10"/>
    </row>
    <row r="115">
      <c r="K115" s="3"/>
      <c r="M115" s="4"/>
      <c r="N115" s="10"/>
    </row>
    <row r="116">
      <c r="K116" s="3"/>
      <c r="M116" s="4"/>
      <c r="N116" s="10"/>
    </row>
    <row r="117">
      <c r="K117" s="3"/>
      <c r="M117" s="4"/>
      <c r="N117" s="10"/>
    </row>
    <row r="118">
      <c r="K118" s="3"/>
      <c r="M118" s="4"/>
      <c r="N118" s="10"/>
    </row>
    <row r="119">
      <c r="K119" s="3"/>
      <c r="M119" s="4"/>
      <c r="N119" s="10"/>
    </row>
    <row r="120">
      <c r="K120" s="3"/>
      <c r="M120" s="4"/>
      <c r="N120" s="10"/>
    </row>
    <row r="121">
      <c r="K121" s="3"/>
      <c r="M121" s="4"/>
      <c r="N121" s="10"/>
    </row>
    <row r="122">
      <c r="K122" s="3"/>
      <c r="M122" s="4"/>
      <c r="N122" s="10"/>
    </row>
    <row r="123">
      <c r="K123" s="3"/>
      <c r="M123" s="4"/>
      <c r="N123" s="10"/>
    </row>
    <row r="124">
      <c r="K124" s="3"/>
      <c r="M124" s="4"/>
      <c r="N124" s="10"/>
    </row>
    <row r="125">
      <c r="K125" s="3"/>
      <c r="M125" s="4"/>
      <c r="N125" s="10"/>
    </row>
    <row r="126">
      <c r="K126" s="3"/>
      <c r="M126" s="4"/>
      <c r="N126" s="10"/>
    </row>
    <row r="127">
      <c r="K127" s="3"/>
      <c r="M127" s="4"/>
      <c r="N127" s="10"/>
    </row>
    <row r="128">
      <c r="K128" s="3"/>
      <c r="M128" s="4"/>
      <c r="N128" s="10"/>
    </row>
    <row r="129">
      <c r="K129" s="3"/>
      <c r="M129" s="4"/>
      <c r="N129" s="10"/>
    </row>
    <row r="130">
      <c r="K130" s="3"/>
      <c r="M130" s="4"/>
      <c r="N130" s="10"/>
    </row>
    <row r="131">
      <c r="K131" s="3"/>
      <c r="M131" s="4"/>
      <c r="N131" s="10"/>
    </row>
    <row r="132">
      <c r="K132" s="3"/>
      <c r="M132" s="4"/>
      <c r="N132" s="10"/>
    </row>
    <row r="133">
      <c r="K133" s="3"/>
      <c r="M133" s="4"/>
      <c r="N133" s="10"/>
    </row>
    <row r="134">
      <c r="K134" s="3"/>
      <c r="M134" s="4"/>
      <c r="N134" s="10"/>
    </row>
    <row r="135">
      <c r="K135" s="3"/>
      <c r="M135" s="4"/>
      <c r="N135" s="10"/>
    </row>
    <row r="136">
      <c r="K136" s="3"/>
      <c r="M136" s="4"/>
      <c r="N136" s="10"/>
    </row>
    <row r="137">
      <c r="K137" s="3"/>
      <c r="M137" s="4"/>
      <c r="N137" s="10"/>
    </row>
    <row r="138">
      <c r="K138" s="3"/>
      <c r="M138" s="4"/>
      <c r="N138" s="10"/>
    </row>
    <row r="139">
      <c r="K139" s="3"/>
      <c r="M139" s="4"/>
      <c r="N139" s="10"/>
    </row>
    <row r="140">
      <c r="K140" s="3"/>
      <c r="M140" s="4"/>
      <c r="N140" s="10"/>
    </row>
    <row r="141">
      <c r="K141" s="3"/>
      <c r="M141" s="4"/>
      <c r="N141" s="10"/>
    </row>
    <row r="142">
      <c r="K142" s="3"/>
      <c r="M142" s="4"/>
      <c r="N142" s="10"/>
    </row>
    <row r="143">
      <c r="K143" s="3"/>
      <c r="M143" s="4"/>
      <c r="N143" s="10"/>
    </row>
    <row r="144">
      <c r="K144" s="3"/>
      <c r="M144" s="4"/>
      <c r="N144" s="10"/>
    </row>
    <row r="145">
      <c r="K145" s="3"/>
      <c r="M145" s="4"/>
      <c r="N145" s="10"/>
    </row>
    <row r="146">
      <c r="K146" s="3"/>
      <c r="M146" s="4"/>
      <c r="N146" s="10"/>
    </row>
    <row r="147">
      <c r="K147" s="3"/>
      <c r="M147" s="4"/>
      <c r="N147" s="10"/>
    </row>
    <row r="148">
      <c r="K148" s="3"/>
      <c r="M148" s="4"/>
      <c r="N148" s="10"/>
    </row>
    <row r="149">
      <c r="K149" s="3"/>
      <c r="M149" s="4"/>
      <c r="N149" s="10"/>
    </row>
    <row r="150">
      <c r="K150" s="3"/>
      <c r="M150" s="4"/>
      <c r="N150" s="10"/>
    </row>
    <row r="151">
      <c r="K151" s="3"/>
      <c r="M151" s="4"/>
      <c r="N151" s="10"/>
    </row>
    <row r="152">
      <c r="K152" s="3"/>
      <c r="M152" s="4"/>
      <c r="N152" s="10"/>
    </row>
    <row r="153">
      <c r="K153" s="3"/>
      <c r="M153" s="4"/>
      <c r="N153" s="10"/>
    </row>
    <row r="154">
      <c r="K154" s="3"/>
      <c r="M154" s="4"/>
      <c r="N154" s="10"/>
    </row>
    <row r="155">
      <c r="K155" s="3"/>
      <c r="M155" s="4"/>
      <c r="N155" s="10"/>
    </row>
    <row r="156">
      <c r="K156" s="3"/>
      <c r="M156" s="4"/>
      <c r="N156" s="10"/>
    </row>
    <row r="157">
      <c r="K157" s="3"/>
      <c r="M157" s="4"/>
      <c r="N157" s="10"/>
    </row>
    <row r="158">
      <c r="K158" s="3"/>
      <c r="M158" s="4"/>
      <c r="N158" s="10"/>
    </row>
    <row r="159">
      <c r="K159" s="3"/>
      <c r="M159" s="4"/>
      <c r="N159" s="10"/>
    </row>
    <row r="160">
      <c r="K160" s="3"/>
      <c r="M160" s="4"/>
      <c r="N160" s="10"/>
    </row>
    <row r="161">
      <c r="K161" s="3"/>
      <c r="M161" s="4"/>
      <c r="N161" s="10"/>
    </row>
    <row r="162">
      <c r="K162" s="3"/>
      <c r="M162" s="4"/>
      <c r="N162" s="10"/>
    </row>
    <row r="163">
      <c r="K163" s="3"/>
      <c r="M163" s="4"/>
      <c r="N163" s="10"/>
    </row>
    <row r="164">
      <c r="K164" s="3"/>
      <c r="M164" s="4"/>
      <c r="N164" s="10"/>
    </row>
    <row r="165">
      <c r="K165" s="3"/>
      <c r="M165" s="4"/>
      <c r="N165" s="10"/>
    </row>
    <row r="166">
      <c r="K166" s="3"/>
      <c r="M166" s="4"/>
      <c r="N166" s="10"/>
    </row>
    <row r="167">
      <c r="K167" s="3"/>
      <c r="M167" s="4"/>
      <c r="N167" s="10"/>
    </row>
    <row r="168">
      <c r="K168" s="3"/>
      <c r="M168" s="4"/>
      <c r="N168" s="10"/>
    </row>
    <row r="169">
      <c r="K169" s="3"/>
      <c r="M169" s="4"/>
      <c r="N169" s="10"/>
    </row>
    <row r="170">
      <c r="K170" s="3"/>
      <c r="M170" s="4"/>
      <c r="N170" s="10"/>
    </row>
    <row r="171">
      <c r="K171" s="3"/>
      <c r="M171" s="4"/>
      <c r="N171" s="10"/>
    </row>
    <row r="172">
      <c r="K172" s="3"/>
      <c r="M172" s="4"/>
      <c r="N172" s="10"/>
    </row>
    <row r="173">
      <c r="K173" s="3"/>
      <c r="M173" s="4"/>
      <c r="N173" s="10"/>
    </row>
    <row r="174">
      <c r="K174" s="3"/>
      <c r="M174" s="4"/>
      <c r="N174" s="10"/>
    </row>
    <row r="175">
      <c r="K175" s="3"/>
      <c r="M175" s="4"/>
      <c r="N175" s="10"/>
    </row>
    <row r="176">
      <c r="K176" s="3"/>
      <c r="M176" s="4"/>
      <c r="N176" s="10"/>
    </row>
    <row r="177">
      <c r="K177" s="3"/>
      <c r="M177" s="4"/>
      <c r="N177" s="10"/>
    </row>
    <row r="178">
      <c r="K178" s="3"/>
      <c r="M178" s="4"/>
      <c r="N178" s="10"/>
    </row>
    <row r="179">
      <c r="K179" s="3"/>
      <c r="M179" s="4"/>
      <c r="N179" s="10"/>
    </row>
    <row r="180">
      <c r="K180" s="3"/>
      <c r="M180" s="4"/>
      <c r="N180" s="10"/>
    </row>
    <row r="181">
      <c r="K181" s="3"/>
      <c r="M181" s="4"/>
      <c r="N181" s="10"/>
    </row>
    <row r="182">
      <c r="K182" s="3"/>
      <c r="M182" s="4"/>
      <c r="N182" s="10"/>
    </row>
    <row r="183">
      <c r="K183" s="3"/>
      <c r="M183" s="4"/>
      <c r="N183" s="10"/>
    </row>
    <row r="184">
      <c r="K184" s="3"/>
      <c r="M184" s="4"/>
      <c r="N184" s="10"/>
    </row>
    <row r="185">
      <c r="K185" s="3"/>
      <c r="M185" s="4"/>
      <c r="N185" s="10"/>
    </row>
    <row r="186">
      <c r="K186" s="3"/>
      <c r="M186" s="4"/>
      <c r="N186" s="10"/>
    </row>
    <row r="187">
      <c r="K187" s="3"/>
      <c r="M187" s="4"/>
      <c r="N187" s="10"/>
    </row>
    <row r="188">
      <c r="K188" s="3"/>
      <c r="M188" s="4"/>
      <c r="N188" s="10"/>
    </row>
    <row r="189">
      <c r="K189" s="3"/>
      <c r="M189" s="4"/>
      <c r="N189" s="10"/>
    </row>
    <row r="190">
      <c r="K190" s="3"/>
      <c r="M190" s="4"/>
      <c r="N190" s="10"/>
    </row>
    <row r="191">
      <c r="K191" s="3"/>
      <c r="M191" s="4"/>
      <c r="N191" s="10"/>
    </row>
    <row r="192">
      <c r="K192" s="3"/>
      <c r="M192" s="4"/>
      <c r="N192" s="10"/>
    </row>
    <row r="193">
      <c r="K193" s="3"/>
      <c r="M193" s="4"/>
      <c r="N193" s="10"/>
    </row>
    <row r="194">
      <c r="K194" s="3"/>
      <c r="M194" s="4"/>
      <c r="N194" s="10"/>
    </row>
    <row r="195">
      <c r="K195" s="3"/>
      <c r="M195" s="4"/>
      <c r="N195" s="10"/>
    </row>
    <row r="196">
      <c r="K196" s="3"/>
      <c r="M196" s="4"/>
      <c r="N196" s="10"/>
    </row>
    <row r="197">
      <c r="K197" s="3"/>
      <c r="M197" s="4"/>
      <c r="N197" s="10"/>
    </row>
    <row r="198">
      <c r="K198" s="3"/>
      <c r="M198" s="4"/>
      <c r="N198" s="10"/>
    </row>
    <row r="199">
      <c r="K199" s="3"/>
      <c r="M199" s="4"/>
      <c r="N199" s="10"/>
    </row>
    <row r="200">
      <c r="K200" s="3"/>
      <c r="M200" s="4"/>
      <c r="N200" s="10"/>
    </row>
    <row r="201">
      <c r="K201" s="3"/>
      <c r="M201" s="4"/>
      <c r="N201" s="10"/>
    </row>
    <row r="202">
      <c r="K202" s="3"/>
      <c r="M202" s="4"/>
      <c r="N202" s="10"/>
    </row>
    <row r="203">
      <c r="K203" s="3"/>
      <c r="M203" s="4"/>
      <c r="N203" s="10"/>
    </row>
    <row r="204">
      <c r="K204" s="3"/>
      <c r="M204" s="4"/>
      <c r="N204" s="10"/>
    </row>
    <row r="205">
      <c r="K205" s="3"/>
      <c r="M205" s="4"/>
      <c r="N205" s="10"/>
    </row>
    <row r="206">
      <c r="K206" s="3"/>
      <c r="M206" s="4"/>
      <c r="N206" s="10"/>
    </row>
    <row r="207">
      <c r="K207" s="3"/>
      <c r="M207" s="4"/>
      <c r="N207" s="10"/>
    </row>
    <row r="208">
      <c r="K208" s="3"/>
      <c r="M208" s="4"/>
      <c r="N208" s="10"/>
    </row>
    <row r="209">
      <c r="K209" s="3"/>
      <c r="M209" s="4"/>
      <c r="N209" s="10"/>
    </row>
    <row r="210">
      <c r="K210" s="3"/>
      <c r="M210" s="4"/>
      <c r="N210" s="10"/>
    </row>
    <row r="211">
      <c r="K211" s="3"/>
      <c r="M211" s="4"/>
      <c r="N211" s="10"/>
    </row>
    <row r="212">
      <c r="K212" s="3"/>
      <c r="M212" s="4"/>
      <c r="N212" s="10"/>
    </row>
    <row r="213">
      <c r="K213" s="3"/>
      <c r="M213" s="4"/>
      <c r="N213" s="10"/>
    </row>
    <row r="214">
      <c r="K214" s="3"/>
      <c r="M214" s="4"/>
      <c r="N214" s="10"/>
    </row>
    <row r="215">
      <c r="K215" s="3"/>
      <c r="M215" s="4"/>
      <c r="N215" s="10"/>
    </row>
    <row r="216">
      <c r="K216" s="3"/>
      <c r="M216" s="4"/>
      <c r="N216" s="10"/>
    </row>
    <row r="217">
      <c r="K217" s="3"/>
      <c r="M217" s="4"/>
      <c r="N217" s="10"/>
    </row>
    <row r="218">
      <c r="K218" s="3"/>
      <c r="M218" s="4"/>
      <c r="N218" s="10"/>
    </row>
    <row r="219">
      <c r="K219" s="3"/>
      <c r="M219" s="4"/>
      <c r="N219" s="10"/>
    </row>
    <row r="220">
      <c r="K220" s="3"/>
      <c r="M220" s="4"/>
      <c r="N220" s="10"/>
    </row>
    <row r="221">
      <c r="K221" s="3"/>
      <c r="M221" s="4"/>
      <c r="N221" s="10"/>
    </row>
    <row r="222">
      <c r="K222" s="3"/>
      <c r="M222" s="4"/>
      <c r="N222" s="10"/>
    </row>
    <row r="223">
      <c r="K223" s="3"/>
      <c r="M223" s="4"/>
      <c r="N223" s="10"/>
    </row>
    <row r="224">
      <c r="K224" s="3"/>
      <c r="M224" s="4"/>
      <c r="N224" s="10"/>
    </row>
    <row r="225">
      <c r="K225" s="3"/>
      <c r="M225" s="4"/>
      <c r="N225" s="10"/>
    </row>
    <row r="226">
      <c r="K226" s="3"/>
      <c r="M226" s="4"/>
      <c r="N226" s="10"/>
    </row>
    <row r="227">
      <c r="K227" s="3"/>
      <c r="M227" s="4"/>
      <c r="N227" s="10"/>
    </row>
    <row r="228">
      <c r="K228" s="3"/>
      <c r="M228" s="4"/>
      <c r="N228" s="10"/>
    </row>
    <row r="229">
      <c r="K229" s="3"/>
      <c r="M229" s="4"/>
      <c r="N229" s="10"/>
    </row>
    <row r="230">
      <c r="K230" s="3"/>
      <c r="M230" s="4"/>
      <c r="N230" s="10"/>
    </row>
    <row r="231">
      <c r="K231" s="3"/>
      <c r="M231" s="4"/>
      <c r="N231" s="10"/>
    </row>
    <row r="232">
      <c r="K232" s="3"/>
      <c r="M232" s="4"/>
      <c r="N232" s="10"/>
    </row>
    <row r="233">
      <c r="K233" s="3"/>
      <c r="M233" s="4"/>
      <c r="N233" s="10"/>
    </row>
    <row r="234">
      <c r="K234" s="3"/>
      <c r="M234" s="4"/>
      <c r="N234" s="10"/>
    </row>
    <row r="235">
      <c r="K235" s="3"/>
      <c r="M235" s="4"/>
      <c r="N235" s="10"/>
    </row>
    <row r="236">
      <c r="K236" s="3"/>
      <c r="M236" s="4"/>
      <c r="N236" s="10"/>
    </row>
    <row r="237">
      <c r="K237" s="3"/>
      <c r="M237" s="4"/>
      <c r="N237" s="10"/>
    </row>
    <row r="238">
      <c r="K238" s="3"/>
      <c r="M238" s="4"/>
      <c r="N238" s="10"/>
    </row>
    <row r="239">
      <c r="K239" s="3"/>
      <c r="M239" s="4"/>
      <c r="N239" s="10"/>
    </row>
    <row r="240">
      <c r="K240" s="3"/>
      <c r="M240" s="4"/>
      <c r="N240" s="10"/>
    </row>
    <row r="241">
      <c r="K241" s="3"/>
      <c r="M241" s="4"/>
      <c r="N241" s="10"/>
    </row>
    <row r="242">
      <c r="K242" s="3"/>
      <c r="M242" s="4"/>
      <c r="N242" s="10"/>
    </row>
    <row r="243">
      <c r="K243" s="3"/>
      <c r="M243" s="4"/>
      <c r="N243" s="10"/>
    </row>
    <row r="244">
      <c r="K244" s="3"/>
      <c r="M244" s="4"/>
      <c r="N244" s="10"/>
    </row>
    <row r="245">
      <c r="K245" s="3"/>
      <c r="M245" s="4"/>
      <c r="N245" s="10"/>
    </row>
    <row r="246">
      <c r="K246" s="3"/>
      <c r="M246" s="4"/>
      <c r="N246" s="10"/>
    </row>
    <row r="247">
      <c r="K247" s="3"/>
      <c r="M247" s="4"/>
      <c r="N247" s="10"/>
    </row>
    <row r="248">
      <c r="K248" s="3"/>
      <c r="M248" s="4"/>
      <c r="N248" s="10"/>
    </row>
    <row r="249">
      <c r="K249" s="3"/>
      <c r="M249" s="4"/>
      <c r="N249" s="10"/>
    </row>
    <row r="250">
      <c r="K250" s="3"/>
      <c r="M250" s="4"/>
      <c r="N250" s="10"/>
    </row>
    <row r="251">
      <c r="K251" s="3"/>
      <c r="M251" s="4"/>
      <c r="N251" s="10"/>
    </row>
    <row r="252">
      <c r="K252" s="3"/>
      <c r="M252" s="4"/>
      <c r="N252" s="10"/>
    </row>
    <row r="253">
      <c r="K253" s="3"/>
      <c r="M253" s="4"/>
      <c r="N253" s="10"/>
    </row>
    <row r="254">
      <c r="K254" s="3"/>
      <c r="M254" s="4"/>
      <c r="N254" s="10"/>
    </row>
    <row r="255">
      <c r="K255" s="3"/>
      <c r="M255" s="4"/>
      <c r="N255" s="10"/>
    </row>
    <row r="256">
      <c r="K256" s="3"/>
      <c r="M256" s="4"/>
      <c r="N256" s="10"/>
    </row>
    <row r="257">
      <c r="K257" s="3"/>
      <c r="M257" s="4"/>
      <c r="N257" s="10"/>
    </row>
    <row r="258">
      <c r="K258" s="3"/>
      <c r="M258" s="4"/>
      <c r="N258" s="10"/>
    </row>
    <row r="259">
      <c r="K259" s="3"/>
      <c r="M259" s="4"/>
      <c r="N259" s="10"/>
    </row>
    <row r="260">
      <c r="K260" s="3"/>
      <c r="M260" s="4"/>
      <c r="N260" s="10"/>
    </row>
    <row r="261">
      <c r="K261" s="3"/>
      <c r="M261" s="4"/>
      <c r="N261" s="10"/>
    </row>
    <row r="262">
      <c r="K262" s="3"/>
      <c r="M262" s="4"/>
      <c r="N262" s="10"/>
    </row>
    <row r="263">
      <c r="K263" s="3"/>
      <c r="M263" s="4"/>
      <c r="N263" s="10"/>
    </row>
    <row r="264">
      <c r="K264" s="3"/>
      <c r="M264" s="4"/>
      <c r="N264" s="10"/>
    </row>
    <row r="265">
      <c r="K265" s="3"/>
      <c r="M265" s="4"/>
      <c r="N265" s="10"/>
    </row>
    <row r="266">
      <c r="K266" s="3"/>
      <c r="M266" s="4"/>
      <c r="N266" s="10"/>
    </row>
    <row r="267">
      <c r="K267" s="3"/>
      <c r="M267" s="4"/>
      <c r="N267" s="10"/>
    </row>
    <row r="268">
      <c r="K268" s="3"/>
      <c r="M268" s="4"/>
      <c r="N268" s="10"/>
    </row>
    <row r="269">
      <c r="K269" s="3"/>
      <c r="M269" s="4"/>
      <c r="N269" s="10"/>
    </row>
    <row r="270">
      <c r="K270" s="3"/>
      <c r="M270" s="4"/>
      <c r="N270" s="10"/>
    </row>
    <row r="271">
      <c r="K271" s="3"/>
      <c r="M271" s="4"/>
      <c r="N271" s="10"/>
    </row>
    <row r="272">
      <c r="K272" s="3"/>
      <c r="M272" s="4"/>
      <c r="N272" s="10"/>
    </row>
    <row r="273">
      <c r="K273" s="3"/>
      <c r="M273" s="4"/>
      <c r="N273" s="10"/>
    </row>
    <row r="274">
      <c r="K274" s="3"/>
      <c r="M274" s="4"/>
      <c r="N274" s="10"/>
    </row>
    <row r="275">
      <c r="K275" s="3"/>
      <c r="M275" s="4"/>
      <c r="N275" s="10"/>
    </row>
    <row r="276">
      <c r="K276" s="3"/>
      <c r="M276" s="4"/>
      <c r="N276" s="10"/>
    </row>
    <row r="277">
      <c r="K277" s="3"/>
      <c r="M277" s="4"/>
      <c r="N277" s="10"/>
    </row>
    <row r="278">
      <c r="K278" s="3"/>
      <c r="M278" s="4"/>
      <c r="N278" s="10"/>
    </row>
    <row r="279">
      <c r="K279" s="3"/>
      <c r="M279" s="4"/>
      <c r="N279" s="10"/>
    </row>
    <row r="280">
      <c r="K280" s="3"/>
      <c r="M280" s="4"/>
      <c r="N280" s="10"/>
    </row>
    <row r="281">
      <c r="K281" s="3"/>
      <c r="M281" s="4"/>
      <c r="N281" s="10"/>
    </row>
    <row r="282">
      <c r="K282" s="3"/>
      <c r="M282" s="4"/>
      <c r="N282" s="10"/>
    </row>
    <row r="283">
      <c r="K283" s="3"/>
      <c r="M283" s="4"/>
      <c r="N283" s="10"/>
    </row>
    <row r="284">
      <c r="K284" s="3"/>
      <c r="M284" s="4"/>
      <c r="N284" s="10"/>
    </row>
    <row r="285">
      <c r="K285" s="3"/>
      <c r="M285" s="4"/>
      <c r="N285" s="10"/>
    </row>
    <row r="286">
      <c r="K286" s="3"/>
      <c r="M286" s="4"/>
      <c r="N286" s="10"/>
    </row>
    <row r="287">
      <c r="K287" s="3"/>
      <c r="M287" s="4"/>
      <c r="N287" s="10"/>
    </row>
    <row r="288">
      <c r="K288" s="3"/>
      <c r="M288" s="4"/>
      <c r="N288" s="10"/>
    </row>
    <row r="289">
      <c r="K289" s="3"/>
      <c r="M289" s="4"/>
      <c r="N289" s="10"/>
    </row>
    <row r="290">
      <c r="K290" s="3"/>
      <c r="M290" s="4"/>
      <c r="N290" s="10"/>
    </row>
    <row r="291">
      <c r="K291" s="3"/>
      <c r="M291" s="4"/>
      <c r="N291" s="10"/>
    </row>
    <row r="292">
      <c r="K292" s="3"/>
      <c r="M292" s="4"/>
      <c r="N292" s="10"/>
    </row>
    <row r="293">
      <c r="K293" s="3"/>
      <c r="M293" s="4"/>
      <c r="N293" s="10"/>
    </row>
    <row r="294">
      <c r="K294" s="3"/>
      <c r="M294" s="4"/>
      <c r="N294" s="10"/>
    </row>
    <row r="295">
      <c r="K295" s="3"/>
      <c r="M295" s="4"/>
      <c r="N295" s="10"/>
    </row>
    <row r="296">
      <c r="K296" s="3"/>
      <c r="M296" s="4"/>
      <c r="N296" s="10"/>
    </row>
    <row r="297">
      <c r="K297" s="3"/>
      <c r="M297" s="4"/>
      <c r="N297" s="10"/>
    </row>
    <row r="298">
      <c r="K298" s="3"/>
      <c r="M298" s="4"/>
      <c r="N298" s="10"/>
    </row>
    <row r="299">
      <c r="K299" s="3"/>
      <c r="M299" s="4"/>
      <c r="N299" s="10"/>
    </row>
    <row r="300">
      <c r="K300" s="3"/>
      <c r="M300" s="4"/>
      <c r="N300" s="10"/>
    </row>
    <row r="301">
      <c r="K301" s="3"/>
      <c r="M301" s="4"/>
      <c r="N301" s="10"/>
    </row>
    <row r="302">
      <c r="K302" s="3"/>
      <c r="M302" s="4"/>
      <c r="N302" s="10"/>
    </row>
    <row r="303">
      <c r="K303" s="3"/>
      <c r="M303" s="4"/>
      <c r="N303" s="10"/>
    </row>
    <row r="304">
      <c r="K304" s="3"/>
      <c r="M304" s="4"/>
      <c r="N304" s="10"/>
    </row>
    <row r="305">
      <c r="K305" s="3"/>
      <c r="M305" s="4"/>
      <c r="N305" s="10"/>
    </row>
    <row r="306">
      <c r="K306" s="3"/>
      <c r="M306" s="4"/>
      <c r="N306" s="10"/>
    </row>
    <row r="307">
      <c r="K307" s="3"/>
      <c r="M307" s="4"/>
      <c r="N307" s="10"/>
    </row>
    <row r="308">
      <c r="K308" s="3"/>
      <c r="M308" s="4"/>
      <c r="N308" s="10"/>
    </row>
    <row r="309">
      <c r="K309" s="3"/>
      <c r="M309" s="4"/>
      <c r="N309" s="10"/>
    </row>
    <row r="310">
      <c r="K310" s="3"/>
      <c r="M310" s="4"/>
      <c r="N310" s="10"/>
    </row>
    <row r="311">
      <c r="K311" s="3"/>
      <c r="M311" s="4"/>
      <c r="N311" s="10"/>
    </row>
    <row r="312">
      <c r="K312" s="3"/>
      <c r="M312" s="4"/>
      <c r="N312" s="10"/>
    </row>
    <row r="313">
      <c r="K313" s="3"/>
      <c r="M313" s="4"/>
      <c r="N313" s="10"/>
    </row>
    <row r="314">
      <c r="K314" s="3"/>
      <c r="M314" s="4"/>
      <c r="N314" s="10"/>
    </row>
    <row r="315">
      <c r="K315" s="3"/>
      <c r="M315" s="4"/>
      <c r="N315" s="10"/>
    </row>
    <row r="316">
      <c r="K316" s="3"/>
      <c r="M316" s="4"/>
      <c r="N316" s="10"/>
    </row>
    <row r="317">
      <c r="K317" s="3"/>
      <c r="M317" s="4"/>
      <c r="N317" s="10"/>
    </row>
    <row r="318">
      <c r="K318" s="3"/>
      <c r="M318" s="4"/>
      <c r="N318" s="10"/>
    </row>
    <row r="319">
      <c r="K319" s="3"/>
      <c r="M319" s="4"/>
      <c r="N319" s="10"/>
    </row>
    <row r="320">
      <c r="K320" s="3"/>
      <c r="M320" s="4"/>
      <c r="N320" s="10"/>
    </row>
    <row r="321">
      <c r="K321" s="3"/>
      <c r="M321" s="4"/>
      <c r="N321" s="10"/>
    </row>
    <row r="322">
      <c r="K322" s="3"/>
      <c r="M322" s="4"/>
      <c r="N322" s="10"/>
    </row>
    <row r="323">
      <c r="K323" s="3"/>
      <c r="M323" s="4"/>
      <c r="N323" s="10"/>
    </row>
    <row r="324">
      <c r="K324" s="3"/>
      <c r="M324" s="4"/>
      <c r="N324" s="10"/>
    </row>
    <row r="325">
      <c r="K325" s="3"/>
      <c r="M325" s="4"/>
      <c r="N325" s="10"/>
    </row>
    <row r="326">
      <c r="K326" s="3"/>
      <c r="M326" s="4"/>
      <c r="N326" s="10"/>
    </row>
    <row r="327">
      <c r="K327" s="3"/>
      <c r="M327" s="4"/>
      <c r="N327" s="10"/>
    </row>
    <row r="328">
      <c r="K328" s="3"/>
      <c r="M328" s="4"/>
      <c r="N328" s="10"/>
    </row>
    <row r="329">
      <c r="K329" s="3"/>
      <c r="M329" s="4"/>
      <c r="N329" s="10"/>
    </row>
    <row r="330">
      <c r="K330" s="3"/>
      <c r="M330" s="4"/>
      <c r="N330" s="10"/>
    </row>
    <row r="331">
      <c r="K331" s="3"/>
      <c r="M331" s="4"/>
      <c r="N331" s="10"/>
    </row>
    <row r="332">
      <c r="K332" s="3"/>
      <c r="M332" s="4"/>
      <c r="N332" s="10"/>
    </row>
    <row r="333">
      <c r="K333" s="3"/>
      <c r="M333" s="4"/>
      <c r="N333" s="10"/>
    </row>
    <row r="334">
      <c r="K334" s="3"/>
      <c r="M334" s="4"/>
      <c r="N334" s="10"/>
    </row>
    <row r="335">
      <c r="K335" s="3"/>
      <c r="M335" s="4"/>
      <c r="N335" s="10"/>
    </row>
    <row r="336">
      <c r="K336" s="3"/>
      <c r="M336" s="4"/>
      <c r="N336" s="10"/>
    </row>
    <row r="337">
      <c r="K337" s="3"/>
      <c r="M337" s="4"/>
      <c r="N337" s="10"/>
    </row>
    <row r="338">
      <c r="K338" s="3"/>
      <c r="M338" s="4"/>
      <c r="N338" s="10"/>
    </row>
    <row r="339">
      <c r="K339" s="3"/>
      <c r="M339" s="4"/>
      <c r="N339" s="10"/>
    </row>
    <row r="340">
      <c r="K340" s="3"/>
      <c r="M340" s="4"/>
      <c r="N340" s="10"/>
    </row>
    <row r="341">
      <c r="K341" s="3"/>
      <c r="M341" s="4"/>
      <c r="N341" s="10"/>
    </row>
    <row r="342">
      <c r="K342" s="3"/>
      <c r="M342" s="4"/>
      <c r="N342" s="10"/>
    </row>
    <row r="343">
      <c r="K343" s="3"/>
      <c r="M343" s="4"/>
      <c r="N343" s="10"/>
    </row>
    <row r="344">
      <c r="K344" s="3"/>
      <c r="M344" s="4"/>
      <c r="N344" s="10"/>
    </row>
    <row r="345">
      <c r="K345" s="3"/>
      <c r="M345" s="4"/>
      <c r="N345" s="10"/>
    </row>
    <row r="346">
      <c r="K346" s="3"/>
      <c r="M346" s="4"/>
      <c r="N346" s="10"/>
    </row>
    <row r="347">
      <c r="K347" s="3"/>
      <c r="M347" s="4"/>
      <c r="N347" s="10"/>
    </row>
    <row r="348">
      <c r="K348" s="3"/>
      <c r="M348" s="4"/>
      <c r="N348" s="10"/>
    </row>
    <row r="349">
      <c r="K349" s="3"/>
      <c r="M349" s="4"/>
      <c r="N349" s="10"/>
    </row>
    <row r="350">
      <c r="K350" s="3"/>
      <c r="M350" s="4"/>
      <c r="N350" s="10"/>
    </row>
    <row r="351">
      <c r="K351" s="3"/>
      <c r="M351" s="4"/>
      <c r="N351" s="10"/>
    </row>
    <row r="352">
      <c r="K352" s="3"/>
      <c r="M352" s="4"/>
      <c r="N352" s="10"/>
    </row>
    <row r="353">
      <c r="K353" s="3"/>
      <c r="M353" s="4"/>
      <c r="N353" s="10"/>
    </row>
    <row r="354">
      <c r="K354" s="3"/>
      <c r="M354" s="4"/>
      <c r="N354" s="10"/>
    </row>
    <row r="355">
      <c r="K355" s="3"/>
      <c r="M355" s="4"/>
      <c r="N355" s="10"/>
    </row>
    <row r="356">
      <c r="K356" s="3"/>
      <c r="M356" s="4"/>
      <c r="N356" s="10"/>
    </row>
    <row r="357">
      <c r="K357" s="3"/>
      <c r="M357" s="4"/>
      <c r="N357" s="10"/>
    </row>
    <row r="358">
      <c r="K358" s="3"/>
      <c r="M358" s="4"/>
      <c r="N358" s="10"/>
    </row>
    <row r="359">
      <c r="K359" s="3"/>
      <c r="M359" s="4"/>
      <c r="N359" s="10"/>
    </row>
    <row r="360">
      <c r="K360" s="3"/>
      <c r="M360" s="4"/>
      <c r="N360" s="10"/>
    </row>
    <row r="361">
      <c r="K361" s="3"/>
      <c r="M361" s="4"/>
      <c r="N361" s="10"/>
    </row>
    <row r="362">
      <c r="K362" s="3"/>
      <c r="M362" s="4"/>
      <c r="N362" s="10"/>
    </row>
    <row r="363">
      <c r="K363" s="3"/>
      <c r="M363" s="4"/>
      <c r="N363" s="10"/>
    </row>
    <row r="364">
      <c r="K364" s="3"/>
      <c r="M364" s="4"/>
      <c r="N364" s="10"/>
    </row>
    <row r="365">
      <c r="K365" s="3"/>
      <c r="M365" s="4"/>
      <c r="N365" s="10"/>
    </row>
    <row r="366">
      <c r="K366" s="3"/>
      <c r="M366" s="4"/>
      <c r="N366" s="10"/>
    </row>
    <row r="367">
      <c r="K367" s="3"/>
      <c r="M367" s="4"/>
      <c r="N367" s="10"/>
    </row>
    <row r="368">
      <c r="K368" s="3"/>
      <c r="M368" s="4"/>
      <c r="N368" s="10"/>
    </row>
    <row r="369">
      <c r="K369" s="3"/>
      <c r="M369" s="4"/>
      <c r="N369" s="10"/>
    </row>
    <row r="370">
      <c r="K370" s="3"/>
      <c r="M370" s="4"/>
      <c r="N370" s="10"/>
    </row>
    <row r="371">
      <c r="K371" s="3"/>
      <c r="M371" s="4"/>
      <c r="N371" s="10"/>
    </row>
    <row r="372">
      <c r="K372" s="3"/>
      <c r="M372" s="4"/>
      <c r="N372" s="10"/>
    </row>
    <row r="373">
      <c r="K373" s="3"/>
      <c r="M373" s="4"/>
      <c r="N373" s="10"/>
    </row>
    <row r="374">
      <c r="K374" s="3"/>
      <c r="M374" s="4"/>
      <c r="N374" s="10"/>
    </row>
    <row r="375">
      <c r="K375" s="3"/>
      <c r="M375" s="4"/>
      <c r="N375" s="10"/>
    </row>
    <row r="376">
      <c r="K376" s="3"/>
      <c r="M376" s="4"/>
      <c r="N376" s="10"/>
    </row>
    <row r="377">
      <c r="K377" s="3"/>
      <c r="M377" s="4"/>
      <c r="N377" s="10"/>
    </row>
    <row r="378">
      <c r="K378" s="3"/>
      <c r="M378" s="4"/>
      <c r="N378" s="10"/>
    </row>
    <row r="379">
      <c r="K379" s="3"/>
      <c r="M379" s="4"/>
      <c r="N379" s="10"/>
    </row>
    <row r="380">
      <c r="K380" s="3"/>
      <c r="M380" s="4"/>
      <c r="N380" s="10"/>
    </row>
    <row r="381">
      <c r="K381" s="3"/>
      <c r="M381" s="4"/>
      <c r="N381" s="10"/>
    </row>
    <row r="382">
      <c r="K382" s="3"/>
      <c r="M382" s="4"/>
      <c r="N382" s="10"/>
    </row>
    <row r="383">
      <c r="K383" s="3"/>
      <c r="M383" s="4"/>
      <c r="N383" s="10"/>
    </row>
    <row r="384">
      <c r="K384" s="3"/>
      <c r="M384" s="4"/>
      <c r="N384" s="10"/>
    </row>
    <row r="385">
      <c r="K385" s="3"/>
      <c r="M385" s="4"/>
      <c r="N385" s="10"/>
    </row>
    <row r="386">
      <c r="K386" s="3"/>
      <c r="M386" s="4"/>
      <c r="N386" s="10"/>
    </row>
    <row r="387">
      <c r="K387" s="3"/>
      <c r="M387" s="4"/>
      <c r="N387" s="10"/>
    </row>
    <row r="388">
      <c r="K388" s="3"/>
      <c r="M388" s="4"/>
      <c r="N388" s="10"/>
    </row>
    <row r="389">
      <c r="K389" s="3"/>
      <c r="M389" s="4"/>
      <c r="N389" s="10"/>
    </row>
    <row r="390">
      <c r="K390" s="3"/>
      <c r="M390" s="4"/>
      <c r="N390" s="10"/>
    </row>
    <row r="391">
      <c r="K391" s="3"/>
      <c r="M391" s="4"/>
      <c r="N391" s="10"/>
    </row>
    <row r="392">
      <c r="K392" s="3"/>
      <c r="M392" s="4"/>
      <c r="N392" s="10"/>
    </row>
    <row r="393">
      <c r="K393" s="3"/>
      <c r="M393" s="4"/>
      <c r="N393" s="10"/>
    </row>
    <row r="394">
      <c r="K394" s="3"/>
      <c r="M394" s="4"/>
      <c r="N394" s="10"/>
    </row>
    <row r="395">
      <c r="K395" s="3"/>
      <c r="M395" s="4"/>
      <c r="N395" s="10"/>
    </row>
    <row r="396">
      <c r="K396" s="3"/>
      <c r="M396" s="4"/>
      <c r="N396" s="10"/>
    </row>
    <row r="397">
      <c r="K397" s="3"/>
      <c r="M397" s="4"/>
      <c r="N397" s="10"/>
    </row>
    <row r="398">
      <c r="K398" s="3"/>
      <c r="M398" s="4"/>
      <c r="N398" s="10"/>
    </row>
    <row r="399">
      <c r="K399" s="3"/>
      <c r="M399" s="4"/>
      <c r="N399" s="10"/>
    </row>
    <row r="400">
      <c r="K400" s="3"/>
      <c r="M400" s="4"/>
      <c r="N400" s="10"/>
    </row>
    <row r="401">
      <c r="K401" s="3"/>
      <c r="M401" s="4"/>
      <c r="N401" s="10"/>
    </row>
    <row r="402">
      <c r="K402" s="3"/>
      <c r="M402" s="4"/>
      <c r="N402" s="10"/>
    </row>
    <row r="403">
      <c r="K403" s="3"/>
      <c r="M403" s="4"/>
      <c r="N403" s="10"/>
    </row>
    <row r="404">
      <c r="K404" s="3"/>
      <c r="M404" s="4"/>
      <c r="N404" s="10"/>
    </row>
    <row r="405">
      <c r="K405" s="3"/>
      <c r="M405" s="4"/>
      <c r="N405" s="10"/>
    </row>
    <row r="406">
      <c r="K406" s="3"/>
      <c r="M406" s="4"/>
      <c r="N406" s="10"/>
    </row>
    <row r="407">
      <c r="K407" s="3"/>
      <c r="M407" s="4"/>
      <c r="N407" s="10"/>
    </row>
    <row r="408">
      <c r="K408" s="3"/>
      <c r="M408" s="4"/>
      <c r="N408" s="10"/>
    </row>
    <row r="409">
      <c r="K409" s="3"/>
      <c r="M409" s="4"/>
      <c r="N409" s="10"/>
    </row>
    <row r="410">
      <c r="K410" s="3"/>
      <c r="M410" s="4"/>
      <c r="N410" s="10"/>
    </row>
    <row r="411">
      <c r="K411" s="3"/>
      <c r="M411" s="4"/>
      <c r="N411" s="10"/>
    </row>
    <row r="412">
      <c r="K412" s="3"/>
      <c r="M412" s="4"/>
      <c r="N412" s="10"/>
    </row>
    <row r="413">
      <c r="K413" s="3"/>
      <c r="M413" s="4"/>
      <c r="N413" s="10"/>
    </row>
    <row r="414">
      <c r="K414" s="3"/>
      <c r="M414" s="4"/>
      <c r="N414" s="10"/>
    </row>
    <row r="415">
      <c r="K415" s="3"/>
      <c r="M415" s="4"/>
      <c r="N415" s="10"/>
    </row>
    <row r="416">
      <c r="K416" s="3"/>
      <c r="M416" s="4"/>
      <c r="N416" s="10"/>
    </row>
    <row r="417">
      <c r="K417" s="3"/>
      <c r="M417" s="4"/>
      <c r="N417" s="10"/>
    </row>
    <row r="418">
      <c r="K418" s="3"/>
      <c r="M418" s="4"/>
      <c r="N418" s="10"/>
    </row>
    <row r="419">
      <c r="K419" s="3"/>
      <c r="M419" s="4"/>
      <c r="N419" s="10"/>
    </row>
    <row r="420">
      <c r="K420" s="3"/>
      <c r="M420" s="4"/>
      <c r="N420" s="10"/>
    </row>
    <row r="421">
      <c r="K421" s="3"/>
      <c r="M421" s="4"/>
      <c r="N421" s="10"/>
    </row>
    <row r="422">
      <c r="K422" s="3"/>
      <c r="M422" s="4"/>
      <c r="N422" s="10"/>
    </row>
    <row r="423">
      <c r="K423" s="3"/>
      <c r="M423" s="4"/>
      <c r="N423" s="10"/>
    </row>
    <row r="424">
      <c r="K424" s="3"/>
      <c r="M424" s="4"/>
      <c r="N424" s="10"/>
    </row>
    <row r="425">
      <c r="K425" s="3"/>
      <c r="M425" s="4"/>
      <c r="N425" s="10"/>
    </row>
    <row r="426">
      <c r="K426" s="3"/>
      <c r="M426" s="4"/>
      <c r="N426" s="10"/>
    </row>
    <row r="427">
      <c r="K427" s="3"/>
      <c r="M427" s="4"/>
      <c r="N427" s="10"/>
    </row>
    <row r="428">
      <c r="K428" s="3"/>
      <c r="M428" s="4"/>
      <c r="N428" s="10"/>
    </row>
    <row r="429">
      <c r="K429" s="3"/>
      <c r="M429" s="4"/>
      <c r="N429" s="10"/>
    </row>
    <row r="430">
      <c r="K430" s="3"/>
      <c r="M430" s="4"/>
      <c r="N430" s="10"/>
    </row>
    <row r="431">
      <c r="K431" s="3"/>
      <c r="M431" s="4"/>
      <c r="N431" s="10"/>
    </row>
    <row r="432">
      <c r="K432" s="3"/>
      <c r="M432" s="4"/>
      <c r="N432" s="10"/>
    </row>
    <row r="433">
      <c r="K433" s="3"/>
      <c r="M433" s="4"/>
      <c r="N433" s="10"/>
    </row>
    <row r="434">
      <c r="K434" s="3"/>
      <c r="M434" s="4"/>
      <c r="N434" s="10"/>
    </row>
    <row r="435">
      <c r="K435" s="3"/>
      <c r="M435" s="4"/>
      <c r="N435" s="10"/>
    </row>
    <row r="436">
      <c r="K436" s="3"/>
      <c r="M436" s="4"/>
      <c r="N436" s="10"/>
    </row>
    <row r="437">
      <c r="K437" s="3"/>
      <c r="M437" s="4"/>
      <c r="N437" s="10"/>
    </row>
    <row r="438">
      <c r="K438" s="3"/>
      <c r="M438" s="4"/>
      <c r="N438" s="10"/>
    </row>
    <row r="439">
      <c r="K439" s="3"/>
      <c r="M439" s="4"/>
      <c r="N439" s="10"/>
    </row>
    <row r="440">
      <c r="K440" s="3"/>
      <c r="M440" s="4"/>
      <c r="N440" s="10"/>
    </row>
    <row r="441">
      <c r="K441" s="3"/>
      <c r="M441" s="4"/>
      <c r="N441" s="10"/>
    </row>
    <row r="442">
      <c r="K442" s="3"/>
      <c r="M442" s="4"/>
      <c r="N442" s="10"/>
    </row>
    <row r="443">
      <c r="K443" s="3"/>
      <c r="M443" s="4"/>
      <c r="N443" s="10"/>
    </row>
    <row r="444">
      <c r="K444" s="3"/>
      <c r="M444" s="4"/>
      <c r="N444" s="10"/>
    </row>
    <row r="445">
      <c r="K445" s="3"/>
      <c r="M445" s="4"/>
      <c r="N445" s="10"/>
    </row>
    <row r="446">
      <c r="K446" s="3"/>
      <c r="M446" s="4"/>
      <c r="N446" s="10"/>
    </row>
    <row r="447">
      <c r="K447" s="3"/>
      <c r="M447" s="4"/>
      <c r="N447" s="10"/>
    </row>
    <row r="448">
      <c r="K448" s="3"/>
      <c r="M448" s="4"/>
      <c r="N448" s="10"/>
    </row>
    <row r="449">
      <c r="K449" s="3"/>
      <c r="M449" s="4"/>
      <c r="N449" s="10"/>
    </row>
    <row r="450">
      <c r="K450" s="3"/>
      <c r="M450" s="4"/>
      <c r="N450" s="10"/>
    </row>
    <row r="451">
      <c r="K451" s="3"/>
      <c r="M451" s="4"/>
      <c r="N451" s="10"/>
    </row>
    <row r="452">
      <c r="K452" s="3"/>
      <c r="M452" s="4"/>
      <c r="N452" s="10"/>
    </row>
    <row r="453">
      <c r="K453" s="3"/>
      <c r="M453" s="4"/>
      <c r="N453" s="10"/>
    </row>
    <row r="454">
      <c r="K454" s="3"/>
      <c r="M454" s="4"/>
      <c r="N454" s="10"/>
    </row>
    <row r="455">
      <c r="K455" s="3"/>
      <c r="M455" s="4"/>
      <c r="N455" s="10"/>
    </row>
    <row r="456">
      <c r="K456" s="3"/>
      <c r="M456" s="4"/>
      <c r="N456" s="10"/>
    </row>
    <row r="457">
      <c r="K457" s="3"/>
      <c r="M457" s="4"/>
      <c r="N457" s="10"/>
    </row>
    <row r="458">
      <c r="K458" s="3"/>
      <c r="M458" s="4"/>
      <c r="N458" s="10"/>
    </row>
    <row r="459">
      <c r="K459" s="3"/>
      <c r="M459" s="4"/>
      <c r="N459" s="10"/>
    </row>
    <row r="460">
      <c r="K460" s="3"/>
      <c r="M460" s="4"/>
      <c r="N460" s="10"/>
    </row>
    <row r="461">
      <c r="K461" s="3"/>
      <c r="M461" s="4"/>
      <c r="N461" s="10"/>
    </row>
    <row r="462">
      <c r="K462" s="3"/>
      <c r="M462" s="4"/>
      <c r="N462" s="10"/>
    </row>
    <row r="463">
      <c r="K463" s="3"/>
      <c r="M463" s="4"/>
      <c r="N463" s="10"/>
    </row>
    <row r="464">
      <c r="K464" s="3"/>
      <c r="M464" s="4"/>
      <c r="N464" s="10"/>
    </row>
    <row r="465">
      <c r="K465" s="3"/>
      <c r="M465" s="4"/>
      <c r="N465" s="10"/>
    </row>
    <row r="466">
      <c r="K466" s="3"/>
      <c r="M466" s="4"/>
      <c r="N466" s="10"/>
    </row>
    <row r="467">
      <c r="K467" s="3"/>
      <c r="M467" s="4"/>
      <c r="N467" s="10"/>
    </row>
    <row r="468">
      <c r="K468" s="3"/>
      <c r="M468" s="4"/>
      <c r="N468" s="10"/>
    </row>
    <row r="469">
      <c r="K469" s="3"/>
      <c r="M469" s="4"/>
      <c r="N469" s="10"/>
    </row>
    <row r="470">
      <c r="K470" s="3"/>
      <c r="M470" s="4"/>
      <c r="N470" s="10"/>
    </row>
    <row r="471">
      <c r="K471" s="3"/>
      <c r="M471" s="4"/>
      <c r="N471" s="10"/>
    </row>
    <row r="472">
      <c r="K472" s="3"/>
      <c r="M472" s="4"/>
      <c r="N472" s="10"/>
    </row>
    <row r="473">
      <c r="K473" s="3"/>
      <c r="M473" s="4"/>
      <c r="N473" s="10"/>
    </row>
    <row r="474">
      <c r="K474" s="3"/>
      <c r="M474" s="4"/>
      <c r="N474" s="10"/>
    </row>
    <row r="475">
      <c r="K475" s="3"/>
      <c r="M475" s="4"/>
      <c r="N475" s="10"/>
    </row>
    <row r="476">
      <c r="K476" s="3"/>
      <c r="M476" s="4"/>
      <c r="N476" s="10"/>
    </row>
    <row r="477">
      <c r="K477" s="3"/>
      <c r="M477" s="4"/>
      <c r="N477" s="10"/>
    </row>
    <row r="478">
      <c r="K478" s="3"/>
      <c r="M478" s="4"/>
      <c r="N478" s="10"/>
    </row>
    <row r="479">
      <c r="K479" s="3"/>
      <c r="M479" s="4"/>
      <c r="N479" s="10"/>
    </row>
    <row r="480">
      <c r="K480" s="3"/>
      <c r="M480" s="4"/>
      <c r="N480" s="10"/>
    </row>
    <row r="481">
      <c r="K481" s="3"/>
      <c r="M481" s="4"/>
      <c r="N481" s="10"/>
    </row>
    <row r="482">
      <c r="K482" s="3"/>
      <c r="M482" s="4"/>
      <c r="N482" s="10"/>
    </row>
    <row r="483">
      <c r="K483" s="3"/>
      <c r="M483" s="4"/>
      <c r="N483" s="10"/>
    </row>
    <row r="484">
      <c r="K484" s="3"/>
      <c r="M484" s="4"/>
      <c r="N484" s="10"/>
    </row>
    <row r="485">
      <c r="K485" s="3"/>
      <c r="M485" s="4"/>
      <c r="N485" s="10"/>
    </row>
    <row r="486">
      <c r="K486" s="3"/>
      <c r="M486" s="4"/>
      <c r="N486" s="10"/>
    </row>
    <row r="487">
      <c r="K487" s="3"/>
      <c r="M487" s="4"/>
      <c r="N487" s="10"/>
    </row>
    <row r="488">
      <c r="K488" s="3"/>
      <c r="M488" s="4"/>
      <c r="N488" s="10"/>
    </row>
    <row r="489">
      <c r="K489" s="3"/>
      <c r="M489" s="4"/>
      <c r="N489" s="10"/>
    </row>
    <row r="490">
      <c r="K490" s="3"/>
      <c r="M490" s="4"/>
      <c r="N490" s="10"/>
    </row>
    <row r="491">
      <c r="K491" s="3"/>
      <c r="M491" s="4"/>
      <c r="N491" s="10"/>
    </row>
    <row r="492">
      <c r="K492" s="3"/>
      <c r="M492" s="4"/>
      <c r="N492" s="10"/>
    </row>
    <row r="493">
      <c r="K493" s="3"/>
      <c r="M493" s="4"/>
      <c r="N493" s="10"/>
    </row>
    <row r="494">
      <c r="K494" s="3"/>
      <c r="M494" s="4"/>
      <c r="N494" s="10"/>
    </row>
    <row r="495">
      <c r="K495" s="3"/>
      <c r="M495" s="4"/>
      <c r="N495" s="10"/>
    </row>
    <row r="496">
      <c r="K496" s="3"/>
      <c r="M496" s="4"/>
      <c r="N496" s="10"/>
    </row>
    <row r="497">
      <c r="K497" s="3"/>
      <c r="M497" s="4"/>
      <c r="N497" s="10"/>
    </row>
    <row r="498">
      <c r="K498" s="3"/>
      <c r="M498" s="4"/>
      <c r="N498" s="10"/>
    </row>
    <row r="499">
      <c r="K499" s="3"/>
      <c r="M499" s="4"/>
      <c r="N499" s="10"/>
    </row>
    <row r="500">
      <c r="K500" s="3"/>
      <c r="M500" s="4"/>
      <c r="N500" s="10"/>
    </row>
    <row r="501">
      <c r="K501" s="3"/>
      <c r="M501" s="4"/>
      <c r="N501" s="10"/>
    </row>
    <row r="502">
      <c r="K502" s="3"/>
      <c r="M502" s="4"/>
      <c r="N502" s="10"/>
    </row>
    <row r="503">
      <c r="K503" s="3"/>
      <c r="M503" s="4"/>
      <c r="N503" s="10"/>
    </row>
    <row r="504">
      <c r="K504" s="3"/>
      <c r="M504" s="4"/>
      <c r="N504" s="10"/>
    </row>
    <row r="505">
      <c r="K505" s="3"/>
      <c r="M505" s="4"/>
      <c r="N505" s="10"/>
    </row>
    <row r="506">
      <c r="K506" s="3"/>
      <c r="M506" s="4"/>
      <c r="N506" s="10"/>
    </row>
    <row r="507">
      <c r="K507" s="3"/>
      <c r="M507" s="4"/>
      <c r="N507" s="10"/>
    </row>
    <row r="508">
      <c r="K508" s="3"/>
      <c r="M508" s="4"/>
      <c r="N508" s="10"/>
    </row>
    <row r="509">
      <c r="K509" s="3"/>
      <c r="M509" s="4"/>
      <c r="N509" s="10"/>
    </row>
    <row r="510">
      <c r="K510" s="3"/>
      <c r="M510" s="4"/>
      <c r="N510" s="10"/>
    </row>
    <row r="511">
      <c r="K511" s="3"/>
      <c r="M511" s="4"/>
      <c r="N511" s="10"/>
    </row>
    <row r="512">
      <c r="K512" s="3"/>
      <c r="M512" s="4"/>
      <c r="N512" s="10"/>
    </row>
    <row r="513">
      <c r="K513" s="3"/>
      <c r="M513" s="4"/>
      <c r="N513" s="10"/>
    </row>
    <row r="514">
      <c r="K514" s="3"/>
      <c r="M514" s="4"/>
      <c r="N514" s="10"/>
    </row>
    <row r="515">
      <c r="K515" s="3"/>
      <c r="M515" s="4"/>
      <c r="N515" s="10"/>
    </row>
    <row r="516">
      <c r="K516" s="3"/>
      <c r="M516" s="4"/>
      <c r="N516" s="10"/>
    </row>
    <row r="517">
      <c r="K517" s="3"/>
      <c r="M517" s="4"/>
      <c r="N517" s="10"/>
    </row>
    <row r="518">
      <c r="K518" s="3"/>
      <c r="M518" s="4"/>
      <c r="N518" s="10"/>
    </row>
    <row r="519">
      <c r="K519" s="3"/>
      <c r="M519" s="4"/>
      <c r="N519" s="10"/>
    </row>
    <row r="520">
      <c r="K520" s="3"/>
      <c r="M520" s="4"/>
      <c r="N520" s="10"/>
    </row>
    <row r="521">
      <c r="K521" s="3"/>
      <c r="M521" s="4"/>
      <c r="N521" s="10"/>
    </row>
    <row r="522">
      <c r="K522" s="3"/>
      <c r="M522" s="4"/>
      <c r="N522" s="10"/>
    </row>
    <row r="523">
      <c r="K523" s="3"/>
      <c r="M523" s="4"/>
      <c r="N523" s="10"/>
    </row>
    <row r="524">
      <c r="K524" s="3"/>
      <c r="M524" s="4"/>
      <c r="N524" s="10"/>
    </row>
    <row r="525">
      <c r="K525" s="3"/>
      <c r="M525" s="4"/>
      <c r="N525" s="10"/>
    </row>
    <row r="526">
      <c r="K526" s="3"/>
      <c r="M526" s="4"/>
      <c r="N526" s="10"/>
    </row>
    <row r="527">
      <c r="K527" s="3"/>
      <c r="M527" s="4"/>
      <c r="N527" s="10"/>
    </row>
    <row r="528">
      <c r="K528" s="3"/>
      <c r="M528" s="4"/>
      <c r="N528" s="10"/>
    </row>
    <row r="529">
      <c r="K529" s="3"/>
      <c r="M529" s="4"/>
      <c r="N529" s="10"/>
    </row>
    <row r="530">
      <c r="K530" s="3"/>
      <c r="M530" s="4"/>
      <c r="N530" s="10"/>
    </row>
    <row r="531">
      <c r="K531" s="3"/>
      <c r="M531" s="4"/>
      <c r="N531" s="10"/>
    </row>
    <row r="532">
      <c r="K532" s="3"/>
      <c r="M532" s="4"/>
      <c r="N532" s="10"/>
    </row>
    <row r="533">
      <c r="K533" s="3"/>
      <c r="M533" s="4"/>
      <c r="N533" s="10"/>
    </row>
    <row r="534">
      <c r="K534" s="3"/>
      <c r="M534" s="4"/>
      <c r="N534" s="10"/>
    </row>
    <row r="535">
      <c r="K535" s="3"/>
      <c r="M535" s="4"/>
      <c r="N535" s="10"/>
    </row>
    <row r="536">
      <c r="K536" s="3"/>
      <c r="M536" s="4"/>
      <c r="N536" s="10"/>
    </row>
    <row r="537">
      <c r="K537" s="3"/>
      <c r="M537" s="4"/>
      <c r="N537" s="10"/>
    </row>
    <row r="538">
      <c r="K538" s="3"/>
      <c r="M538" s="4"/>
      <c r="N538" s="10"/>
    </row>
    <row r="539">
      <c r="K539" s="3"/>
      <c r="M539" s="4"/>
      <c r="N539" s="10"/>
    </row>
    <row r="540">
      <c r="K540" s="3"/>
      <c r="M540" s="4"/>
      <c r="N540" s="10"/>
    </row>
    <row r="541">
      <c r="K541" s="3"/>
      <c r="M541" s="4"/>
      <c r="N541" s="10"/>
    </row>
    <row r="542">
      <c r="K542" s="3"/>
      <c r="M542" s="4"/>
      <c r="N542" s="10"/>
    </row>
    <row r="543">
      <c r="K543" s="3"/>
      <c r="M543" s="4"/>
      <c r="N543" s="10"/>
    </row>
    <row r="544">
      <c r="K544" s="3"/>
      <c r="M544" s="4"/>
      <c r="N544" s="10"/>
    </row>
    <row r="545">
      <c r="K545" s="3"/>
      <c r="M545" s="4"/>
      <c r="N545" s="10"/>
    </row>
    <row r="546">
      <c r="K546" s="3"/>
      <c r="M546" s="4"/>
      <c r="N546" s="10"/>
    </row>
    <row r="547">
      <c r="K547" s="3"/>
      <c r="M547" s="4"/>
      <c r="N547" s="10"/>
    </row>
    <row r="548">
      <c r="K548" s="3"/>
      <c r="M548" s="4"/>
      <c r="N548" s="10"/>
    </row>
    <row r="549">
      <c r="K549" s="3"/>
      <c r="M549" s="4"/>
      <c r="N549" s="10"/>
    </row>
    <row r="550">
      <c r="K550" s="3"/>
      <c r="M550" s="4"/>
      <c r="N550" s="10"/>
    </row>
    <row r="551">
      <c r="K551" s="3"/>
      <c r="M551" s="4"/>
      <c r="N551" s="10"/>
    </row>
    <row r="552">
      <c r="K552" s="3"/>
      <c r="M552" s="4"/>
      <c r="N552" s="10"/>
    </row>
    <row r="553">
      <c r="K553" s="3"/>
      <c r="M553" s="4"/>
      <c r="N553" s="10"/>
    </row>
    <row r="554">
      <c r="K554" s="3"/>
      <c r="M554" s="4"/>
      <c r="N554" s="10"/>
    </row>
    <row r="555">
      <c r="K555" s="3"/>
      <c r="M555" s="4"/>
      <c r="N555" s="10"/>
    </row>
    <row r="556">
      <c r="K556" s="3"/>
      <c r="M556" s="4"/>
      <c r="N556" s="10"/>
    </row>
    <row r="557">
      <c r="K557" s="3"/>
      <c r="M557" s="4"/>
      <c r="N557" s="10"/>
    </row>
    <row r="558">
      <c r="K558" s="3"/>
      <c r="M558" s="4"/>
      <c r="N558" s="10"/>
    </row>
    <row r="559">
      <c r="K559" s="3"/>
      <c r="M559" s="4"/>
      <c r="N559" s="10"/>
    </row>
    <row r="560">
      <c r="K560" s="3"/>
      <c r="M560" s="4"/>
      <c r="N560" s="10"/>
    </row>
    <row r="561">
      <c r="K561" s="3"/>
      <c r="M561" s="4"/>
      <c r="N561" s="10"/>
    </row>
    <row r="562">
      <c r="K562" s="3"/>
      <c r="M562" s="4"/>
      <c r="N562" s="10"/>
    </row>
    <row r="563">
      <c r="K563" s="3"/>
      <c r="M563" s="4"/>
      <c r="N563" s="10"/>
    </row>
    <row r="564">
      <c r="K564" s="3"/>
      <c r="M564" s="4"/>
      <c r="N564" s="10"/>
    </row>
    <row r="565">
      <c r="K565" s="3"/>
      <c r="M565" s="4"/>
      <c r="N565" s="10"/>
    </row>
    <row r="566">
      <c r="K566" s="3"/>
      <c r="M566" s="4"/>
      <c r="N566" s="10"/>
    </row>
    <row r="567">
      <c r="K567" s="3"/>
      <c r="M567" s="4"/>
      <c r="N567" s="10"/>
    </row>
    <row r="568">
      <c r="K568" s="3"/>
      <c r="M568" s="4"/>
      <c r="N568" s="10"/>
    </row>
    <row r="569">
      <c r="K569" s="3"/>
      <c r="M569" s="4"/>
      <c r="N569" s="10"/>
    </row>
    <row r="570">
      <c r="K570" s="3"/>
      <c r="M570" s="4"/>
      <c r="N570" s="10"/>
    </row>
    <row r="571">
      <c r="K571" s="3"/>
      <c r="M571" s="4"/>
      <c r="N571" s="10"/>
    </row>
    <row r="572">
      <c r="K572" s="3"/>
      <c r="M572" s="4"/>
      <c r="N572" s="10"/>
    </row>
    <row r="573">
      <c r="K573" s="3"/>
      <c r="M573" s="4"/>
      <c r="N573" s="10"/>
    </row>
    <row r="574">
      <c r="K574" s="3"/>
      <c r="M574" s="4"/>
      <c r="N574" s="10"/>
    </row>
    <row r="575">
      <c r="K575" s="3"/>
      <c r="M575" s="4"/>
      <c r="N575" s="10"/>
    </row>
    <row r="576">
      <c r="K576" s="3"/>
      <c r="M576" s="4"/>
      <c r="N576" s="10"/>
    </row>
    <row r="577">
      <c r="K577" s="3"/>
      <c r="M577" s="4"/>
      <c r="N577" s="10"/>
    </row>
    <row r="578">
      <c r="K578" s="3"/>
      <c r="M578" s="4"/>
      <c r="N578" s="10"/>
    </row>
    <row r="579">
      <c r="K579" s="3"/>
      <c r="M579" s="4"/>
      <c r="N579" s="10"/>
    </row>
    <row r="580">
      <c r="K580" s="3"/>
      <c r="M580" s="4"/>
      <c r="N580" s="10"/>
    </row>
    <row r="581">
      <c r="K581" s="3"/>
      <c r="M581" s="4"/>
      <c r="N581" s="10"/>
    </row>
    <row r="582">
      <c r="K582" s="3"/>
      <c r="M582" s="4"/>
      <c r="N582" s="10"/>
    </row>
    <row r="583">
      <c r="K583" s="3"/>
      <c r="M583" s="4"/>
      <c r="N583" s="10"/>
    </row>
    <row r="584">
      <c r="K584" s="3"/>
      <c r="M584" s="4"/>
      <c r="N584" s="10"/>
    </row>
    <row r="585">
      <c r="K585" s="3"/>
      <c r="M585" s="4"/>
      <c r="N585" s="10"/>
    </row>
    <row r="586">
      <c r="K586" s="3"/>
      <c r="M586" s="4"/>
      <c r="N586" s="10"/>
    </row>
    <row r="587">
      <c r="K587" s="3"/>
      <c r="M587" s="4"/>
      <c r="N587" s="10"/>
    </row>
    <row r="588">
      <c r="K588" s="3"/>
      <c r="M588" s="4"/>
      <c r="N588" s="10"/>
    </row>
    <row r="589">
      <c r="K589" s="3"/>
      <c r="M589" s="4"/>
      <c r="N589" s="10"/>
    </row>
    <row r="590">
      <c r="K590" s="3"/>
      <c r="M590" s="4"/>
      <c r="N590" s="10"/>
    </row>
    <row r="591">
      <c r="K591" s="3"/>
      <c r="M591" s="4"/>
      <c r="N591" s="10"/>
    </row>
    <row r="592">
      <c r="K592" s="3"/>
      <c r="M592" s="4"/>
      <c r="N592" s="10"/>
    </row>
    <row r="593">
      <c r="K593" s="3"/>
      <c r="M593" s="4"/>
      <c r="N593" s="10"/>
    </row>
    <row r="594">
      <c r="K594" s="3"/>
      <c r="M594" s="4"/>
      <c r="N594" s="10"/>
    </row>
    <row r="595">
      <c r="K595" s="3"/>
      <c r="M595" s="4"/>
      <c r="N595" s="10"/>
    </row>
    <row r="596">
      <c r="K596" s="3"/>
      <c r="M596" s="4"/>
      <c r="N596" s="10"/>
    </row>
    <row r="597">
      <c r="K597" s="3"/>
      <c r="M597" s="4"/>
      <c r="N597" s="10"/>
    </row>
    <row r="598">
      <c r="K598" s="3"/>
      <c r="M598" s="4"/>
      <c r="N598" s="10"/>
    </row>
    <row r="599">
      <c r="K599" s="3"/>
      <c r="M599" s="4"/>
      <c r="N599" s="10"/>
    </row>
    <row r="600">
      <c r="K600" s="3"/>
      <c r="M600" s="4"/>
      <c r="N600" s="10"/>
    </row>
    <row r="601">
      <c r="K601" s="3"/>
      <c r="M601" s="4"/>
      <c r="N601" s="10"/>
    </row>
    <row r="602">
      <c r="K602" s="3"/>
      <c r="M602" s="4"/>
      <c r="N602" s="10"/>
    </row>
    <row r="603">
      <c r="K603" s="3"/>
      <c r="M603" s="4"/>
      <c r="N603" s="10"/>
    </row>
    <row r="604">
      <c r="K604" s="3"/>
      <c r="M604" s="4"/>
      <c r="N604" s="10"/>
    </row>
    <row r="605">
      <c r="K605" s="3"/>
      <c r="M605" s="4"/>
      <c r="N605" s="10"/>
    </row>
    <row r="606">
      <c r="K606" s="3"/>
      <c r="M606" s="4"/>
      <c r="N606" s="10"/>
    </row>
    <row r="607">
      <c r="K607" s="3"/>
      <c r="M607" s="4"/>
      <c r="N607" s="10"/>
    </row>
    <row r="608">
      <c r="K608" s="3"/>
      <c r="M608" s="4"/>
      <c r="N608" s="10"/>
    </row>
    <row r="609">
      <c r="K609" s="3"/>
      <c r="M609" s="4"/>
      <c r="N609" s="10"/>
    </row>
    <row r="610">
      <c r="K610" s="3"/>
      <c r="M610" s="4"/>
      <c r="N610" s="10"/>
    </row>
    <row r="611">
      <c r="K611" s="3"/>
      <c r="M611" s="4"/>
      <c r="N611" s="10"/>
    </row>
    <row r="612">
      <c r="K612" s="3"/>
      <c r="M612" s="4"/>
      <c r="N612" s="10"/>
    </row>
    <row r="613">
      <c r="K613" s="3"/>
      <c r="M613" s="4"/>
      <c r="N613" s="10"/>
    </row>
    <row r="614">
      <c r="K614" s="3"/>
      <c r="M614" s="4"/>
      <c r="N614" s="10"/>
    </row>
    <row r="615">
      <c r="K615" s="3"/>
      <c r="M615" s="4"/>
      <c r="N615" s="10"/>
    </row>
    <row r="616">
      <c r="K616" s="3"/>
      <c r="M616" s="4"/>
      <c r="N616" s="10"/>
    </row>
    <row r="617">
      <c r="K617" s="3"/>
      <c r="M617" s="4"/>
      <c r="N617" s="10"/>
    </row>
    <row r="618">
      <c r="K618" s="3"/>
      <c r="M618" s="4"/>
      <c r="N618" s="10"/>
    </row>
    <row r="619">
      <c r="K619" s="3"/>
      <c r="M619" s="4"/>
      <c r="N619" s="10"/>
    </row>
    <row r="620">
      <c r="K620" s="3"/>
      <c r="M620" s="4"/>
      <c r="N620" s="10"/>
    </row>
    <row r="621">
      <c r="K621" s="3"/>
      <c r="M621" s="4"/>
      <c r="N621" s="10"/>
    </row>
    <row r="622">
      <c r="K622" s="3"/>
      <c r="M622" s="4"/>
      <c r="N622" s="10"/>
    </row>
    <row r="623">
      <c r="K623" s="3"/>
      <c r="M623" s="4"/>
      <c r="N623" s="10"/>
    </row>
    <row r="624">
      <c r="K624" s="3"/>
      <c r="M624" s="4"/>
      <c r="N624" s="10"/>
    </row>
    <row r="625">
      <c r="K625" s="3"/>
      <c r="M625" s="4"/>
      <c r="N625" s="10"/>
    </row>
    <row r="626">
      <c r="K626" s="3"/>
      <c r="M626" s="4"/>
      <c r="N626" s="10"/>
    </row>
    <row r="627">
      <c r="K627" s="3"/>
      <c r="M627" s="4"/>
      <c r="N627" s="10"/>
    </row>
    <row r="628">
      <c r="K628" s="3"/>
      <c r="M628" s="4"/>
      <c r="N628" s="10"/>
    </row>
    <row r="629">
      <c r="K629" s="3"/>
      <c r="M629" s="4"/>
      <c r="N629" s="10"/>
    </row>
    <row r="630">
      <c r="K630" s="3"/>
      <c r="M630" s="4"/>
      <c r="N630" s="10"/>
    </row>
    <row r="631">
      <c r="K631" s="3"/>
      <c r="M631" s="4"/>
      <c r="N631" s="10"/>
    </row>
    <row r="632">
      <c r="K632" s="3"/>
      <c r="M632" s="4"/>
      <c r="N632" s="10"/>
    </row>
    <row r="633">
      <c r="K633" s="3"/>
      <c r="M633" s="4"/>
      <c r="N633" s="10"/>
    </row>
    <row r="634">
      <c r="K634" s="3"/>
      <c r="M634" s="4"/>
      <c r="N634" s="10"/>
    </row>
    <row r="635">
      <c r="K635" s="3"/>
      <c r="M635" s="4"/>
      <c r="N635" s="10"/>
    </row>
    <row r="636">
      <c r="K636" s="3"/>
      <c r="M636" s="4"/>
      <c r="N636" s="10"/>
    </row>
    <row r="637">
      <c r="K637" s="3"/>
      <c r="M637" s="4"/>
      <c r="N637" s="10"/>
    </row>
    <row r="638">
      <c r="K638" s="3"/>
      <c r="M638" s="4"/>
      <c r="N638" s="10"/>
    </row>
    <row r="639">
      <c r="K639" s="3"/>
      <c r="M639" s="4"/>
      <c r="N639" s="10"/>
    </row>
    <row r="640">
      <c r="K640" s="3"/>
      <c r="M640" s="4"/>
      <c r="N640" s="10"/>
    </row>
    <row r="641">
      <c r="K641" s="3"/>
      <c r="M641" s="4"/>
      <c r="N641" s="10"/>
    </row>
    <row r="642">
      <c r="K642" s="3"/>
      <c r="M642" s="4"/>
      <c r="N642" s="10"/>
    </row>
    <row r="643">
      <c r="K643" s="3"/>
      <c r="M643" s="4"/>
      <c r="N643" s="10"/>
    </row>
    <row r="644">
      <c r="K644" s="3"/>
      <c r="M644" s="4"/>
      <c r="N644" s="10"/>
    </row>
    <row r="645">
      <c r="K645" s="3"/>
      <c r="M645" s="4"/>
      <c r="N645" s="10"/>
    </row>
    <row r="646">
      <c r="K646" s="3"/>
      <c r="M646" s="4"/>
      <c r="N646" s="10"/>
    </row>
    <row r="647">
      <c r="K647" s="3"/>
      <c r="M647" s="4"/>
      <c r="N647" s="10"/>
    </row>
    <row r="648">
      <c r="K648" s="3"/>
      <c r="M648" s="4"/>
      <c r="N648" s="10"/>
    </row>
    <row r="649">
      <c r="K649" s="3"/>
      <c r="M649" s="4"/>
      <c r="N649" s="10"/>
    </row>
    <row r="650">
      <c r="K650" s="3"/>
      <c r="M650" s="4"/>
      <c r="N650" s="10"/>
    </row>
    <row r="651">
      <c r="K651" s="3"/>
      <c r="M651" s="4"/>
      <c r="N651" s="10"/>
    </row>
    <row r="652">
      <c r="K652" s="3"/>
      <c r="M652" s="4"/>
      <c r="N652" s="10"/>
    </row>
    <row r="653">
      <c r="K653" s="3"/>
      <c r="M653" s="4"/>
      <c r="N653" s="10"/>
    </row>
    <row r="654">
      <c r="K654" s="3"/>
      <c r="M654" s="4"/>
      <c r="N654" s="10"/>
    </row>
    <row r="655">
      <c r="K655" s="3"/>
      <c r="M655" s="4"/>
      <c r="N655" s="10"/>
    </row>
    <row r="656">
      <c r="K656" s="3"/>
      <c r="M656" s="4"/>
      <c r="N656" s="10"/>
    </row>
    <row r="657">
      <c r="K657" s="3"/>
      <c r="M657" s="4"/>
      <c r="N657" s="10"/>
    </row>
    <row r="658">
      <c r="K658" s="3"/>
      <c r="M658" s="4"/>
      <c r="N658" s="10"/>
    </row>
    <row r="659">
      <c r="K659" s="3"/>
      <c r="M659" s="4"/>
      <c r="N659" s="10"/>
    </row>
    <row r="660">
      <c r="K660" s="3"/>
      <c r="M660" s="4"/>
      <c r="N660" s="10"/>
    </row>
    <row r="661">
      <c r="K661" s="3"/>
      <c r="M661" s="4"/>
      <c r="N661" s="10"/>
    </row>
    <row r="662">
      <c r="K662" s="3"/>
      <c r="M662" s="4"/>
      <c r="N662" s="10"/>
    </row>
    <row r="663">
      <c r="K663" s="3"/>
      <c r="M663" s="4"/>
      <c r="N663" s="10"/>
    </row>
    <row r="664">
      <c r="K664" s="3"/>
      <c r="M664" s="4"/>
      <c r="N664" s="10"/>
    </row>
    <row r="665">
      <c r="K665" s="3"/>
      <c r="M665" s="4"/>
      <c r="N665" s="10"/>
    </row>
    <row r="666">
      <c r="K666" s="3"/>
      <c r="M666" s="4"/>
      <c r="N666" s="10"/>
    </row>
    <row r="667">
      <c r="K667" s="3"/>
      <c r="M667" s="4"/>
      <c r="N667" s="10"/>
    </row>
    <row r="668">
      <c r="K668" s="3"/>
      <c r="M668" s="4"/>
      <c r="N668" s="10"/>
    </row>
    <row r="669">
      <c r="K669" s="3"/>
      <c r="M669" s="4"/>
      <c r="N669" s="10"/>
    </row>
    <row r="670">
      <c r="K670" s="3"/>
      <c r="M670" s="4"/>
      <c r="N670" s="10"/>
    </row>
    <row r="671">
      <c r="K671" s="3"/>
      <c r="M671" s="4"/>
      <c r="N671" s="10"/>
    </row>
    <row r="672">
      <c r="K672" s="3"/>
      <c r="M672" s="4"/>
      <c r="N672" s="10"/>
    </row>
    <row r="673">
      <c r="K673" s="3"/>
      <c r="M673" s="4"/>
      <c r="N673" s="10"/>
    </row>
    <row r="674">
      <c r="K674" s="3"/>
      <c r="M674" s="4"/>
      <c r="N674" s="10"/>
    </row>
    <row r="675">
      <c r="K675" s="3"/>
      <c r="M675" s="4"/>
      <c r="N675" s="10"/>
    </row>
    <row r="676">
      <c r="K676" s="3"/>
      <c r="M676" s="4"/>
      <c r="N676" s="10"/>
    </row>
    <row r="677">
      <c r="K677" s="3"/>
      <c r="M677" s="4"/>
      <c r="N677" s="10"/>
    </row>
    <row r="678">
      <c r="K678" s="3"/>
      <c r="M678" s="4"/>
      <c r="N678" s="10"/>
    </row>
    <row r="679">
      <c r="K679" s="3"/>
      <c r="M679" s="4"/>
      <c r="N679" s="10"/>
    </row>
    <row r="680">
      <c r="K680" s="3"/>
      <c r="M680" s="4"/>
      <c r="N680" s="10"/>
    </row>
    <row r="681">
      <c r="K681" s="3"/>
      <c r="M681" s="4"/>
      <c r="N681" s="10"/>
    </row>
    <row r="682">
      <c r="K682" s="3"/>
      <c r="M682" s="4"/>
      <c r="N682" s="10"/>
    </row>
    <row r="683">
      <c r="K683" s="3"/>
      <c r="M683" s="4"/>
      <c r="N683" s="10"/>
    </row>
    <row r="684">
      <c r="K684" s="3"/>
      <c r="M684" s="4"/>
      <c r="N684" s="10"/>
    </row>
    <row r="685">
      <c r="K685" s="3"/>
      <c r="M685" s="4"/>
      <c r="N685" s="10"/>
    </row>
    <row r="686">
      <c r="K686" s="3"/>
      <c r="M686" s="4"/>
      <c r="N686" s="10"/>
    </row>
    <row r="687">
      <c r="K687" s="3"/>
      <c r="M687" s="4"/>
      <c r="N687" s="10"/>
    </row>
    <row r="688">
      <c r="K688" s="3"/>
      <c r="M688" s="4"/>
      <c r="N688" s="10"/>
    </row>
    <row r="689">
      <c r="K689" s="3"/>
      <c r="M689" s="4"/>
      <c r="N689" s="10"/>
    </row>
    <row r="690">
      <c r="K690" s="3"/>
      <c r="M690" s="4"/>
      <c r="N690" s="10"/>
    </row>
    <row r="691">
      <c r="K691" s="3"/>
      <c r="M691" s="4"/>
      <c r="N691" s="10"/>
    </row>
    <row r="692">
      <c r="K692" s="3"/>
      <c r="M692" s="4"/>
      <c r="N692" s="10"/>
    </row>
    <row r="693">
      <c r="K693" s="3"/>
      <c r="M693" s="4"/>
      <c r="N693" s="10"/>
    </row>
    <row r="694">
      <c r="K694" s="3"/>
      <c r="M694" s="4"/>
      <c r="N694" s="10"/>
    </row>
    <row r="695">
      <c r="K695" s="3"/>
      <c r="M695" s="4"/>
      <c r="N695" s="10"/>
    </row>
    <row r="696">
      <c r="K696" s="3"/>
      <c r="M696" s="4"/>
      <c r="N696" s="10"/>
    </row>
    <row r="697">
      <c r="K697" s="3"/>
      <c r="M697" s="4"/>
      <c r="N697" s="10"/>
    </row>
    <row r="698">
      <c r="K698" s="3"/>
      <c r="M698" s="4"/>
      <c r="N698" s="10"/>
    </row>
    <row r="699">
      <c r="K699" s="3"/>
      <c r="M699" s="4"/>
      <c r="N699" s="10"/>
    </row>
    <row r="700">
      <c r="K700" s="3"/>
      <c r="M700" s="4"/>
      <c r="N700" s="10"/>
    </row>
    <row r="701">
      <c r="K701" s="3"/>
      <c r="M701" s="4"/>
      <c r="N701" s="10"/>
    </row>
    <row r="702">
      <c r="K702" s="3"/>
      <c r="M702" s="4"/>
      <c r="N702" s="10"/>
    </row>
    <row r="703">
      <c r="K703" s="3"/>
      <c r="M703" s="4"/>
      <c r="N703" s="10"/>
    </row>
    <row r="704">
      <c r="K704" s="3"/>
      <c r="M704" s="4"/>
      <c r="N704" s="10"/>
    </row>
    <row r="705">
      <c r="K705" s="3"/>
      <c r="M705" s="4"/>
      <c r="N705" s="10"/>
    </row>
    <row r="706">
      <c r="K706" s="3"/>
      <c r="M706" s="4"/>
      <c r="N706" s="10"/>
    </row>
    <row r="707">
      <c r="K707" s="3"/>
      <c r="M707" s="4"/>
      <c r="N707" s="10"/>
    </row>
    <row r="708">
      <c r="K708" s="3"/>
      <c r="M708" s="4"/>
      <c r="N708" s="10"/>
    </row>
    <row r="709">
      <c r="K709" s="3"/>
      <c r="M709" s="4"/>
      <c r="N709" s="10"/>
    </row>
    <row r="710">
      <c r="K710" s="3"/>
      <c r="M710" s="4"/>
      <c r="N710" s="10"/>
    </row>
    <row r="711">
      <c r="K711" s="3"/>
      <c r="M711" s="4"/>
      <c r="N711" s="10"/>
    </row>
    <row r="712">
      <c r="K712" s="3"/>
      <c r="M712" s="4"/>
      <c r="N712" s="10"/>
    </row>
    <row r="713">
      <c r="K713" s="3"/>
      <c r="M713" s="4"/>
      <c r="N713" s="10"/>
    </row>
    <row r="714">
      <c r="K714" s="3"/>
      <c r="M714" s="4"/>
      <c r="N714" s="10"/>
    </row>
    <row r="715">
      <c r="K715" s="3"/>
      <c r="M715" s="4"/>
      <c r="N715" s="10"/>
    </row>
    <row r="716">
      <c r="K716" s="3"/>
      <c r="M716" s="4"/>
      <c r="N716" s="10"/>
    </row>
    <row r="717">
      <c r="K717" s="3"/>
      <c r="M717" s="4"/>
      <c r="N717" s="10"/>
    </row>
    <row r="718">
      <c r="K718" s="3"/>
      <c r="M718" s="4"/>
      <c r="N718" s="10"/>
    </row>
    <row r="719">
      <c r="K719" s="3"/>
      <c r="M719" s="4"/>
      <c r="N719" s="10"/>
    </row>
    <row r="720">
      <c r="K720" s="3"/>
      <c r="M720" s="4"/>
      <c r="N720" s="10"/>
    </row>
    <row r="721">
      <c r="K721" s="3"/>
      <c r="M721" s="4"/>
      <c r="N721" s="10"/>
    </row>
    <row r="722">
      <c r="K722" s="3"/>
      <c r="M722" s="4"/>
      <c r="N722" s="10"/>
    </row>
    <row r="723">
      <c r="K723" s="3"/>
      <c r="M723" s="4"/>
      <c r="N723" s="10"/>
    </row>
    <row r="724">
      <c r="K724" s="3"/>
      <c r="M724" s="4"/>
      <c r="N724" s="10"/>
    </row>
    <row r="725">
      <c r="K725" s="3"/>
      <c r="M725" s="4"/>
      <c r="N725" s="10"/>
    </row>
    <row r="726">
      <c r="K726" s="3"/>
      <c r="M726" s="4"/>
      <c r="N726" s="10"/>
    </row>
    <row r="727">
      <c r="K727" s="3"/>
      <c r="M727" s="4"/>
      <c r="N727" s="10"/>
    </row>
    <row r="728">
      <c r="K728" s="3"/>
      <c r="M728" s="4"/>
      <c r="N728" s="10"/>
    </row>
    <row r="729">
      <c r="K729" s="3"/>
      <c r="M729" s="4"/>
      <c r="N729" s="10"/>
    </row>
    <row r="730">
      <c r="K730" s="3"/>
      <c r="M730" s="4"/>
      <c r="N730" s="10"/>
    </row>
    <row r="731">
      <c r="K731" s="3"/>
      <c r="M731" s="4"/>
      <c r="N731" s="10"/>
    </row>
    <row r="732">
      <c r="K732" s="3"/>
      <c r="M732" s="4"/>
      <c r="N732" s="10"/>
    </row>
    <row r="733">
      <c r="K733" s="3"/>
      <c r="M733" s="4"/>
      <c r="N733" s="10"/>
    </row>
    <row r="734">
      <c r="K734" s="3"/>
      <c r="M734" s="4"/>
      <c r="N734" s="10"/>
    </row>
    <row r="735">
      <c r="K735" s="3"/>
      <c r="M735" s="4"/>
      <c r="N735" s="10"/>
    </row>
    <row r="736">
      <c r="K736" s="3"/>
      <c r="M736" s="4"/>
      <c r="N736" s="10"/>
    </row>
    <row r="737">
      <c r="K737" s="3"/>
      <c r="M737" s="4"/>
      <c r="N737" s="10"/>
    </row>
    <row r="738">
      <c r="K738" s="3"/>
      <c r="M738" s="4"/>
      <c r="N738" s="10"/>
    </row>
    <row r="739">
      <c r="K739" s="3"/>
      <c r="M739" s="4"/>
      <c r="N739" s="10"/>
    </row>
    <row r="740">
      <c r="K740" s="3"/>
      <c r="M740" s="4"/>
      <c r="N740" s="10"/>
    </row>
    <row r="741">
      <c r="K741" s="3"/>
      <c r="M741" s="4"/>
      <c r="N741" s="10"/>
    </row>
    <row r="742">
      <c r="K742" s="3"/>
      <c r="M742" s="4"/>
      <c r="N742" s="10"/>
    </row>
    <row r="743">
      <c r="K743" s="3"/>
      <c r="M743" s="4"/>
      <c r="N743" s="10"/>
    </row>
    <row r="744">
      <c r="K744" s="3"/>
      <c r="M744" s="4"/>
      <c r="N744" s="10"/>
    </row>
    <row r="745">
      <c r="K745" s="3"/>
      <c r="M745" s="4"/>
      <c r="N745" s="10"/>
    </row>
    <row r="746">
      <c r="K746" s="3"/>
      <c r="M746" s="4"/>
      <c r="N746" s="10"/>
    </row>
    <row r="747">
      <c r="K747" s="3"/>
      <c r="M747" s="4"/>
      <c r="N747" s="10"/>
    </row>
    <row r="748">
      <c r="K748" s="3"/>
      <c r="M748" s="4"/>
      <c r="N748" s="10"/>
    </row>
    <row r="749">
      <c r="K749" s="3"/>
      <c r="M749" s="4"/>
      <c r="N749" s="10"/>
    </row>
    <row r="750">
      <c r="K750" s="3"/>
      <c r="M750" s="4"/>
      <c r="N750" s="10"/>
    </row>
    <row r="751">
      <c r="K751" s="3"/>
      <c r="M751" s="4"/>
      <c r="N751" s="10"/>
    </row>
    <row r="752">
      <c r="K752" s="3"/>
      <c r="M752" s="4"/>
      <c r="N752" s="10"/>
    </row>
    <row r="753">
      <c r="K753" s="3"/>
      <c r="M753" s="4"/>
      <c r="N753" s="10"/>
    </row>
    <row r="754">
      <c r="K754" s="3"/>
      <c r="M754" s="4"/>
      <c r="N754" s="10"/>
    </row>
    <row r="755">
      <c r="K755" s="3"/>
      <c r="M755" s="4"/>
      <c r="N755" s="10"/>
    </row>
    <row r="756">
      <c r="K756" s="3"/>
      <c r="M756" s="4"/>
      <c r="N756" s="10"/>
    </row>
    <row r="757">
      <c r="K757" s="3"/>
      <c r="M757" s="4"/>
      <c r="N757" s="10"/>
    </row>
    <row r="758">
      <c r="K758" s="3"/>
      <c r="M758" s="4"/>
      <c r="N758" s="10"/>
    </row>
    <row r="759">
      <c r="K759" s="3"/>
      <c r="M759" s="4"/>
      <c r="N759" s="10"/>
    </row>
    <row r="760">
      <c r="K760" s="3"/>
      <c r="M760" s="4"/>
      <c r="N760" s="10"/>
    </row>
    <row r="761">
      <c r="K761" s="3"/>
      <c r="M761" s="4"/>
      <c r="N761" s="10"/>
    </row>
    <row r="762">
      <c r="K762" s="3"/>
      <c r="M762" s="4"/>
      <c r="N762" s="10"/>
    </row>
    <row r="763">
      <c r="K763" s="3"/>
      <c r="M763" s="4"/>
      <c r="N763" s="10"/>
    </row>
    <row r="764">
      <c r="K764" s="3"/>
      <c r="M764" s="4"/>
      <c r="N764" s="10"/>
    </row>
    <row r="765">
      <c r="K765" s="3"/>
      <c r="M765" s="4"/>
      <c r="N765" s="10"/>
    </row>
    <row r="766">
      <c r="K766" s="3"/>
      <c r="M766" s="4"/>
      <c r="N766" s="10"/>
    </row>
    <row r="767">
      <c r="K767" s="3"/>
      <c r="M767" s="4"/>
      <c r="N767" s="10"/>
    </row>
    <row r="768">
      <c r="K768" s="3"/>
      <c r="M768" s="4"/>
      <c r="N768" s="10"/>
    </row>
    <row r="769">
      <c r="K769" s="3"/>
      <c r="M769" s="4"/>
      <c r="N769" s="10"/>
    </row>
    <row r="770">
      <c r="K770" s="3"/>
      <c r="M770" s="4"/>
      <c r="N770" s="10"/>
    </row>
    <row r="771">
      <c r="K771" s="3"/>
      <c r="M771" s="4"/>
      <c r="N771" s="10"/>
    </row>
    <row r="772">
      <c r="K772" s="3"/>
      <c r="M772" s="4"/>
      <c r="N772" s="10"/>
    </row>
    <row r="773">
      <c r="K773" s="3"/>
      <c r="M773" s="4"/>
      <c r="N773" s="10"/>
    </row>
    <row r="774">
      <c r="K774" s="3"/>
      <c r="M774" s="4"/>
      <c r="N774" s="10"/>
    </row>
    <row r="775">
      <c r="K775" s="3"/>
      <c r="M775" s="4"/>
      <c r="N775" s="10"/>
    </row>
    <row r="776">
      <c r="K776" s="3"/>
      <c r="M776" s="4"/>
      <c r="N776" s="10"/>
    </row>
    <row r="777">
      <c r="K777" s="3"/>
      <c r="M777" s="4"/>
      <c r="N777" s="10"/>
    </row>
    <row r="778">
      <c r="K778" s="3"/>
      <c r="M778" s="4"/>
      <c r="N778" s="10"/>
    </row>
    <row r="779">
      <c r="K779" s="3"/>
      <c r="M779" s="4"/>
      <c r="N779" s="10"/>
    </row>
    <row r="780">
      <c r="K780" s="3"/>
      <c r="M780" s="4"/>
      <c r="N780" s="10"/>
    </row>
    <row r="781">
      <c r="K781" s="3"/>
      <c r="M781" s="4"/>
      <c r="N781" s="10"/>
    </row>
    <row r="782">
      <c r="K782" s="3"/>
      <c r="M782" s="4"/>
      <c r="N782" s="10"/>
    </row>
    <row r="783">
      <c r="K783" s="3"/>
      <c r="M783" s="4"/>
      <c r="N783" s="10"/>
    </row>
    <row r="784">
      <c r="K784" s="3"/>
      <c r="M784" s="4"/>
      <c r="N784" s="10"/>
    </row>
    <row r="785">
      <c r="K785" s="3"/>
      <c r="M785" s="4"/>
      <c r="N785" s="10"/>
    </row>
    <row r="786">
      <c r="K786" s="3"/>
      <c r="M786" s="4"/>
      <c r="N786" s="10"/>
    </row>
    <row r="787">
      <c r="K787" s="3"/>
      <c r="M787" s="4"/>
      <c r="N787" s="10"/>
    </row>
    <row r="788">
      <c r="K788" s="3"/>
      <c r="M788" s="4"/>
      <c r="N788" s="10"/>
    </row>
    <row r="789">
      <c r="K789" s="3"/>
      <c r="M789" s="4"/>
      <c r="N789" s="10"/>
    </row>
    <row r="790">
      <c r="K790" s="3"/>
      <c r="M790" s="4"/>
      <c r="N790" s="10"/>
    </row>
    <row r="791">
      <c r="K791" s="3"/>
      <c r="M791" s="4"/>
      <c r="N791" s="10"/>
    </row>
    <row r="792">
      <c r="K792" s="3"/>
      <c r="M792" s="4"/>
      <c r="N792" s="10"/>
    </row>
    <row r="793">
      <c r="K793" s="3"/>
      <c r="M793" s="4"/>
      <c r="N793" s="10"/>
    </row>
    <row r="794">
      <c r="K794" s="3"/>
      <c r="M794" s="4"/>
      <c r="N794" s="10"/>
    </row>
    <row r="795">
      <c r="K795" s="3"/>
      <c r="M795" s="4"/>
      <c r="N795" s="10"/>
    </row>
    <row r="796">
      <c r="K796" s="3"/>
      <c r="M796" s="4"/>
      <c r="N796" s="10"/>
    </row>
    <row r="797">
      <c r="K797" s="3"/>
      <c r="M797" s="4"/>
      <c r="N797" s="10"/>
    </row>
    <row r="798">
      <c r="K798" s="3"/>
      <c r="M798" s="4"/>
      <c r="N798" s="10"/>
    </row>
    <row r="799">
      <c r="K799" s="3"/>
      <c r="M799" s="4"/>
      <c r="N799" s="10"/>
    </row>
    <row r="800">
      <c r="K800" s="3"/>
      <c r="M800" s="4"/>
      <c r="N800" s="10"/>
    </row>
    <row r="801">
      <c r="K801" s="3"/>
      <c r="M801" s="4"/>
      <c r="N801" s="10"/>
    </row>
    <row r="802">
      <c r="K802" s="3"/>
      <c r="M802" s="4"/>
      <c r="N802" s="10"/>
    </row>
    <row r="803">
      <c r="K803" s="3"/>
      <c r="M803" s="4"/>
      <c r="N803" s="10"/>
    </row>
    <row r="804">
      <c r="K804" s="3"/>
      <c r="M804" s="4"/>
      <c r="N804" s="10"/>
    </row>
    <row r="805">
      <c r="K805" s="3"/>
      <c r="M805" s="4"/>
      <c r="N805" s="10"/>
    </row>
    <row r="806">
      <c r="K806" s="3"/>
      <c r="M806" s="4"/>
      <c r="N806" s="10"/>
    </row>
    <row r="807">
      <c r="K807" s="3"/>
      <c r="M807" s="4"/>
      <c r="N807" s="10"/>
    </row>
    <row r="808">
      <c r="K808" s="3"/>
      <c r="M808" s="4"/>
      <c r="N808" s="10"/>
    </row>
    <row r="809">
      <c r="K809" s="3"/>
      <c r="M809" s="4"/>
      <c r="N809" s="10"/>
    </row>
    <row r="810">
      <c r="K810" s="3"/>
      <c r="M810" s="4"/>
      <c r="N810" s="10"/>
    </row>
    <row r="811">
      <c r="K811" s="3"/>
      <c r="M811" s="4"/>
      <c r="N811" s="10"/>
    </row>
    <row r="812">
      <c r="K812" s="3"/>
      <c r="M812" s="4"/>
      <c r="N812" s="10"/>
    </row>
    <row r="813">
      <c r="K813" s="3"/>
      <c r="M813" s="4"/>
      <c r="N813" s="10"/>
    </row>
    <row r="814">
      <c r="K814" s="3"/>
      <c r="M814" s="4"/>
      <c r="N814" s="10"/>
    </row>
    <row r="815">
      <c r="K815" s="3"/>
      <c r="M815" s="4"/>
      <c r="N815" s="10"/>
    </row>
    <row r="816">
      <c r="K816" s="3"/>
      <c r="M816" s="4"/>
      <c r="N816" s="10"/>
    </row>
    <row r="817">
      <c r="K817" s="3"/>
      <c r="M817" s="4"/>
      <c r="N817" s="10"/>
    </row>
    <row r="818">
      <c r="K818" s="3"/>
      <c r="M818" s="4"/>
      <c r="N818" s="10"/>
    </row>
    <row r="819">
      <c r="K819" s="3"/>
      <c r="M819" s="4"/>
      <c r="N819" s="10"/>
    </row>
    <row r="820">
      <c r="K820" s="3"/>
      <c r="M820" s="4"/>
      <c r="N820" s="10"/>
    </row>
    <row r="821">
      <c r="K821" s="3"/>
      <c r="M821" s="4"/>
      <c r="N821" s="10"/>
    </row>
    <row r="822">
      <c r="K822" s="3"/>
      <c r="M822" s="4"/>
      <c r="N822" s="10"/>
    </row>
    <row r="823">
      <c r="K823" s="3"/>
      <c r="M823" s="4"/>
      <c r="N823" s="10"/>
    </row>
    <row r="824">
      <c r="K824" s="3"/>
      <c r="M824" s="4"/>
      <c r="N824" s="10"/>
    </row>
    <row r="825">
      <c r="K825" s="3"/>
      <c r="M825" s="4"/>
      <c r="N825" s="10"/>
    </row>
    <row r="826">
      <c r="K826" s="3"/>
      <c r="M826" s="4"/>
      <c r="N826" s="10"/>
    </row>
    <row r="827">
      <c r="K827" s="3"/>
      <c r="M827" s="4"/>
      <c r="N827" s="10"/>
    </row>
    <row r="828">
      <c r="K828" s="3"/>
      <c r="M828" s="4"/>
      <c r="N828" s="10"/>
    </row>
    <row r="829">
      <c r="K829" s="3"/>
      <c r="M829" s="4"/>
      <c r="N829" s="10"/>
    </row>
    <row r="830">
      <c r="K830" s="3"/>
      <c r="M830" s="4"/>
      <c r="N830" s="10"/>
    </row>
    <row r="831">
      <c r="K831" s="3"/>
      <c r="M831" s="4"/>
      <c r="N831" s="10"/>
    </row>
    <row r="832">
      <c r="K832" s="3"/>
      <c r="M832" s="4"/>
      <c r="N832" s="10"/>
    </row>
    <row r="833">
      <c r="K833" s="3"/>
      <c r="M833" s="4"/>
      <c r="N833" s="10"/>
    </row>
    <row r="834">
      <c r="K834" s="3"/>
      <c r="M834" s="4"/>
      <c r="N834" s="10"/>
    </row>
    <row r="835">
      <c r="K835" s="3"/>
      <c r="M835" s="4"/>
      <c r="N835" s="10"/>
    </row>
    <row r="836">
      <c r="K836" s="3"/>
      <c r="M836" s="4"/>
      <c r="N836" s="10"/>
    </row>
    <row r="837">
      <c r="K837" s="3"/>
      <c r="M837" s="4"/>
      <c r="N837" s="10"/>
    </row>
    <row r="838">
      <c r="K838" s="3"/>
      <c r="M838" s="4"/>
      <c r="N838" s="10"/>
    </row>
    <row r="839">
      <c r="K839" s="3"/>
      <c r="M839" s="4"/>
      <c r="N839" s="10"/>
    </row>
    <row r="840">
      <c r="K840" s="3"/>
      <c r="M840" s="4"/>
      <c r="N840" s="10"/>
    </row>
    <row r="841">
      <c r="K841" s="3"/>
      <c r="M841" s="4"/>
      <c r="N841" s="10"/>
    </row>
    <row r="842">
      <c r="K842" s="3"/>
      <c r="M842" s="4"/>
      <c r="N842" s="10"/>
    </row>
    <row r="843">
      <c r="K843" s="3"/>
      <c r="M843" s="4"/>
      <c r="N843" s="10"/>
    </row>
    <row r="844">
      <c r="K844" s="3"/>
      <c r="M844" s="4"/>
      <c r="N844" s="10"/>
    </row>
    <row r="845">
      <c r="K845" s="3"/>
      <c r="M845" s="4"/>
      <c r="N845" s="10"/>
    </row>
    <row r="846">
      <c r="K846" s="3"/>
      <c r="M846" s="4"/>
      <c r="N846" s="10"/>
    </row>
    <row r="847">
      <c r="K847" s="3"/>
      <c r="M847" s="4"/>
      <c r="N847" s="10"/>
    </row>
    <row r="848">
      <c r="K848" s="3"/>
      <c r="M848" s="4"/>
      <c r="N848" s="10"/>
    </row>
    <row r="849">
      <c r="K849" s="3"/>
      <c r="M849" s="4"/>
      <c r="N849" s="10"/>
    </row>
    <row r="850">
      <c r="K850" s="3"/>
      <c r="M850" s="4"/>
      <c r="N850" s="10"/>
    </row>
    <row r="851">
      <c r="K851" s="3"/>
      <c r="M851" s="4"/>
      <c r="N851" s="10"/>
    </row>
    <row r="852">
      <c r="K852" s="3"/>
      <c r="M852" s="4"/>
      <c r="N852" s="10"/>
    </row>
    <row r="853">
      <c r="K853" s="3"/>
      <c r="M853" s="4"/>
      <c r="N853" s="10"/>
    </row>
    <row r="854">
      <c r="K854" s="3"/>
      <c r="M854" s="4"/>
      <c r="N854" s="10"/>
    </row>
    <row r="855">
      <c r="K855" s="3"/>
      <c r="M855" s="4"/>
      <c r="N855" s="10"/>
    </row>
    <row r="856">
      <c r="K856" s="3"/>
      <c r="M856" s="4"/>
      <c r="N856" s="10"/>
    </row>
    <row r="857">
      <c r="K857" s="3"/>
      <c r="M857" s="4"/>
      <c r="N857" s="10"/>
    </row>
    <row r="858">
      <c r="K858" s="3"/>
      <c r="M858" s="4"/>
      <c r="N858" s="10"/>
    </row>
    <row r="859">
      <c r="K859" s="3"/>
      <c r="M859" s="4"/>
      <c r="N859" s="10"/>
    </row>
    <row r="860">
      <c r="K860" s="3"/>
      <c r="M860" s="4"/>
      <c r="N860" s="10"/>
    </row>
    <row r="861">
      <c r="K861" s="3"/>
      <c r="M861" s="4"/>
      <c r="N861" s="10"/>
    </row>
    <row r="862">
      <c r="K862" s="3"/>
      <c r="M862" s="4"/>
      <c r="N862" s="10"/>
    </row>
    <row r="863">
      <c r="K863" s="3"/>
      <c r="M863" s="4"/>
      <c r="N863" s="10"/>
    </row>
    <row r="864">
      <c r="K864" s="3"/>
      <c r="M864" s="4"/>
      <c r="N864" s="10"/>
    </row>
    <row r="865">
      <c r="K865" s="3"/>
      <c r="M865" s="4"/>
      <c r="N865" s="10"/>
    </row>
    <row r="866">
      <c r="K866" s="3"/>
      <c r="M866" s="4"/>
      <c r="N866" s="10"/>
    </row>
    <row r="867">
      <c r="K867" s="3"/>
      <c r="M867" s="4"/>
      <c r="N867" s="10"/>
    </row>
    <row r="868">
      <c r="K868" s="3"/>
      <c r="M868" s="4"/>
      <c r="N868" s="10"/>
    </row>
    <row r="869">
      <c r="K869" s="3"/>
      <c r="M869" s="4"/>
      <c r="N869" s="10"/>
    </row>
    <row r="870">
      <c r="K870" s="3"/>
      <c r="M870" s="4"/>
      <c r="N870" s="10"/>
    </row>
    <row r="871">
      <c r="K871" s="3"/>
      <c r="M871" s="4"/>
      <c r="N871" s="10"/>
    </row>
    <row r="872">
      <c r="K872" s="3"/>
      <c r="M872" s="4"/>
      <c r="N872" s="10"/>
    </row>
    <row r="873">
      <c r="K873" s="3"/>
      <c r="M873" s="4"/>
      <c r="N873" s="10"/>
    </row>
    <row r="874">
      <c r="K874" s="3"/>
      <c r="M874" s="4"/>
      <c r="N874" s="10"/>
    </row>
    <row r="875">
      <c r="K875" s="3"/>
      <c r="M875" s="4"/>
      <c r="N875" s="10"/>
    </row>
    <row r="876">
      <c r="K876" s="3"/>
      <c r="M876" s="4"/>
      <c r="N876" s="10"/>
    </row>
    <row r="877">
      <c r="K877" s="3"/>
      <c r="M877" s="4"/>
      <c r="N877" s="10"/>
    </row>
    <row r="878">
      <c r="K878" s="3"/>
      <c r="M878" s="4"/>
      <c r="N878" s="10"/>
    </row>
    <row r="879">
      <c r="K879" s="3"/>
      <c r="M879" s="4"/>
      <c r="N879" s="10"/>
    </row>
    <row r="880">
      <c r="K880" s="3"/>
      <c r="M880" s="4"/>
      <c r="N880" s="10"/>
    </row>
    <row r="881">
      <c r="K881" s="3"/>
      <c r="M881" s="4"/>
      <c r="N881" s="10"/>
    </row>
    <row r="882">
      <c r="K882" s="3"/>
      <c r="M882" s="4"/>
      <c r="N882" s="10"/>
    </row>
    <row r="883">
      <c r="K883" s="3"/>
      <c r="M883" s="4"/>
      <c r="N883" s="10"/>
    </row>
    <row r="884">
      <c r="K884" s="3"/>
      <c r="M884" s="4"/>
      <c r="N884" s="10"/>
    </row>
    <row r="885">
      <c r="K885" s="3"/>
      <c r="M885" s="4"/>
      <c r="N885" s="10"/>
    </row>
    <row r="886">
      <c r="K886" s="3"/>
      <c r="M886" s="4"/>
      <c r="N886" s="10"/>
    </row>
    <row r="887">
      <c r="K887" s="3"/>
      <c r="M887" s="4"/>
      <c r="N887" s="10"/>
    </row>
    <row r="888">
      <c r="K888" s="3"/>
      <c r="M888" s="4"/>
      <c r="N888" s="10"/>
    </row>
    <row r="889">
      <c r="K889" s="3"/>
      <c r="M889" s="4"/>
      <c r="N889" s="10"/>
    </row>
    <row r="890">
      <c r="K890" s="3"/>
      <c r="M890" s="4"/>
      <c r="N890" s="10"/>
    </row>
    <row r="891">
      <c r="K891" s="3"/>
      <c r="M891" s="4"/>
      <c r="N891" s="10"/>
    </row>
    <row r="892">
      <c r="K892" s="3"/>
      <c r="M892" s="4"/>
      <c r="N892" s="10"/>
    </row>
    <row r="893">
      <c r="K893" s="3"/>
      <c r="M893" s="4"/>
      <c r="N893" s="10"/>
    </row>
    <row r="894">
      <c r="K894" s="3"/>
      <c r="M894" s="4"/>
      <c r="N894" s="10"/>
    </row>
    <row r="895">
      <c r="K895" s="3"/>
      <c r="M895" s="4"/>
      <c r="N895" s="10"/>
    </row>
    <row r="896">
      <c r="K896" s="3"/>
      <c r="M896" s="4"/>
      <c r="N896" s="10"/>
    </row>
    <row r="897">
      <c r="K897" s="3"/>
      <c r="M897" s="4"/>
      <c r="N897" s="10"/>
    </row>
    <row r="898">
      <c r="K898" s="3"/>
      <c r="M898" s="4"/>
      <c r="N898" s="10"/>
    </row>
    <row r="899">
      <c r="K899" s="3"/>
      <c r="M899" s="4"/>
      <c r="N899" s="10"/>
    </row>
    <row r="900">
      <c r="K900" s="3"/>
      <c r="M900" s="4"/>
      <c r="N900" s="10"/>
    </row>
    <row r="901">
      <c r="K901" s="3"/>
      <c r="M901" s="4"/>
      <c r="N901" s="10"/>
    </row>
    <row r="902">
      <c r="K902" s="3"/>
      <c r="M902" s="4"/>
      <c r="N902" s="10"/>
    </row>
    <row r="903">
      <c r="K903" s="3"/>
      <c r="M903" s="4"/>
      <c r="N903" s="10"/>
    </row>
    <row r="904">
      <c r="K904" s="3"/>
      <c r="M904" s="4"/>
      <c r="N904" s="10"/>
    </row>
    <row r="905">
      <c r="K905" s="3"/>
      <c r="M905" s="4"/>
      <c r="N905" s="10"/>
    </row>
    <row r="906">
      <c r="K906" s="3"/>
      <c r="M906" s="4"/>
      <c r="N906" s="10"/>
    </row>
    <row r="907">
      <c r="K907" s="3"/>
      <c r="M907" s="4"/>
      <c r="N907" s="10"/>
    </row>
    <row r="908">
      <c r="K908" s="3"/>
      <c r="M908" s="4"/>
      <c r="N908" s="10"/>
    </row>
    <row r="909">
      <c r="K909" s="3"/>
      <c r="M909" s="4"/>
      <c r="N909" s="10"/>
    </row>
    <row r="910">
      <c r="K910" s="3"/>
      <c r="M910" s="4"/>
      <c r="N910" s="10"/>
    </row>
    <row r="911">
      <c r="K911" s="3"/>
      <c r="M911" s="4"/>
      <c r="N911" s="10"/>
    </row>
    <row r="912">
      <c r="K912" s="3"/>
      <c r="M912" s="4"/>
      <c r="N912" s="10"/>
    </row>
    <row r="913">
      <c r="K913" s="3"/>
      <c r="M913" s="4"/>
      <c r="N913" s="10"/>
    </row>
    <row r="914">
      <c r="K914" s="3"/>
      <c r="M914" s="4"/>
      <c r="N914" s="10"/>
    </row>
    <row r="915">
      <c r="K915" s="3"/>
      <c r="M915" s="4"/>
      <c r="N915" s="10"/>
    </row>
    <row r="916">
      <c r="K916" s="3"/>
      <c r="M916" s="4"/>
      <c r="N916" s="10"/>
    </row>
    <row r="917">
      <c r="K917" s="3"/>
      <c r="M917" s="4"/>
      <c r="N917" s="10"/>
    </row>
    <row r="918">
      <c r="K918" s="3"/>
      <c r="M918" s="4"/>
      <c r="N918" s="10"/>
    </row>
    <row r="919">
      <c r="K919" s="3"/>
      <c r="M919" s="4"/>
      <c r="N919" s="10"/>
    </row>
    <row r="920">
      <c r="K920" s="3"/>
      <c r="M920" s="4"/>
      <c r="N920" s="10"/>
    </row>
    <row r="921">
      <c r="K921" s="3"/>
      <c r="M921" s="4"/>
      <c r="N921" s="10"/>
    </row>
    <row r="922">
      <c r="K922" s="3"/>
      <c r="M922" s="4"/>
      <c r="N922" s="10"/>
    </row>
    <row r="923">
      <c r="K923" s="3"/>
      <c r="M923" s="4"/>
      <c r="N923" s="10"/>
    </row>
    <row r="924">
      <c r="K924" s="3"/>
      <c r="M924" s="4"/>
      <c r="N924" s="10"/>
    </row>
    <row r="925">
      <c r="K925" s="3"/>
      <c r="M925" s="4"/>
      <c r="N925" s="10"/>
    </row>
    <row r="926">
      <c r="K926" s="3"/>
      <c r="M926" s="4"/>
      <c r="N926" s="10"/>
    </row>
    <row r="927">
      <c r="K927" s="3"/>
      <c r="M927" s="4"/>
      <c r="N927" s="10"/>
    </row>
    <row r="928">
      <c r="K928" s="3"/>
      <c r="M928" s="4"/>
      <c r="N928" s="10"/>
    </row>
    <row r="929">
      <c r="K929" s="3"/>
      <c r="M929" s="4"/>
      <c r="N929" s="10"/>
    </row>
    <row r="930">
      <c r="K930" s="3"/>
      <c r="M930" s="4"/>
      <c r="N930" s="10"/>
    </row>
    <row r="931">
      <c r="K931" s="3"/>
      <c r="M931" s="4"/>
      <c r="N931" s="10"/>
    </row>
    <row r="932">
      <c r="K932" s="3"/>
      <c r="M932" s="4"/>
      <c r="N932" s="10"/>
    </row>
    <row r="933">
      <c r="K933" s="3"/>
      <c r="M933" s="4"/>
      <c r="N933" s="10"/>
    </row>
    <row r="934">
      <c r="K934" s="3"/>
      <c r="M934" s="4"/>
      <c r="N934" s="10"/>
    </row>
    <row r="935">
      <c r="K935" s="3"/>
      <c r="M935" s="4"/>
      <c r="N935" s="10"/>
    </row>
    <row r="936">
      <c r="K936" s="3"/>
      <c r="M936" s="4"/>
      <c r="N936" s="10"/>
    </row>
    <row r="937">
      <c r="K937" s="3"/>
      <c r="M937" s="4"/>
      <c r="N937" s="10"/>
    </row>
    <row r="938">
      <c r="K938" s="3"/>
      <c r="M938" s="4"/>
      <c r="N938" s="10"/>
    </row>
    <row r="939">
      <c r="K939" s="3"/>
      <c r="M939" s="4"/>
      <c r="N939" s="10"/>
    </row>
    <row r="940">
      <c r="K940" s="3"/>
      <c r="M940" s="4"/>
      <c r="N940" s="10"/>
    </row>
    <row r="941">
      <c r="K941" s="3"/>
      <c r="M941" s="4"/>
      <c r="N941" s="10"/>
    </row>
    <row r="942">
      <c r="K942" s="3"/>
      <c r="M942" s="4"/>
      <c r="N942" s="10"/>
    </row>
    <row r="943">
      <c r="K943" s="3"/>
      <c r="M943" s="4"/>
      <c r="N943" s="10"/>
    </row>
    <row r="944">
      <c r="K944" s="3"/>
      <c r="M944" s="4"/>
      <c r="N944" s="10"/>
    </row>
    <row r="945">
      <c r="K945" s="3"/>
      <c r="M945" s="4"/>
      <c r="N945" s="10"/>
    </row>
    <row r="946">
      <c r="K946" s="3"/>
      <c r="M946" s="4"/>
      <c r="N946" s="10"/>
    </row>
    <row r="947">
      <c r="K947" s="3"/>
      <c r="M947" s="4"/>
      <c r="N947" s="10"/>
    </row>
    <row r="948">
      <c r="K948" s="3"/>
      <c r="M948" s="4"/>
      <c r="N948" s="10"/>
    </row>
    <row r="949">
      <c r="K949" s="3"/>
      <c r="M949" s="4"/>
      <c r="N949" s="10"/>
    </row>
    <row r="950">
      <c r="K950" s="3"/>
      <c r="M950" s="4"/>
      <c r="N950" s="10"/>
    </row>
    <row r="951">
      <c r="K951" s="3"/>
      <c r="M951" s="4"/>
      <c r="N951" s="10"/>
    </row>
    <row r="952">
      <c r="K952" s="3"/>
      <c r="M952" s="4"/>
      <c r="N952" s="10"/>
    </row>
    <row r="953">
      <c r="K953" s="3"/>
      <c r="M953" s="4"/>
      <c r="N953" s="10"/>
    </row>
    <row r="954">
      <c r="K954" s="3"/>
      <c r="M954" s="4"/>
      <c r="N954" s="10"/>
    </row>
    <row r="955">
      <c r="K955" s="3"/>
      <c r="M955" s="4"/>
      <c r="N955" s="10"/>
    </row>
    <row r="956">
      <c r="K956" s="3"/>
      <c r="M956" s="4"/>
      <c r="N956" s="10"/>
    </row>
    <row r="957">
      <c r="K957" s="3"/>
      <c r="M957" s="4"/>
      <c r="N957" s="10"/>
    </row>
    <row r="958">
      <c r="K958" s="3"/>
      <c r="M958" s="4"/>
      <c r="N958" s="10"/>
    </row>
    <row r="959">
      <c r="K959" s="3"/>
      <c r="M959" s="4"/>
      <c r="N959" s="10"/>
    </row>
    <row r="960">
      <c r="K960" s="3"/>
      <c r="M960" s="4"/>
      <c r="N960" s="10"/>
    </row>
    <row r="961">
      <c r="K961" s="3"/>
      <c r="M961" s="4"/>
      <c r="N961" s="10"/>
    </row>
    <row r="962">
      <c r="K962" s="3"/>
      <c r="M962" s="4"/>
      <c r="N962" s="10"/>
    </row>
    <row r="963">
      <c r="K963" s="3"/>
      <c r="M963" s="4"/>
      <c r="N963" s="10"/>
    </row>
    <row r="964">
      <c r="K964" s="3"/>
      <c r="M964" s="4"/>
      <c r="N964" s="10"/>
    </row>
    <row r="965">
      <c r="K965" s="3"/>
      <c r="M965" s="4"/>
      <c r="N965" s="10"/>
    </row>
    <row r="966">
      <c r="K966" s="3"/>
      <c r="M966" s="4"/>
      <c r="N966" s="10"/>
    </row>
    <row r="967">
      <c r="K967" s="3"/>
      <c r="M967" s="4"/>
      <c r="N967" s="10"/>
    </row>
    <row r="968">
      <c r="K968" s="3"/>
      <c r="M968" s="4"/>
      <c r="N968" s="10"/>
    </row>
    <row r="969">
      <c r="K969" s="3"/>
      <c r="M969" s="4"/>
      <c r="N969" s="10"/>
    </row>
    <row r="970">
      <c r="K970" s="3"/>
      <c r="M970" s="4"/>
      <c r="N970" s="10"/>
    </row>
    <row r="971">
      <c r="K971" s="3"/>
      <c r="M971" s="4"/>
      <c r="N971" s="10"/>
    </row>
    <row r="972">
      <c r="K972" s="3"/>
      <c r="M972" s="4"/>
      <c r="N972" s="10"/>
    </row>
    <row r="973">
      <c r="K973" s="3"/>
      <c r="M973" s="4"/>
      <c r="N973" s="10"/>
    </row>
    <row r="974">
      <c r="K974" s="3"/>
      <c r="M974" s="4"/>
      <c r="N974" s="10"/>
    </row>
    <row r="975">
      <c r="K975" s="3"/>
      <c r="M975" s="4"/>
      <c r="N975" s="10"/>
    </row>
    <row r="976">
      <c r="K976" s="3"/>
      <c r="M976" s="4"/>
      <c r="N976" s="10"/>
    </row>
    <row r="977">
      <c r="K977" s="3"/>
      <c r="M977" s="4"/>
      <c r="N977" s="10"/>
    </row>
    <row r="978">
      <c r="K978" s="3"/>
      <c r="M978" s="4"/>
      <c r="N978" s="10"/>
    </row>
    <row r="979">
      <c r="K979" s="3"/>
      <c r="M979" s="4"/>
      <c r="N979" s="10"/>
    </row>
    <row r="980">
      <c r="K980" s="3"/>
      <c r="M980" s="4"/>
      <c r="N980" s="10"/>
    </row>
    <row r="981">
      <c r="K981" s="3"/>
      <c r="M981" s="4"/>
      <c r="N981" s="10"/>
    </row>
    <row r="982">
      <c r="K982" s="3"/>
      <c r="M982" s="4"/>
      <c r="N982" s="10"/>
    </row>
    <row r="983">
      <c r="K983" s="3"/>
      <c r="M983" s="4"/>
      <c r="N983" s="10"/>
    </row>
    <row r="984">
      <c r="K984" s="3"/>
      <c r="M984" s="4"/>
      <c r="N984" s="10"/>
    </row>
    <row r="985">
      <c r="K985" s="3"/>
      <c r="M985" s="4"/>
      <c r="N985" s="10"/>
    </row>
    <row r="986">
      <c r="K986" s="3"/>
      <c r="M986" s="4"/>
      <c r="N986" s="10"/>
    </row>
    <row r="987">
      <c r="K987" s="3"/>
      <c r="M987" s="4"/>
      <c r="N987" s="10"/>
    </row>
    <row r="988">
      <c r="K988" s="3"/>
      <c r="M988" s="4"/>
      <c r="N988" s="10"/>
    </row>
    <row r="989">
      <c r="K989" s="3"/>
      <c r="M989" s="4"/>
      <c r="N989" s="10"/>
    </row>
    <row r="990">
      <c r="K990" s="3"/>
      <c r="M990" s="4"/>
      <c r="N990" s="10"/>
    </row>
    <row r="991">
      <c r="K991" s="3"/>
      <c r="M991" s="4"/>
      <c r="N991" s="10"/>
    </row>
    <row r="992">
      <c r="K992" s="3"/>
      <c r="M992" s="4"/>
      <c r="N992" s="10"/>
    </row>
    <row r="993">
      <c r="K993" s="3"/>
      <c r="M993" s="4"/>
      <c r="N993" s="10"/>
    </row>
    <row r="994">
      <c r="K994" s="3"/>
      <c r="M994" s="4"/>
      <c r="N994" s="10"/>
    </row>
    <row r="995">
      <c r="K995" s="3"/>
      <c r="M995" s="4"/>
      <c r="N995" s="10"/>
    </row>
    <row r="996">
      <c r="K996" s="3"/>
      <c r="M996" s="4"/>
      <c r="N996" s="10"/>
    </row>
    <row r="997">
      <c r="K997" s="3"/>
      <c r="M997" s="4"/>
      <c r="N997" s="10"/>
    </row>
    <row r="998">
      <c r="K998" s="3"/>
      <c r="M998" s="4"/>
      <c r="N998" s="10"/>
    </row>
    <row r="999">
      <c r="K999" s="3"/>
      <c r="M999" s="4"/>
      <c r="N999" s="10"/>
    </row>
    <row r="1000">
      <c r="K1000" s="3"/>
      <c r="M1000" s="4"/>
      <c r="N1000" s="10"/>
    </row>
    <row r="1001">
      <c r="K1001" s="3"/>
      <c r="M1001" s="4"/>
      <c r="N1001" s="10"/>
    </row>
    <row r="1002">
      <c r="K1002" s="3"/>
      <c r="M1002" s="4"/>
      <c r="N1002" s="10"/>
    </row>
    <row r="1003">
      <c r="K1003" s="3"/>
      <c r="M1003" s="4"/>
      <c r="N1003" s="10"/>
    </row>
    <row r="1004">
      <c r="K1004" s="3"/>
      <c r="M1004" s="4"/>
      <c r="N1004" s="10"/>
    </row>
    <row r="1005">
      <c r="K1005" s="3"/>
      <c r="M1005" s="4"/>
      <c r="N1005" s="10"/>
    </row>
    <row r="1006">
      <c r="K1006" s="3"/>
      <c r="M1006" s="4"/>
      <c r="N1006" s="10"/>
    </row>
  </sheetData>
  <autoFilter ref="$A$1:$K$19">
    <sortState ref="A1:K19">
      <sortCondition ref="B1:B19"/>
      <sortCondition ref="C1:C19"/>
      <sortCondition descending="1" ref="J1:J19"/>
    </sortState>
  </autoFilter>
  <mergeCells count="2">
    <mergeCell ref="D21:K21"/>
    <mergeCell ref="D41:I41"/>
  </mergeCells>
  <conditionalFormatting sqref="D2:D20 D22:D39">
    <cfRule type="colorScale" priority="1">
      <colorScale>
        <cfvo type="formula" val="0"/>
        <cfvo type="formula" val="0.5"/>
        <cfvo type="formula" val="1"/>
        <color rgb="FFFFFFFF"/>
        <color rgb="FFF3BEB9"/>
        <color rgb="FFE67C73"/>
      </colorScale>
    </cfRule>
  </conditionalFormatting>
  <conditionalFormatting sqref="E2:J19 E22:J39">
    <cfRule type="colorScale" priority="2">
      <colorScale>
        <cfvo type="formula" val="1"/>
        <cfvo type="formula" val="3"/>
        <cfvo type="formula" val="5"/>
        <color rgb="FFEA9999"/>
        <color rgb="FFFFE599"/>
        <color rgb="FF9FC5E8"/>
      </colorScale>
    </cfRule>
  </conditionalFormatting>
  <conditionalFormatting sqref="E2:J19">
    <cfRule type="expression" dxfId="0" priority="3">
      <formula>E2=MAX(E$4:E$19)</formula>
    </cfRule>
  </conditionalFormatting>
  <conditionalFormatting sqref="E32:J35">
    <cfRule type="expression" dxfId="0" priority="4">
      <formula>E32=MAX(E$32:E$35)</formula>
    </cfRule>
  </conditionalFormatting>
  <conditionalFormatting sqref="E36:J39">
    <cfRule type="expression" dxfId="0" priority="5">
      <formula>E36=MAX(E$36:E$39)</formula>
    </cfRule>
  </conditionalFormatting>
  <conditionalFormatting sqref="N2:R11">
    <cfRule type="colorScale" priority="6">
      <colorScale>
        <cfvo type="formula" val="-1"/>
        <cfvo type="formula" val="0"/>
        <cfvo type="formula" val="1"/>
        <color rgb="FFE67C73"/>
        <color rgb="FFFFFFFF"/>
        <color rgb="FF57BB8A"/>
      </colorScale>
    </cfRule>
  </conditionalFormatting>
  <conditionalFormatting sqref="D42:D59">
    <cfRule type="colorScale" priority="7">
      <colorScale>
        <cfvo type="min"/>
        <cfvo type="max"/>
        <color rgb="FFFFFFFF"/>
        <color rgb="FFE67C73"/>
      </colorScale>
    </cfRule>
  </conditionalFormatting>
  <conditionalFormatting sqref="E42:I59">
    <cfRule type="colorScale" priority="8">
      <colorScale>
        <cfvo type="min"/>
        <cfvo type="percent" val="50"/>
        <cfvo type="max"/>
        <color rgb="FFFFFFFF"/>
        <color rgb="FFF3BEB9"/>
        <color rgb="FFE67C73"/>
      </colorScale>
    </cfRule>
  </conditionalFormatting>
  <conditionalFormatting sqref="E22:J31">
    <cfRule type="expression" dxfId="0" priority="9">
      <formula>E22=MAX(E$22:E$26)</formula>
    </cfRule>
  </conditionalFormatting>
  <dataValidations>
    <dataValidation type="list" allowBlank="1" showErrorMessage="1" sqref="C2:C19 C36:C39 C56:C59">
      <formula1>"5W1H,Base,CoT,tldr,Heading,Jeremy,Begoña,Alba,Naiara"</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152.13"/>
  </cols>
  <sheetData>
    <row r="1">
      <c r="A1" s="114" t="s">
        <v>177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4" t="s">
        <v>18</v>
      </c>
      <c r="B1" s="114">
        <v>1.0</v>
      </c>
    </row>
    <row r="2">
      <c r="A2" s="114" t="s">
        <v>22</v>
      </c>
      <c r="B2" s="114">
        <v>2.0</v>
      </c>
    </row>
    <row r="3">
      <c r="A3" s="114" t="s">
        <v>23</v>
      </c>
      <c r="B3" s="114">
        <v>3.0</v>
      </c>
    </row>
    <row r="4">
      <c r="A4" s="114" t="s">
        <v>24</v>
      </c>
      <c r="B4" s="114">
        <v>4.0</v>
      </c>
    </row>
    <row r="5">
      <c r="A5" s="114" t="s">
        <v>19</v>
      </c>
      <c r="B5" s="114">
        <v>10.0</v>
      </c>
    </row>
    <row r="6">
      <c r="A6" s="114" t="s">
        <v>20</v>
      </c>
      <c r="B6" s="114">
        <v>11.0</v>
      </c>
    </row>
    <row r="7">
      <c r="A7" s="114" t="s">
        <v>8</v>
      </c>
      <c r="B7" s="114">
        <v>12.0</v>
      </c>
    </row>
    <row r="8">
      <c r="A8" s="114" t="s">
        <v>21</v>
      </c>
      <c r="B8" s="114">
        <v>13.0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28</v>
      </c>
      <c r="D1" s="50"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30</v>
      </c>
      <c r="B2" s="54" t="s">
        <v>31</v>
      </c>
      <c r="C2" s="7" t="s">
        <v>16</v>
      </c>
      <c r="D2" s="55" t="s">
        <v>32</v>
      </c>
      <c r="E2" s="56">
        <f>IFERROR(__xludf.DUMMYFUNCTION("COUNTA(SPLIT(D2,"" ""))/COUNTA(SPLIT($B$2,"" ""))"),0.20754716981132076)</f>
        <v>0.2075471698</v>
      </c>
      <c r="F2" s="7">
        <v>4.0</v>
      </c>
      <c r="G2" s="7">
        <v>4.0</v>
      </c>
      <c r="H2" s="7">
        <v>5.0</v>
      </c>
      <c r="I2" s="7">
        <v>5.0</v>
      </c>
      <c r="J2" s="7">
        <v>2.0</v>
      </c>
      <c r="K2" s="57"/>
      <c r="L2" s="57"/>
      <c r="M2" s="57"/>
      <c r="N2" s="57"/>
      <c r="O2" s="57"/>
      <c r="P2" s="57"/>
      <c r="Q2" s="57"/>
      <c r="R2" s="57"/>
      <c r="S2" s="57"/>
      <c r="T2" s="57"/>
      <c r="U2" s="57"/>
      <c r="V2" s="57"/>
      <c r="W2" s="57"/>
      <c r="X2" s="57"/>
      <c r="Y2" s="57"/>
      <c r="Z2" s="57"/>
      <c r="AA2" s="57"/>
      <c r="AB2" s="57"/>
    </row>
    <row r="3" ht="225.0" customHeight="1">
      <c r="C3" s="7" t="s">
        <v>17</v>
      </c>
      <c r="D3" s="55"/>
      <c r="E3" s="58">
        <f>IFERROR(__xludf.DUMMYFUNCTION("COUNTA(SPLIT(D3,"" ""))/COUNTA(SPLIT($B$2,"" ""))"),0.009433962264150943)</f>
        <v>0.009433962264</v>
      </c>
      <c r="F3" s="7"/>
      <c r="G3" s="7"/>
      <c r="H3" s="7"/>
      <c r="I3" s="7"/>
      <c r="J3" s="7"/>
      <c r="K3" s="57"/>
      <c r="L3" s="57"/>
      <c r="M3" s="57"/>
      <c r="N3" s="57"/>
      <c r="O3" s="57"/>
      <c r="P3" s="57"/>
      <c r="Q3" s="57"/>
      <c r="R3" s="57"/>
      <c r="S3" s="57"/>
      <c r="T3" s="57"/>
      <c r="U3" s="57"/>
      <c r="V3" s="57"/>
      <c r="W3" s="57"/>
      <c r="X3" s="57"/>
      <c r="Y3" s="57"/>
      <c r="Z3" s="57"/>
      <c r="AA3" s="57"/>
      <c r="AB3" s="57"/>
    </row>
    <row r="4">
      <c r="A4" s="57"/>
      <c r="B4" s="57"/>
      <c r="C4" s="59"/>
      <c r="D4" s="60"/>
      <c r="E4" s="61"/>
      <c r="F4" s="59"/>
      <c r="G4" s="59"/>
      <c r="H4" s="59"/>
      <c r="I4" s="59"/>
      <c r="J4" s="59"/>
      <c r="K4" s="57"/>
      <c r="L4" s="57"/>
      <c r="M4" s="57"/>
      <c r="N4" s="57"/>
      <c r="O4" s="57"/>
      <c r="P4" s="57"/>
      <c r="Q4" s="57"/>
      <c r="R4" s="57"/>
      <c r="S4" s="57"/>
      <c r="T4" s="57"/>
      <c r="U4" s="57"/>
      <c r="V4" s="57"/>
      <c r="W4" s="57"/>
      <c r="X4" s="57"/>
      <c r="Y4" s="57"/>
      <c r="Z4" s="57"/>
      <c r="AA4" s="57"/>
      <c r="AB4" s="57"/>
    </row>
    <row r="5" ht="225.0" customHeight="1">
      <c r="A5" s="62" t="s">
        <v>33</v>
      </c>
      <c r="B5" s="63" t="s">
        <v>34</v>
      </c>
      <c r="C5" s="64" t="s">
        <v>16</v>
      </c>
      <c r="D5" s="65" t="s">
        <v>35</v>
      </c>
      <c r="E5" s="66">
        <f>IFERROR(__xludf.DUMMYFUNCTION("COUNTA(SPLIT(D5,"" ""))/COUNTA(SPLIT($B$5,"" ""))"),0.04036697247706422)</f>
        <v>0.04036697248</v>
      </c>
      <c r="F5" s="7">
        <v>4.0</v>
      </c>
      <c r="G5" s="7">
        <v>5.0</v>
      </c>
      <c r="H5" s="7">
        <v>4.0</v>
      </c>
      <c r="I5" s="7">
        <v>5.0</v>
      </c>
      <c r="J5" s="7">
        <v>3.0</v>
      </c>
      <c r="K5" s="67"/>
      <c r="L5" s="67"/>
      <c r="M5" s="67"/>
      <c r="N5" s="67"/>
      <c r="O5" s="67"/>
      <c r="P5" s="67"/>
      <c r="Q5" s="67"/>
      <c r="R5" s="67"/>
      <c r="S5" s="67"/>
      <c r="T5" s="67"/>
      <c r="U5" s="67"/>
      <c r="V5" s="67"/>
      <c r="W5" s="67"/>
      <c r="X5" s="67"/>
      <c r="Y5" s="67"/>
      <c r="Z5" s="67"/>
      <c r="AA5" s="67"/>
      <c r="AB5" s="67"/>
    </row>
    <row r="6" ht="225.0" customHeight="1">
      <c r="C6" s="7" t="s">
        <v>17</v>
      </c>
      <c r="D6" s="55"/>
      <c r="E6" s="58">
        <f>IFERROR(__xludf.DUMMYFUNCTION("COUNTA(SPLIT(D6,"" ""))/COUNTA(SPLIT($B$5,"" ""))"),0.001834862385321101)</f>
        <v>0.001834862385</v>
      </c>
      <c r="F6" s="7"/>
      <c r="G6" s="7"/>
      <c r="H6" s="7"/>
      <c r="I6" s="7"/>
      <c r="J6" s="7"/>
      <c r="K6" s="57"/>
      <c r="L6" s="57"/>
      <c r="M6" s="57"/>
      <c r="N6" s="57"/>
      <c r="O6" s="57"/>
      <c r="P6" s="57"/>
      <c r="Q6" s="57"/>
      <c r="R6" s="57"/>
      <c r="S6" s="57"/>
      <c r="T6" s="57"/>
      <c r="U6" s="57"/>
      <c r="V6" s="57"/>
      <c r="W6" s="57"/>
      <c r="X6" s="57"/>
      <c r="Y6" s="57"/>
      <c r="Z6" s="57"/>
      <c r="AA6" s="57"/>
      <c r="AB6" s="57"/>
    </row>
    <row r="7">
      <c r="A7" s="57"/>
      <c r="B7" s="57"/>
      <c r="C7" s="59"/>
      <c r="D7" s="60"/>
      <c r="E7" s="61"/>
      <c r="F7" s="59"/>
      <c r="G7" s="59"/>
      <c r="H7" s="59"/>
      <c r="I7" s="59"/>
      <c r="J7" s="59"/>
      <c r="K7" s="57"/>
      <c r="L7" s="57"/>
      <c r="M7" s="57"/>
      <c r="N7" s="57"/>
      <c r="O7" s="57"/>
      <c r="P7" s="57"/>
      <c r="Q7" s="57"/>
      <c r="R7" s="57"/>
      <c r="S7" s="57"/>
      <c r="T7" s="57"/>
      <c r="U7" s="57"/>
      <c r="V7" s="57"/>
      <c r="W7" s="57"/>
      <c r="X7" s="57"/>
      <c r="Y7" s="57"/>
      <c r="Z7" s="57"/>
      <c r="AA7" s="57"/>
      <c r="AB7" s="57"/>
    </row>
    <row r="8" ht="225.0" customHeight="1">
      <c r="A8" s="62" t="s">
        <v>36</v>
      </c>
      <c r="B8" s="63" t="s">
        <v>37</v>
      </c>
      <c r="C8" s="64" t="s">
        <v>16</v>
      </c>
      <c r="D8" s="65" t="s">
        <v>38</v>
      </c>
      <c r="E8" s="68">
        <f>IFERROR(__xludf.DUMMYFUNCTION("COUNTA(SPLIT(D8,"" ""))/COUNTA(SPLIT($B$8,"" ""))"),0.06395348837209303)</f>
        <v>0.06395348837</v>
      </c>
      <c r="F8" s="7">
        <v>4.0</v>
      </c>
      <c r="G8" s="7">
        <v>5.0</v>
      </c>
      <c r="H8" s="7">
        <v>5.0</v>
      </c>
      <c r="I8" s="7">
        <v>5.0</v>
      </c>
      <c r="J8" s="7">
        <v>3.0</v>
      </c>
      <c r="K8" s="67"/>
      <c r="L8" s="67"/>
      <c r="M8" s="67"/>
      <c r="N8" s="67"/>
      <c r="O8" s="67"/>
      <c r="P8" s="67"/>
      <c r="Q8" s="67"/>
      <c r="R8" s="67"/>
      <c r="S8" s="67"/>
      <c r="T8" s="67"/>
      <c r="U8" s="67"/>
      <c r="V8" s="67"/>
      <c r="W8" s="67"/>
      <c r="X8" s="67"/>
      <c r="Y8" s="67"/>
      <c r="Z8" s="67"/>
      <c r="AA8" s="67"/>
      <c r="AB8" s="67"/>
    </row>
    <row r="9" ht="225.0" customHeight="1">
      <c r="C9" s="7" t="s">
        <v>17</v>
      </c>
      <c r="D9" s="55"/>
      <c r="E9" s="58">
        <f>IFERROR(__xludf.DUMMYFUNCTION("COUNTA(SPLIT(D9,"" ""))/COUNTA(SPLIT($B$8,"" ""))"),0.0029069767441860465)</f>
        <v>0.002906976744</v>
      </c>
      <c r="F9" s="7"/>
      <c r="G9" s="7"/>
      <c r="H9" s="7"/>
      <c r="I9" s="7"/>
      <c r="J9" s="7"/>
      <c r="K9" s="57"/>
      <c r="L9" s="57"/>
      <c r="M9" s="57"/>
      <c r="N9" s="57"/>
      <c r="O9" s="57"/>
      <c r="P9" s="57"/>
      <c r="Q9" s="57"/>
      <c r="R9" s="57"/>
      <c r="S9" s="57"/>
      <c r="T9" s="57"/>
      <c r="U9" s="57"/>
      <c r="V9" s="57"/>
      <c r="W9" s="57"/>
      <c r="X9" s="57"/>
      <c r="Y9" s="57"/>
      <c r="Z9" s="57"/>
      <c r="AA9" s="57"/>
      <c r="AB9" s="57"/>
    </row>
    <row r="10">
      <c r="A10" s="57"/>
      <c r="B10" s="57"/>
      <c r="C10" s="59"/>
      <c r="D10" s="60"/>
      <c r="E10" s="61"/>
      <c r="F10" s="59"/>
      <c r="G10" s="59"/>
      <c r="H10" s="59"/>
      <c r="I10" s="59"/>
      <c r="J10" s="59"/>
      <c r="K10" s="57"/>
      <c r="L10" s="57"/>
      <c r="M10" s="57"/>
      <c r="N10" s="57"/>
      <c r="O10" s="57"/>
      <c r="P10" s="57"/>
      <c r="Q10" s="57"/>
      <c r="R10" s="57"/>
      <c r="S10" s="57"/>
      <c r="T10" s="57"/>
      <c r="U10" s="57"/>
      <c r="V10" s="57"/>
      <c r="W10" s="57"/>
      <c r="X10" s="57"/>
      <c r="Y10" s="57"/>
      <c r="Z10" s="57"/>
      <c r="AA10" s="57"/>
      <c r="AB10" s="57"/>
    </row>
    <row r="11" ht="225.0" customHeight="1">
      <c r="A11" s="62" t="s">
        <v>39</v>
      </c>
      <c r="B11" s="63" t="s">
        <v>40</v>
      </c>
      <c r="C11" s="64" t="s">
        <v>16</v>
      </c>
      <c r="D11" s="65" t="s">
        <v>41</v>
      </c>
      <c r="E11" s="69">
        <f>IFERROR(__xludf.DUMMYFUNCTION("COUNTA(SPLIT(D11,"" ""))/COUNTA(SPLIT($B$11,"" ""))"),0.18134715025906736)</f>
        <v>0.1813471503</v>
      </c>
      <c r="F11" s="7">
        <v>4.0</v>
      </c>
      <c r="G11" s="7">
        <v>4.0</v>
      </c>
      <c r="H11" s="7">
        <v>5.0</v>
      </c>
      <c r="I11" s="7">
        <v>5.0</v>
      </c>
      <c r="J11" s="7">
        <v>3.0</v>
      </c>
      <c r="K11" s="67"/>
      <c r="L11" s="67"/>
      <c r="M11" s="67"/>
      <c r="N11" s="67"/>
      <c r="O11" s="67"/>
      <c r="P11" s="67"/>
      <c r="Q11" s="67"/>
      <c r="R11" s="67"/>
      <c r="S11" s="67"/>
      <c r="T11" s="67"/>
      <c r="U11" s="67"/>
      <c r="V11" s="67"/>
      <c r="W11" s="67"/>
      <c r="X11" s="67"/>
      <c r="Y11" s="67"/>
      <c r="Z11" s="67"/>
      <c r="AA11" s="67"/>
      <c r="AB11" s="67"/>
    </row>
    <row r="12" ht="225.0" customHeight="1">
      <c r="C12" s="7" t="s">
        <v>17</v>
      </c>
      <c r="D12" s="55"/>
      <c r="E12" s="58">
        <f>IFERROR(__xludf.DUMMYFUNCTION("COUNTA(SPLIT(D12,"" ""))/COUNTA(SPLIT($B$11,"" ""))"),0.0051813471502590676)</f>
        <v>0.00518134715</v>
      </c>
      <c r="F12" s="7"/>
      <c r="G12" s="7"/>
      <c r="H12" s="7"/>
      <c r="I12" s="7"/>
      <c r="J12" s="7"/>
      <c r="K12" s="57"/>
      <c r="L12" s="57"/>
      <c r="M12" s="57"/>
      <c r="N12" s="57"/>
      <c r="O12" s="57"/>
      <c r="P12" s="57"/>
      <c r="Q12" s="57"/>
      <c r="R12" s="57"/>
      <c r="S12" s="57"/>
      <c r="T12" s="57"/>
      <c r="U12" s="57"/>
      <c r="V12" s="57"/>
      <c r="W12" s="57"/>
      <c r="X12" s="57"/>
      <c r="Y12" s="57"/>
      <c r="Z12" s="57"/>
      <c r="AA12" s="57"/>
      <c r="AB12" s="57"/>
    </row>
    <row r="13">
      <c r="A13" s="57"/>
      <c r="B13" s="57"/>
      <c r="C13" s="59"/>
      <c r="D13" s="60"/>
      <c r="E13" s="61"/>
      <c r="F13" s="59"/>
      <c r="G13" s="59"/>
      <c r="H13" s="59"/>
      <c r="I13" s="59"/>
      <c r="J13" s="59"/>
      <c r="K13" s="57"/>
      <c r="L13" s="57"/>
      <c r="M13" s="57"/>
      <c r="N13" s="57"/>
      <c r="O13" s="57"/>
      <c r="P13" s="57"/>
      <c r="Q13" s="57"/>
      <c r="R13" s="57"/>
      <c r="S13" s="57"/>
      <c r="T13" s="57"/>
      <c r="U13" s="57"/>
      <c r="V13" s="57"/>
      <c r="W13" s="57"/>
      <c r="X13" s="57"/>
      <c r="Y13" s="57"/>
      <c r="Z13" s="57"/>
      <c r="AA13" s="57"/>
      <c r="AB13" s="57"/>
    </row>
    <row r="14" ht="225.0" customHeight="1">
      <c r="A14" s="62" t="s">
        <v>42</v>
      </c>
      <c r="B14" s="63" t="s">
        <v>43</v>
      </c>
      <c r="C14" s="64" t="s">
        <v>16</v>
      </c>
      <c r="D14" s="65" t="s">
        <v>44</v>
      </c>
      <c r="E14" s="70">
        <f>IFERROR(__xludf.DUMMYFUNCTION("COUNTA(SPLIT(D14,"" ""))/COUNTA(SPLIT($B$14,"" ""))"),0.03735144312393888)</f>
        <v>0.03735144312</v>
      </c>
      <c r="F14" s="7">
        <v>4.0</v>
      </c>
      <c r="G14" s="7">
        <v>5.0</v>
      </c>
      <c r="H14" s="7">
        <v>5.0</v>
      </c>
      <c r="I14" s="7">
        <v>5.0</v>
      </c>
      <c r="J14" s="7">
        <v>3.0</v>
      </c>
      <c r="K14" s="67"/>
      <c r="L14" s="67"/>
      <c r="M14" s="67"/>
      <c r="N14" s="67"/>
      <c r="O14" s="67"/>
      <c r="P14" s="67"/>
      <c r="Q14" s="67"/>
      <c r="R14" s="67"/>
      <c r="S14" s="67"/>
      <c r="T14" s="67"/>
      <c r="U14" s="67"/>
      <c r="V14" s="67"/>
      <c r="W14" s="67"/>
      <c r="X14" s="67"/>
      <c r="Y14" s="67"/>
      <c r="Z14" s="67"/>
      <c r="AA14" s="67"/>
      <c r="AB14" s="67"/>
    </row>
    <row r="15" ht="225.0" customHeight="1">
      <c r="C15" s="7" t="s">
        <v>17</v>
      </c>
      <c r="D15" s="55"/>
      <c r="E15" s="58">
        <f>IFERROR(__xludf.DUMMYFUNCTION("COUNTA(SPLIT(D15,"" ""))/COUNTA(SPLIT($B$14,"" ""))"),0.001697792869269949)</f>
        <v>0.001697792869</v>
      </c>
      <c r="F15" s="7"/>
      <c r="G15" s="7"/>
      <c r="H15" s="7"/>
      <c r="I15" s="7"/>
      <c r="J15" s="7"/>
      <c r="K15" s="57"/>
      <c r="L15" s="57"/>
      <c r="M15" s="57"/>
      <c r="N15" s="57"/>
      <c r="O15" s="57"/>
      <c r="P15" s="57"/>
      <c r="Q15" s="57"/>
      <c r="R15" s="57"/>
      <c r="S15" s="57"/>
      <c r="T15" s="57"/>
      <c r="U15" s="57"/>
      <c r="V15" s="57"/>
      <c r="W15" s="57"/>
      <c r="X15" s="57"/>
      <c r="Y15" s="57"/>
      <c r="Z15" s="57"/>
      <c r="AA15" s="57"/>
      <c r="AB15" s="57"/>
    </row>
    <row r="16">
      <c r="A16" s="57"/>
      <c r="B16" s="57"/>
      <c r="C16" s="59"/>
      <c r="D16" s="60"/>
      <c r="E16" s="61"/>
      <c r="F16" s="59"/>
      <c r="G16" s="59"/>
      <c r="H16" s="59"/>
      <c r="I16" s="59"/>
      <c r="J16" s="59"/>
      <c r="K16" s="57"/>
      <c r="L16" s="57"/>
      <c r="M16" s="57"/>
      <c r="N16" s="57"/>
      <c r="O16" s="57"/>
      <c r="P16" s="57"/>
      <c r="Q16" s="57"/>
      <c r="R16" s="57"/>
      <c r="S16" s="57"/>
      <c r="T16" s="57"/>
      <c r="U16" s="57"/>
      <c r="V16" s="57"/>
      <c r="W16" s="57"/>
      <c r="X16" s="57"/>
      <c r="Y16" s="57"/>
      <c r="Z16" s="57"/>
      <c r="AA16" s="57"/>
      <c r="AB16" s="57"/>
    </row>
    <row r="17">
      <c r="A17" s="57"/>
      <c r="B17" s="57"/>
      <c r="C17" s="59"/>
      <c r="D17" s="60"/>
      <c r="E17" s="71"/>
      <c r="F17" s="59"/>
      <c r="G17" s="59"/>
      <c r="H17" s="59"/>
      <c r="I17" s="59"/>
      <c r="J17" s="59"/>
      <c r="K17" s="57"/>
      <c r="L17" s="57"/>
      <c r="M17" s="57"/>
      <c r="N17" s="57"/>
      <c r="O17" s="57"/>
      <c r="P17" s="57"/>
      <c r="Q17" s="57"/>
      <c r="R17" s="57"/>
      <c r="S17" s="57"/>
      <c r="T17" s="57"/>
      <c r="U17" s="57"/>
      <c r="V17" s="57"/>
      <c r="W17" s="57"/>
      <c r="X17" s="57"/>
      <c r="Y17" s="57"/>
      <c r="Z17" s="57"/>
      <c r="AA17" s="57"/>
      <c r="AB17" s="57"/>
    </row>
    <row r="18">
      <c r="A18" s="57"/>
      <c r="B18" s="57"/>
      <c r="C18" s="59"/>
      <c r="D18" s="60"/>
      <c r="E18" s="71"/>
      <c r="F18" s="59"/>
      <c r="G18" s="59"/>
      <c r="H18" s="59"/>
      <c r="I18" s="59"/>
      <c r="J18" s="59"/>
      <c r="K18" s="57"/>
      <c r="L18" s="57"/>
      <c r="M18" s="57"/>
      <c r="N18" s="57"/>
      <c r="O18" s="57"/>
      <c r="P18" s="57"/>
      <c r="Q18" s="57"/>
      <c r="R18" s="57"/>
      <c r="S18" s="57"/>
      <c r="T18" s="57"/>
      <c r="U18" s="57"/>
      <c r="V18" s="57"/>
      <c r="W18" s="57"/>
      <c r="X18" s="57"/>
      <c r="Y18" s="57"/>
      <c r="Z18" s="57"/>
      <c r="AA18" s="57"/>
      <c r="AB18" s="57"/>
    </row>
    <row r="19">
      <c r="A19" s="57"/>
      <c r="B19" s="57"/>
      <c r="C19" s="59"/>
      <c r="D19" s="60"/>
      <c r="E19" s="71"/>
      <c r="F19" s="59"/>
      <c r="G19" s="59"/>
      <c r="H19" s="59"/>
      <c r="I19" s="59"/>
      <c r="J19" s="59"/>
      <c r="K19" s="57"/>
      <c r="L19" s="57"/>
      <c r="M19" s="57"/>
      <c r="N19" s="57"/>
      <c r="O19" s="57"/>
      <c r="P19" s="57"/>
      <c r="Q19" s="57"/>
      <c r="R19" s="57"/>
      <c r="S19" s="57"/>
      <c r="T19" s="57"/>
      <c r="U19" s="57"/>
      <c r="V19" s="57"/>
      <c r="W19" s="57"/>
      <c r="X19" s="57"/>
      <c r="Y19" s="57"/>
      <c r="Z19" s="57"/>
      <c r="AA19" s="57"/>
      <c r="AB19" s="57"/>
    </row>
    <row r="20">
      <c r="A20" s="57"/>
      <c r="B20" s="57"/>
      <c r="C20" s="59"/>
      <c r="D20" s="60"/>
      <c r="E20" s="71"/>
      <c r="F20" s="59"/>
      <c r="G20" s="59"/>
      <c r="H20" s="59"/>
      <c r="I20" s="59"/>
      <c r="J20" s="59"/>
      <c r="K20" s="57"/>
      <c r="L20" s="57"/>
      <c r="M20" s="57"/>
      <c r="N20" s="57"/>
      <c r="O20" s="57"/>
      <c r="P20" s="57"/>
      <c r="Q20" s="57"/>
      <c r="R20" s="57"/>
      <c r="S20" s="57"/>
      <c r="T20" s="57"/>
      <c r="U20" s="57"/>
      <c r="V20" s="57"/>
      <c r="W20" s="57"/>
      <c r="X20" s="57"/>
      <c r="Y20" s="57"/>
      <c r="Z20" s="57"/>
      <c r="AA20" s="57"/>
      <c r="AB20" s="57"/>
    </row>
    <row r="21">
      <c r="A21" s="57"/>
      <c r="B21" s="57"/>
      <c r="C21" s="59"/>
      <c r="D21" s="60"/>
      <c r="E21" s="71"/>
      <c r="F21" s="59"/>
      <c r="G21" s="59"/>
      <c r="H21" s="59"/>
      <c r="I21" s="59"/>
      <c r="J21" s="59"/>
      <c r="K21" s="57"/>
      <c r="L21" s="57"/>
      <c r="M21" s="57"/>
      <c r="N21" s="57"/>
      <c r="O21" s="57"/>
      <c r="P21" s="57"/>
      <c r="Q21" s="57"/>
      <c r="R21" s="57"/>
      <c r="S21" s="57"/>
      <c r="T21" s="57"/>
      <c r="U21" s="57"/>
      <c r="V21" s="57"/>
      <c r="W21" s="57"/>
      <c r="X21" s="57"/>
      <c r="Y21" s="57"/>
      <c r="Z21" s="57"/>
      <c r="AA21" s="57"/>
      <c r="AB21" s="57"/>
    </row>
    <row r="22">
      <c r="A22" s="57"/>
      <c r="B22" s="57"/>
      <c r="C22" s="59"/>
      <c r="D22" s="60"/>
      <c r="E22" s="71"/>
      <c r="F22" s="59"/>
      <c r="G22" s="59"/>
      <c r="H22" s="59"/>
      <c r="I22" s="59"/>
      <c r="J22" s="59"/>
      <c r="K22" s="57"/>
      <c r="L22" s="57"/>
      <c r="M22" s="57"/>
      <c r="N22" s="57"/>
      <c r="O22" s="57"/>
      <c r="P22" s="57"/>
      <c r="Q22" s="57"/>
      <c r="R22" s="57"/>
      <c r="S22" s="57"/>
      <c r="T22" s="57"/>
      <c r="U22" s="57"/>
      <c r="V22" s="57"/>
      <c r="W22" s="57"/>
      <c r="X22" s="57"/>
      <c r="Y22" s="57"/>
      <c r="Z22" s="57"/>
      <c r="AA22" s="57"/>
      <c r="AB22" s="57"/>
    </row>
    <row r="23">
      <c r="A23" s="57"/>
      <c r="B23" s="57"/>
      <c r="C23" s="59"/>
      <c r="D23" s="60"/>
      <c r="E23" s="71"/>
      <c r="F23" s="59"/>
      <c r="G23" s="59"/>
      <c r="H23" s="59"/>
      <c r="I23" s="59"/>
      <c r="J23" s="59"/>
      <c r="K23" s="57"/>
      <c r="L23" s="57"/>
      <c r="M23" s="57"/>
      <c r="N23" s="57"/>
      <c r="O23" s="57"/>
      <c r="P23" s="57"/>
      <c r="Q23" s="57"/>
      <c r="R23" s="57"/>
      <c r="S23" s="57"/>
      <c r="T23" s="57"/>
      <c r="U23" s="57"/>
      <c r="V23" s="57"/>
      <c r="W23" s="57"/>
      <c r="X23" s="57"/>
      <c r="Y23" s="57"/>
      <c r="Z23" s="57"/>
      <c r="AA23" s="57"/>
      <c r="AB23" s="57"/>
    </row>
    <row r="24">
      <c r="A24" s="57"/>
      <c r="B24" s="57"/>
      <c r="C24" s="59"/>
      <c r="D24" s="60"/>
      <c r="E24" s="71"/>
      <c r="F24" s="59"/>
      <c r="G24" s="59"/>
      <c r="H24" s="59"/>
      <c r="I24" s="59"/>
      <c r="J24" s="59"/>
      <c r="K24" s="57"/>
      <c r="L24" s="57"/>
      <c r="M24" s="57"/>
      <c r="N24" s="57"/>
      <c r="O24" s="57"/>
      <c r="P24" s="57"/>
      <c r="Q24" s="57"/>
      <c r="R24" s="57"/>
      <c r="S24" s="57"/>
      <c r="T24" s="57"/>
      <c r="U24" s="57"/>
      <c r="V24" s="57"/>
      <c r="W24" s="57"/>
      <c r="X24" s="57"/>
      <c r="Y24" s="57"/>
      <c r="Z24" s="57"/>
      <c r="AA24" s="57"/>
      <c r="AB24" s="57"/>
    </row>
    <row r="25">
      <c r="A25" s="57"/>
      <c r="B25" s="57"/>
      <c r="C25" s="59"/>
      <c r="D25" s="60"/>
      <c r="E25" s="71"/>
      <c r="F25" s="59"/>
      <c r="G25" s="59"/>
      <c r="H25" s="59"/>
      <c r="I25" s="59"/>
      <c r="J25" s="59"/>
      <c r="K25" s="57"/>
      <c r="L25" s="57"/>
      <c r="M25" s="57"/>
      <c r="N25" s="57"/>
      <c r="O25" s="57"/>
      <c r="P25" s="57"/>
      <c r="Q25" s="57"/>
      <c r="R25" s="57"/>
      <c r="S25" s="57"/>
      <c r="T25" s="57"/>
      <c r="U25" s="57"/>
      <c r="V25" s="57"/>
      <c r="W25" s="57"/>
      <c r="X25" s="57"/>
      <c r="Y25" s="57"/>
      <c r="Z25" s="57"/>
      <c r="AA25" s="57"/>
      <c r="AB25" s="57"/>
    </row>
    <row r="26">
      <c r="A26" s="57"/>
      <c r="B26" s="57"/>
      <c r="C26" s="59"/>
      <c r="D26" s="60"/>
      <c r="E26" s="71"/>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60"/>
      <c r="E27" s="7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60"/>
      <c r="E28" s="7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60"/>
      <c r="E29" s="7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60"/>
      <c r="E30" s="7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60"/>
      <c r="E31" s="7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60"/>
      <c r="E32" s="7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60"/>
      <c r="E33" s="7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60"/>
      <c r="E34" s="7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60"/>
      <c r="E35" s="7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60"/>
      <c r="E36" s="7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60"/>
      <c r="E37" s="7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60"/>
      <c r="E38" s="7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60"/>
      <c r="E39" s="7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60"/>
      <c r="E40" s="7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60"/>
      <c r="E41" s="7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60"/>
      <c r="E42" s="7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60"/>
      <c r="E43" s="7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60"/>
      <c r="E44" s="7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60"/>
      <c r="E45" s="7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60"/>
      <c r="E46" s="7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60"/>
      <c r="E47" s="7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60"/>
      <c r="E48" s="7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60"/>
      <c r="E49" s="7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60"/>
      <c r="E50" s="7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60"/>
      <c r="E51" s="7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60"/>
      <c r="E52" s="7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60"/>
      <c r="E53" s="7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60"/>
      <c r="E54" s="7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60"/>
      <c r="E55" s="7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60"/>
      <c r="E56" s="7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60"/>
      <c r="E57" s="7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60"/>
      <c r="E58" s="7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60"/>
      <c r="E59" s="7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60"/>
      <c r="E60" s="7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60"/>
      <c r="E61" s="7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60"/>
      <c r="E62" s="7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60"/>
      <c r="E63" s="7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60"/>
      <c r="E64" s="7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60"/>
      <c r="E65" s="7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60"/>
      <c r="E66" s="7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60"/>
      <c r="E67" s="7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60"/>
      <c r="E68" s="7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60"/>
      <c r="E69" s="7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60"/>
      <c r="E70" s="7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60"/>
      <c r="E71" s="7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60"/>
      <c r="E72" s="7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60"/>
      <c r="E73" s="7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60"/>
      <c r="E74" s="7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60"/>
      <c r="E75" s="7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60"/>
      <c r="E76" s="7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60"/>
      <c r="E77" s="7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60"/>
      <c r="E78" s="7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60"/>
      <c r="E79" s="7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60"/>
      <c r="E80" s="7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60"/>
      <c r="E81" s="7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60"/>
      <c r="E82" s="7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60"/>
      <c r="E83" s="7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60"/>
      <c r="E84" s="7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60"/>
      <c r="E85" s="7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60"/>
      <c r="E86" s="7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60"/>
      <c r="E87" s="7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60"/>
      <c r="E88" s="7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60"/>
      <c r="E89" s="7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60"/>
      <c r="E90" s="7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60"/>
      <c r="E91" s="7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60"/>
      <c r="E92" s="7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60"/>
      <c r="E93" s="7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60"/>
      <c r="E94" s="7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60"/>
      <c r="E95" s="7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60"/>
      <c r="E96" s="7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60"/>
      <c r="E97" s="7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60"/>
      <c r="E98" s="7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60"/>
      <c r="E99" s="7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60"/>
      <c r="E100" s="7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60"/>
      <c r="E101" s="7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60"/>
      <c r="E102" s="7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60"/>
      <c r="E103" s="7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60"/>
      <c r="E104" s="7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60"/>
      <c r="E105" s="7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60"/>
      <c r="E106" s="7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60"/>
      <c r="E107" s="7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60"/>
      <c r="E108" s="7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60"/>
      <c r="E109" s="7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60"/>
      <c r="E110" s="7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60"/>
      <c r="E111" s="7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60"/>
      <c r="E112" s="7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60"/>
      <c r="E113" s="7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60"/>
      <c r="E114" s="7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60"/>
      <c r="E115" s="7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60"/>
      <c r="E116" s="7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60"/>
      <c r="E117" s="7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60"/>
      <c r="E118" s="7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60"/>
      <c r="E119" s="7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60"/>
      <c r="E120" s="7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60"/>
      <c r="E121" s="7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60"/>
      <c r="E122" s="7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60"/>
      <c r="E123" s="7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60"/>
      <c r="E124" s="7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60"/>
      <c r="E125" s="7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60"/>
      <c r="E126" s="7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60"/>
      <c r="E127" s="7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60"/>
      <c r="E128" s="7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60"/>
      <c r="E129" s="7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60"/>
      <c r="E130" s="7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60"/>
      <c r="E131" s="7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60"/>
      <c r="E132" s="7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60"/>
      <c r="E133" s="7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60"/>
      <c r="E134" s="7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60"/>
      <c r="E135" s="7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60"/>
      <c r="E136" s="7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60"/>
      <c r="E137" s="7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60"/>
      <c r="E138" s="7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60"/>
      <c r="E139" s="7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60"/>
      <c r="E140" s="7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60"/>
      <c r="E141" s="7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60"/>
      <c r="E142" s="7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60"/>
      <c r="E143" s="7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60"/>
      <c r="E144" s="7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60"/>
      <c r="E145" s="7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60"/>
      <c r="E146" s="7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60"/>
      <c r="E147" s="7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60"/>
      <c r="E148" s="7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60"/>
      <c r="E149" s="7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60"/>
      <c r="E150" s="7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60"/>
      <c r="E151" s="7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60"/>
      <c r="E152" s="7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60"/>
      <c r="E153" s="7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60"/>
      <c r="E154" s="7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60"/>
      <c r="E155" s="7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60"/>
      <c r="E156" s="7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60"/>
      <c r="E157" s="7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60"/>
      <c r="E158" s="7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60"/>
      <c r="E159" s="7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60"/>
      <c r="E160" s="7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60"/>
      <c r="E161" s="7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60"/>
      <c r="E162" s="7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60"/>
      <c r="E163" s="7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60"/>
      <c r="E164" s="7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60"/>
      <c r="E165" s="7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60"/>
      <c r="E166" s="7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60"/>
      <c r="E167" s="7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60"/>
      <c r="E168" s="7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60"/>
      <c r="E169" s="7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60"/>
      <c r="E170" s="7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60"/>
      <c r="E171" s="7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60"/>
      <c r="E172" s="7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60"/>
      <c r="E173" s="7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60"/>
      <c r="E174" s="7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60"/>
      <c r="E175" s="7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60"/>
      <c r="E176" s="7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60"/>
      <c r="E177" s="7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60"/>
      <c r="E178" s="7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60"/>
      <c r="E179" s="7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60"/>
      <c r="E180" s="7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60"/>
      <c r="E181" s="7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60"/>
      <c r="E182" s="7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60"/>
      <c r="E183" s="7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60"/>
      <c r="E184" s="7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60"/>
      <c r="E185" s="7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60"/>
      <c r="E186" s="7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60"/>
      <c r="E187" s="7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60"/>
      <c r="E188" s="7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60"/>
      <c r="E189" s="7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60"/>
      <c r="E190" s="7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60"/>
      <c r="E191" s="7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60"/>
      <c r="E192" s="7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60"/>
      <c r="E193" s="7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60"/>
      <c r="E194" s="7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60"/>
      <c r="E195" s="7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60"/>
      <c r="E196" s="7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60"/>
      <c r="E197" s="7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60"/>
      <c r="E198" s="7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60"/>
      <c r="E199" s="7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60"/>
      <c r="E200" s="7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60"/>
      <c r="E201" s="7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60"/>
      <c r="E202" s="7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60"/>
      <c r="E203" s="7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60"/>
      <c r="E204" s="7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60"/>
      <c r="E205" s="7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60"/>
      <c r="E206" s="7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60"/>
      <c r="E207" s="7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60"/>
      <c r="E208" s="7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60"/>
      <c r="E209" s="7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60"/>
      <c r="E210" s="7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60"/>
      <c r="E211" s="7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60"/>
      <c r="E212" s="7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60"/>
      <c r="E213" s="7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60"/>
      <c r="E214" s="7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60"/>
      <c r="E215" s="7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60"/>
      <c r="E216" s="7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60"/>
      <c r="E217" s="7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60"/>
      <c r="E218" s="7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60"/>
      <c r="E219" s="7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60"/>
      <c r="E220" s="7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60"/>
      <c r="E221" s="7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60"/>
      <c r="E222" s="7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60"/>
      <c r="E223" s="7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60"/>
      <c r="E224" s="7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60"/>
      <c r="E225" s="7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60"/>
      <c r="E226" s="7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60"/>
      <c r="E227" s="7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60"/>
      <c r="E228" s="7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60"/>
      <c r="E229" s="7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60"/>
      <c r="E230" s="7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60"/>
      <c r="E231" s="7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60"/>
      <c r="E232" s="7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60"/>
      <c r="E233" s="7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60"/>
      <c r="E234" s="7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60"/>
      <c r="E235" s="7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60"/>
      <c r="E236" s="7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60"/>
      <c r="E237" s="7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60"/>
      <c r="E238" s="7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60"/>
      <c r="E239" s="7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60"/>
      <c r="E240" s="7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60"/>
      <c r="E241" s="7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60"/>
      <c r="E242" s="7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60"/>
      <c r="E243" s="7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60"/>
      <c r="E244" s="7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60"/>
      <c r="E245" s="7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60"/>
      <c r="E246" s="7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60"/>
      <c r="E247" s="7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60"/>
      <c r="E248" s="7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60"/>
      <c r="E249" s="7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60"/>
      <c r="E250" s="7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60"/>
      <c r="E251" s="7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60"/>
      <c r="E252" s="7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60"/>
      <c r="E253" s="7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60"/>
      <c r="E254" s="7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60"/>
      <c r="E255" s="7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60"/>
      <c r="E256" s="7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60"/>
      <c r="E257" s="7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60"/>
      <c r="E258" s="7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60"/>
      <c r="E259" s="7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60"/>
      <c r="E260" s="7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60"/>
      <c r="E261" s="7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60"/>
      <c r="E262" s="7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60"/>
      <c r="E263" s="7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60"/>
      <c r="E264" s="7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60"/>
      <c r="E265" s="7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60"/>
      <c r="E266" s="7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60"/>
      <c r="E267" s="7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60"/>
      <c r="E268" s="7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60"/>
      <c r="E269" s="7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60"/>
      <c r="E270" s="7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60"/>
      <c r="E271" s="7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60"/>
      <c r="E272" s="7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60"/>
      <c r="E273" s="7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60"/>
      <c r="E274" s="7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60"/>
      <c r="E275" s="7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60"/>
      <c r="E276" s="7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60"/>
      <c r="E277" s="7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60"/>
      <c r="E278" s="7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60"/>
      <c r="E279" s="7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60"/>
      <c r="E280" s="7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60"/>
      <c r="E281" s="7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60"/>
      <c r="E282" s="7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60"/>
      <c r="E283" s="7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60"/>
      <c r="E284" s="7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60"/>
      <c r="E285" s="7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60"/>
      <c r="E286" s="7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60"/>
      <c r="E287" s="7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60"/>
      <c r="E288" s="7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60"/>
      <c r="E289" s="7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60"/>
      <c r="E290" s="7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60"/>
      <c r="E291" s="7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60"/>
      <c r="E292" s="7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60"/>
      <c r="E293" s="7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60"/>
      <c r="E294" s="7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60"/>
      <c r="E295" s="7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60"/>
      <c r="E296" s="7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60"/>
      <c r="E297" s="7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60"/>
      <c r="E298" s="7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60"/>
      <c r="E299" s="7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60"/>
      <c r="E300" s="7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60"/>
      <c r="E301" s="7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60"/>
      <c r="E302" s="7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60"/>
      <c r="E303" s="7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60"/>
      <c r="E304" s="7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60"/>
      <c r="E305" s="7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60"/>
      <c r="E306" s="7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60"/>
      <c r="E307" s="7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60"/>
      <c r="E308" s="7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60"/>
      <c r="E309" s="7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60"/>
      <c r="E310" s="7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60"/>
      <c r="E311" s="7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60"/>
      <c r="E312" s="7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60"/>
      <c r="E313" s="7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60"/>
      <c r="E314" s="7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60"/>
      <c r="E315" s="7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60"/>
      <c r="E316" s="7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60"/>
      <c r="E317" s="7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60"/>
      <c r="E318" s="7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60"/>
      <c r="E319" s="7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60"/>
      <c r="E320" s="7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60"/>
      <c r="E321" s="7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60"/>
      <c r="E322" s="7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60"/>
      <c r="E323" s="7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60"/>
      <c r="E324" s="7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60"/>
      <c r="E325" s="7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60"/>
      <c r="E326" s="7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60"/>
      <c r="E327" s="7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60"/>
      <c r="E328" s="7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60"/>
      <c r="E329" s="7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60"/>
      <c r="E330" s="7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60"/>
      <c r="E331" s="7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60"/>
      <c r="E332" s="7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60"/>
      <c r="E333" s="7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60"/>
      <c r="E334" s="7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60"/>
      <c r="E335" s="7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60"/>
      <c r="E336" s="7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60"/>
      <c r="E337" s="7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60"/>
      <c r="E338" s="7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60"/>
      <c r="E339" s="7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60"/>
      <c r="E340" s="7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60"/>
      <c r="E341" s="7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60"/>
      <c r="E342" s="7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60"/>
      <c r="E343" s="7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60"/>
      <c r="E344" s="7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60"/>
      <c r="E345" s="7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60"/>
      <c r="E346" s="7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60"/>
      <c r="E347" s="7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60"/>
      <c r="E348" s="7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60"/>
      <c r="E349" s="7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60"/>
      <c r="E350" s="7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60"/>
      <c r="E351" s="7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60"/>
      <c r="E352" s="7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60"/>
      <c r="E353" s="7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60"/>
      <c r="E354" s="7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60"/>
      <c r="E355" s="7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60"/>
      <c r="E356" s="7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60"/>
      <c r="E357" s="7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60"/>
      <c r="E358" s="7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60"/>
      <c r="E359" s="7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60"/>
      <c r="E360" s="7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60"/>
      <c r="E361" s="7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60"/>
      <c r="E362" s="7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60"/>
      <c r="E363" s="7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60"/>
      <c r="E364" s="7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60"/>
      <c r="E365" s="7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60"/>
      <c r="E366" s="7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60"/>
      <c r="E367" s="7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60"/>
      <c r="E368" s="7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60"/>
      <c r="E369" s="7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60"/>
      <c r="E370" s="7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60"/>
      <c r="E371" s="7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60"/>
      <c r="E372" s="7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60"/>
      <c r="E373" s="7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60"/>
      <c r="E374" s="7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60"/>
      <c r="E375" s="7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60"/>
      <c r="E376" s="7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60"/>
      <c r="E377" s="7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60"/>
      <c r="E378" s="7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60"/>
      <c r="E379" s="7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60"/>
      <c r="E380" s="7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60"/>
      <c r="E381" s="7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60"/>
      <c r="E382" s="7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60"/>
      <c r="E383" s="7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60"/>
      <c r="E384" s="7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60"/>
      <c r="E385" s="7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60"/>
      <c r="E386" s="7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60"/>
      <c r="E387" s="7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60"/>
      <c r="E388" s="7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60"/>
      <c r="E389" s="7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60"/>
      <c r="E390" s="7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60"/>
      <c r="E391" s="7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60"/>
      <c r="E392" s="7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60"/>
      <c r="E393" s="7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60"/>
      <c r="E394" s="7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60"/>
      <c r="E395" s="7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60"/>
      <c r="E396" s="7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60"/>
      <c r="E397" s="7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60"/>
      <c r="E398" s="7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60"/>
      <c r="E399" s="7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60"/>
      <c r="E400" s="7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60"/>
      <c r="E401" s="7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60"/>
      <c r="E402" s="7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60"/>
      <c r="E403" s="7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60"/>
      <c r="E404" s="7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60"/>
      <c r="E405" s="7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60"/>
      <c r="E406" s="7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60"/>
      <c r="E407" s="7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60"/>
      <c r="E408" s="7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60"/>
      <c r="E409" s="7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60"/>
      <c r="E410" s="7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60"/>
      <c r="E411" s="7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60"/>
      <c r="E412" s="7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60"/>
      <c r="E413" s="7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60"/>
      <c r="E414" s="7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60"/>
      <c r="E415" s="7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60"/>
      <c r="E416" s="7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60"/>
      <c r="E417" s="7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60"/>
      <c r="E418" s="7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60"/>
      <c r="E419" s="7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60"/>
      <c r="E420" s="7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60"/>
      <c r="E421" s="7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60"/>
      <c r="E422" s="7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60"/>
      <c r="E423" s="7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60"/>
      <c r="E424" s="7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60"/>
      <c r="E425" s="7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60"/>
      <c r="E426" s="7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60"/>
      <c r="E427" s="7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60"/>
      <c r="E428" s="7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60"/>
      <c r="E429" s="7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60"/>
      <c r="E430" s="7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60"/>
      <c r="E431" s="7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60"/>
      <c r="E432" s="7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60"/>
      <c r="E433" s="7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60"/>
      <c r="E434" s="7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60"/>
      <c r="E435" s="7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60"/>
      <c r="E436" s="7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60"/>
      <c r="E437" s="7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60"/>
      <c r="E438" s="7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60"/>
      <c r="E439" s="7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60"/>
      <c r="E440" s="7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60"/>
      <c r="E441" s="7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60"/>
      <c r="E442" s="7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60"/>
      <c r="E443" s="7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60"/>
      <c r="E444" s="7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60"/>
      <c r="E445" s="7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60"/>
      <c r="E446" s="7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60"/>
      <c r="E447" s="7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60"/>
      <c r="E448" s="7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60"/>
      <c r="E449" s="7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60"/>
      <c r="E450" s="7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60"/>
      <c r="E451" s="7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60"/>
      <c r="E452" s="7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60"/>
      <c r="E453" s="7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60"/>
      <c r="E454" s="7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60"/>
      <c r="E455" s="7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60"/>
      <c r="E456" s="7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60"/>
      <c r="E457" s="7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60"/>
      <c r="E458" s="7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60"/>
      <c r="E459" s="7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60"/>
      <c r="E460" s="7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60"/>
      <c r="E461" s="7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60"/>
      <c r="E462" s="7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60"/>
      <c r="E463" s="7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60"/>
      <c r="E464" s="7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60"/>
      <c r="E465" s="7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60"/>
      <c r="E466" s="7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60"/>
      <c r="E467" s="7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60"/>
      <c r="E468" s="7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60"/>
      <c r="E469" s="7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60"/>
      <c r="E470" s="7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60"/>
      <c r="E471" s="7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60"/>
      <c r="E472" s="7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60"/>
      <c r="E473" s="7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60"/>
      <c r="E474" s="7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60"/>
      <c r="E475" s="7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60"/>
      <c r="E476" s="7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60"/>
      <c r="E477" s="7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60"/>
      <c r="E478" s="7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60"/>
      <c r="E479" s="7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60"/>
      <c r="E480" s="7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60"/>
      <c r="E481" s="7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60"/>
      <c r="E482" s="7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60"/>
      <c r="E483" s="7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60"/>
      <c r="E484" s="7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60"/>
      <c r="E485" s="7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60"/>
      <c r="E486" s="7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60"/>
      <c r="E487" s="7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60"/>
      <c r="E488" s="7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60"/>
      <c r="E489" s="7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60"/>
      <c r="E490" s="7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60"/>
      <c r="E491" s="7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60"/>
      <c r="E492" s="7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60"/>
      <c r="E493" s="7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60"/>
      <c r="E494" s="7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60"/>
      <c r="E495" s="7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60"/>
      <c r="E496" s="7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60"/>
      <c r="E497" s="7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60"/>
      <c r="E498" s="7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60"/>
      <c r="E499" s="7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60"/>
      <c r="E500" s="7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60"/>
      <c r="E501" s="7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60"/>
      <c r="E502" s="7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60"/>
      <c r="E503" s="7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60"/>
      <c r="E504" s="7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60"/>
      <c r="E505" s="7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60"/>
      <c r="E506" s="7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60"/>
      <c r="E507" s="7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60"/>
      <c r="E508" s="7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60"/>
      <c r="E509" s="7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60"/>
      <c r="E510" s="7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60"/>
      <c r="E511" s="7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60"/>
      <c r="E512" s="7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60"/>
      <c r="E513" s="7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60"/>
      <c r="E514" s="7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60"/>
      <c r="E515" s="7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60"/>
      <c r="E516" s="7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60"/>
      <c r="E517" s="7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60"/>
      <c r="E518" s="7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60"/>
      <c r="E519" s="7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60"/>
      <c r="E520" s="7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60"/>
      <c r="E521" s="7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60"/>
      <c r="E522" s="7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60"/>
      <c r="E523" s="7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60"/>
      <c r="E524" s="7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60"/>
      <c r="E525" s="7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60"/>
      <c r="E526" s="7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60"/>
      <c r="E527" s="7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60"/>
      <c r="E528" s="7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60"/>
      <c r="E529" s="7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60"/>
      <c r="E530" s="7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60"/>
      <c r="E531" s="7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60"/>
      <c r="E532" s="7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60"/>
      <c r="E533" s="7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60"/>
      <c r="E534" s="7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60"/>
      <c r="E535" s="7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60"/>
      <c r="E536" s="7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60"/>
      <c r="E537" s="7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60"/>
      <c r="E538" s="7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60"/>
      <c r="E539" s="7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60"/>
      <c r="E540" s="7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60"/>
      <c r="E541" s="7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60"/>
      <c r="E542" s="7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60"/>
      <c r="E543" s="7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60"/>
      <c r="E544" s="7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60"/>
      <c r="E545" s="7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60"/>
      <c r="E546" s="7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60"/>
      <c r="E547" s="7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60"/>
      <c r="E548" s="7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60"/>
      <c r="E549" s="7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60"/>
      <c r="E550" s="7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60"/>
      <c r="E551" s="7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60"/>
      <c r="E552" s="7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60"/>
      <c r="E553" s="7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60"/>
      <c r="E554" s="7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60"/>
      <c r="E555" s="7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60"/>
      <c r="E556" s="7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60"/>
      <c r="E557" s="7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60"/>
      <c r="E558" s="7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60"/>
      <c r="E559" s="7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60"/>
      <c r="E560" s="7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60"/>
      <c r="E561" s="7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60"/>
      <c r="E562" s="7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60"/>
      <c r="E563" s="7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60"/>
      <c r="E564" s="7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60"/>
      <c r="E565" s="7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60"/>
      <c r="E566" s="7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60"/>
      <c r="E567" s="7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60"/>
      <c r="E568" s="7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60"/>
      <c r="E569" s="7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60"/>
      <c r="E570" s="7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60"/>
      <c r="E571" s="7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60"/>
      <c r="E572" s="7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60"/>
      <c r="E573" s="7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60"/>
      <c r="E574" s="7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60"/>
      <c r="E575" s="7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60"/>
      <c r="E576" s="7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60"/>
      <c r="E577" s="7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60"/>
      <c r="E578" s="7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60"/>
      <c r="E579" s="7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60"/>
      <c r="E580" s="7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60"/>
      <c r="E581" s="7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60"/>
      <c r="E582" s="7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60"/>
      <c r="E583" s="7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60"/>
      <c r="E584" s="7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60"/>
      <c r="E585" s="7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60"/>
      <c r="E586" s="7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60"/>
      <c r="E587" s="7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60"/>
      <c r="E588" s="7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60"/>
      <c r="E589" s="7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60"/>
      <c r="E590" s="7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60"/>
      <c r="E591" s="7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60"/>
      <c r="E592" s="7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60"/>
      <c r="E593" s="7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60"/>
      <c r="E594" s="7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60"/>
      <c r="E595" s="7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60"/>
      <c r="E596" s="7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60"/>
      <c r="E597" s="7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60"/>
      <c r="E598" s="7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60"/>
      <c r="E599" s="7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60"/>
      <c r="E600" s="7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60"/>
      <c r="E601" s="7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60"/>
      <c r="E602" s="7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60"/>
      <c r="E603" s="7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60"/>
      <c r="E604" s="7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60"/>
      <c r="E605" s="7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60"/>
      <c r="E606" s="7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60"/>
      <c r="E607" s="7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60"/>
      <c r="E608" s="7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60"/>
      <c r="E609" s="7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60"/>
      <c r="E610" s="7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60"/>
      <c r="E611" s="7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60"/>
      <c r="E612" s="7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60"/>
      <c r="E613" s="7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60"/>
      <c r="E614" s="7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60"/>
      <c r="E615" s="7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60"/>
      <c r="E616" s="7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60"/>
      <c r="E617" s="7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60"/>
      <c r="E618" s="7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60"/>
      <c r="E619" s="7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60"/>
      <c r="E620" s="7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60"/>
      <c r="E621" s="7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60"/>
      <c r="E622" s="7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60"/>
      <c r="E623" s="7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60"/>
      <c r="E624" s="7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60"/>
      <c r="E625" s="7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60"/>
      <c r="E626" s="7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60"/>
      <c r="E627" s="7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60"/>
      <c r="E628" s="7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60"/>
      <c r="E629" s="7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60"/>
      <c r="E630" s="7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60"/>
      <c r="E631" s="7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60"/>
      <c r="E632" s="7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60"/>
      <c r="E633" s="7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60"/>
      <c r="E634" s="7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60"/>
      <c r="E635" s="7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60"/>
      <c r="E636" s="7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60"/>
      <c r="E637" s="7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60"/>
      <c r="E638" s="7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60"/>
      <c r="E639" s="7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60"/>
      <c r="E640" s="7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60"/>
      <c r="E641" s="7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60"/>
      <c r="E642" s="7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60"/>
      <c r="E643" s="7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60"/>
      <c r="E644" s="7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60"/>
      <c r="E645" s="7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60"/>
      <c r="E646" s="7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60"/>
      <c r="E647" s="7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60"/>
      <c r="E648" s="7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60"/>
      <c r="E649" s="7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60"/>
      <c r="E650" s="7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60"/>
      <c r="E651" s="7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60"/>
      <c r="E652" s="7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60"/>
      <c r="E653" s="7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60"/>
      <c r="E654" s="7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60"/>
      <c r="E655" s="7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60"/>
      <c r="E656" s="7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60"/>
      <c r="E657" s="7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60"/>
      <c r="E658" s="7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60"/>
      <c r="E659" s="7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60"/>
      <c r="E660" s="7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60"/>
      <c r="E661" s="7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60"/>
      <c r="E662" s="7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60"/>
      <c r="E663" s="7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60"/>
      <c r="E664" s="7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60"/>
      <c r="E665" s="7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60"/>
      <c r="E666" s="7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60"/>
      <c r="E667" s="7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60"/>
      <c r="E668" s="7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60"/>
      <c r="E669" s="7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60"/>
      <c r="E670" s="7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60"/>
      <c r="E671" s="7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60"/>
      <c r="E672" s="7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60"/>
      <c r="E673" s="7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60"/>
      <c r="E674" s="7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60"/>
      <c r="E675" s="7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60"/>
      <c r="E676" s="7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60"/>
      <c r="E677" s="7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60"/>
      <c r="E678" s="7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60"/>
      <c r="E679" s="7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60"/>
      <c r="E680" s="7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60"/>
      <c r="E681" s="7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60"/>
      <c r="E682" s="7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60"/>
      <c r="E683" s="7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60"/>
      <c r="E684" s="7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60"/>
      <c r="E685" s="7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60"/>
      <c r="E686" s="7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60"/>
      <c r="E687" s="7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60"/>
      <c r="E688" s="7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60"/>
      <c r="E689" s="7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60"/>
      <c r="E690" s="7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60"/>
      <c r="E691" s="7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60"/>
      <c r="E692" s="7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60"/>
      <c r="E693" s="7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60"/>
      <c r="E694" s="7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60"/>
      <c r="E695" s="7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60"/>
      <c r="E696" s="7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60"/>
      <c r="E697" s="7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60"/>
      <c r="E698" s="7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60"/>
      <c r="E699" s="7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60"/>
      <c r="E700" s="7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60"/>
      <c r="E701" s="7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60"/>
      <c r="E702" s="7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60"/>
      <c r="E703" s="7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60"/>
      <c r="E704" s="7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60"/>
      <c r="E705" s="7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60"/>
      <c r="E706" s="7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60"/>
      <c r="E707" s="7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60"/>
      <c r="E708" s="7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60"/>
      <c r="E709" s="7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60"/>
      <c r="E710" s="7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60"/>
      <c r="E711" s="7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60"/>
      <c r="E712" s="7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60"/>
      <c r="E713" s="7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60"/>
      <c r="E714" s="7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60"/>
      <c r="E715" s="7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60"/>
      <c r="E716" s="7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60"/>
      <c r="E717" s="7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60"/>
      <c r="E718" s="7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60"/>
      <c r="E719" s="7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60"/>
      <c r="E720" s="7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60"/>
      <c r="E721" s="7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60"/>
      <c r="E722" s="7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60"/>
      <c r="E723" s="7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60"/>
      <c r="E724" s="7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60"/>
      <c r="E725" s="7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60"/>
      <c r="E726" s="7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60"/>
      <c r="E727" s="7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60"/>
      <c r="E728" s="7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60"/>
      <c r="E729" s="7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60"/>
      <c r="E730" s="7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60"/>
      <c r="E731" s="7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60"/>
      <c r="E732" s="7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60"/>
      <c r="E733" s="7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60"/>
      <c r="E734" s="7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60"/>
      <c r="E735" s="7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60"/>
      <c r="E736" s="7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60"/>
      <c r="E737" s="7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60"/>
      <c r="E738" s="7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60"/>
      <c r="E739" s="7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60"/>
      <c r="E740" s="7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60"/>
      <c r="E741" s="7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60"/>
      <c r="E742" s="7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60"/>
      <c r="E743" s="7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60"/>
      <c r="E744" s="7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60"/>
      <c r="E745" s="7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60"/>
      <c r="E746" s="7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60"/>
      <c r="E747" s="7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60"/>
      <c r="E748" s="7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60"/>
      <c r="E749" s="7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60"/>
      <c r="E750" s="7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60"/>
      <c r="E751" s="7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60"/>
      <c r="E752" s="7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60"/>
      <c r="E753" s="7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60"/>
      <c r="E754" s="7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60"/>
      <c r="E755" s="7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60"/>
      <c r="E756" s="7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60"/>
      <c r="E757" s="7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60"/>
      <c r="E758" s="7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60"/>
      <c r="E759" s="7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60"/>
      <c r="E760" s="7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60"/>
      <c r="E761" s="7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60"/>
      <c r="E762" s="7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60"/>
      <c r="E763" s="7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60"/>
      <c r="E764" s="7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60"/>
      <c r="E765" s="7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60"/>
      <c r="E766" s="7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60"/>
      <c r="E767" s="7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60"/>
      <c r="E768" s="7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60"/>
      <c r="E769" s="7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60"/>
      <c r="E770" s="7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60"/>
      <c r="E771" s="7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60"/>
      <c r="E772" s="7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60"/>
      <c r="E773" s="7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60"/>
      <c r="E774" s="7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60"/>
      <c r="E775" s="7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60"/>
      <c r="E776" s="7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60"/>
      <c r="E777" s="7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60"/>
      <c r="E778" s="7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60"/>
      <c r="E779" s="7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60"/>
      <c r="E780" s="7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60"/>
      <c r="E781" s="7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60"/>
      <c r="E782" s="7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60"/>
      <c r="E783" s="7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60"/>
      <c r="E784" s="7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60"/>
      <c r="E785" s="7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60"/>
      <c r="E786" s="7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60"/>
      <c r="E787" s="7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60"/>
      <c r="E788" s="7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60"/>
      <c r="E789" s="7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60"/>
      <c r="E790" s="7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60"/>
      <c r="E791" s="7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60"/>
      <c r="E792" s="7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60"/>
      <c r="E793" s="7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60"/>
      <c r="E794" s="7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60"/>
      <c r="E795" s="7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60"/>
      <c r="E796" s="7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60"/>
      <c r="E797" s="7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60"/>
      <c r="E798" s="7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60"/>
      <c r="E799" s="7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60"/>
      <c r="E800" s="7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60"/>
      <c r="E801" s="7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60"/>
      <c r="E802" s="7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60"/>
      <c r="E803" s="7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60"/>
      <c r="E804" s="7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60"/>
      <c r="E805" s="7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60"/>
      <c r="E806" s="7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60"/>
      <c r="E807" s="7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60"/>
      <c r="E808" s="7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60"/>
      <c r="E809" s="7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60"/>
      <c r="E810" s="7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60"/>
      <c r="E811" s="7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60"/>
      <c r="E812" s="7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60"/>
      <c r="E813" s="7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60"/>
      <c r="E814" s="7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60"/>
      <c r="E815" s="7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60"/>
      <c r="E816" s="7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60"/>
      <c r="E817" s="7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60"/>
      <c r="E818" s="7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60"/>
      <c r="E819" s="7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60"/>
      <c r="E820" s="7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60"/>
      <c r="E821" s="7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60"/>
      <c r="E822" s="7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60"/>
      <c r="E823" s="7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60"/>
      <c r="E824" s="7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60"/>
      <c r="E825" s="7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60"/>
      <c r="E826" s="7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60"/>
      <c r="E827" s="7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60"/>
      <c r="E828" s="7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60"/>
      <c r="E829" s="7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60"/>
      <c r="E830" s="7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60"/>
      <c r="E831" s="7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60"/>
      <c r="E832" s="7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60"/>
      <c r="E833" s="7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60"/>
      <c r="E834" s="7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60"/>
      <c r="E835" s="7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60"/>
      <c r="E836" s="7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60"/>
      <c r="E837" s="7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60"/>
      <c r="E838" s="7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60"/>
      <c r="E839" s="7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60"/>
      <c r="E840" s="7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60"/>
      <c r="E841" s="7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60"/>
      <c r="E842" s="7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60"/>
      <c r="E843" s="7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60"/>
      <c r="E844" s="7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60"/>
      <c r="E845" s="7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60"/>
      <c r="E846" s="7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60"/>
      <c r="E847" s="7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60"/>
      <c r="E848" s="7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60"/>
      <c r="E849" s="7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60"/>
      <c r="E850" s="7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60"/>
      <c r="E851" s="7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60"/>
      <c r="E852" s="7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60"/>
      <c r="E853" s="7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60"/>
      <c r="E854" s="7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60"/>
      <c r="E855" s="7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60"/>
      <c r="E856" s="7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60"/>
      <c r="E857" s="7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60"/>
      <c r="E858" s="7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60"/>
      <c r="E859" s="7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60"/>
      <c r="E860" s="7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60"/>
      <c r="E861" s="7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60"/>
      <c r="E862" s="7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60"/>
      <c r="E863" s="7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60"/>
      <c r="E864" s="7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60"/>
      <c r="E865" s="7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60"/>
      <c r="E866" s="7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60"/>
      <c r="E867" s="7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60"/>
      <c r="E868" s="7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60"/>
      <c r="E869" s="7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60"/>
      <c r="E870" s="7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60"/>
      <c r="E871" s="7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60"/>
      <c r="E872" s="7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60"/>
      <c r="E873" s="7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60"/>
      <c r="E874" s="7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60"/>
      <c r="E875" s="7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60"/>
      <c r="E876" s="7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60"/>
      <c r="E877" s="7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60"/>
      <c r="E878" s="7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60"/>
      <c r="E879" s="7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60"/>
      <c r="E880" s="7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60"/>
      <c r="E881" s="7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60"/>
      <c r="E882" s="7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60"/>
      <c r="E883" s="7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60"/>
      <c r="E884" s="7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60"/>
      <c r="E885" s="7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60"/>
      <c r="E886" s="7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60"/>
      <c r="E887" s="7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60"/>
      <c r="E888" s="7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60"/>
      <c r="E889" s="7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60"/>
      <c r="E890" s="7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60"/>
      <c r="E891" s="7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60"/>
      <c r="E892" s="7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60"/>
      <c r="E893" s="7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60"/>
      <c r="E894" s="7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60"/>
      <c r="E895" s="7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60"/>
      <c r="E896" s="7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60"/>
      <c r="E897" s="7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60"/>
      <c r="E898" s="7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60"/>
      <c r="E899" s="7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60"/>
      <c r="E900" s="7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60"/>
      <c r="E901" s="7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60"/>
      <c r="E902" s="7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60"/>
      <c r="E903" s="7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60"/>
      <c r="E904" s="7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60"/>
      <c r="E905" s="7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60"/>
      <c r="E906" s="7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60"/>
      <c r="E907" s="7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60"/>
      <c r="E908" s="7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60"/>
      <c r="E909" s="7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60"/>
      <c r="E910" s="7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60"/>
      <c r="E911" s="7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60"/>
      <c r="E912" s="7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60"/>
      <c r="E913" s="7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60"/>
      <c r="E914" s="7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60"/>
      <c r="E915" s="7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60"/>
      <c r="E916" s="7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60"/>
      <c r="E917" s="7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60"/>
      <c r="E918" s="7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60"/>
      <c r="E919" s="7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60"/>
      <c r="E920" s="7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60"/>
      <c r="E921" s="7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60"/>
      <c r="E922" s="7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60"/>
      <c r="E923" s="7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60"/>
      <c r="E924" s="7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60"/>
      <c r="E925" s="7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60"/>
      <c r="E926" s="7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60"/>
      <c r="E927" s="7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60"/>
      <c r="E928" s="7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60"/>
      <c r="E929" s="7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60"/>
      <c r="E930" s="7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60"/>
      <c r="E931" s="7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60"/>
      <c r="E932" s="7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60"/>
      <c r="E933" s="7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60"/>
      <c r="E934" s="7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60"/>
      <c r="E935" s="7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60"/>
      <c r="E936" s="7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60"/>
      <c r="E937" s="7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60"/>
      <c r="E938" s="7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60"/>
      <c r="E939" s="7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60"/>
      <c r="E940" s="7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60"/>
      <c r="E941" s="7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60"/>
      <c r="E942" s="7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60"/>
      <c r="E943" s="7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60"/>
      <c r="E944" s="7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60"/>
      <c r="E945" s="7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60"/>
      <c r="E946" s="7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60"/>
      <c r="E947" s="7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60"/>
      <c r="E948" s="7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60"/>
      <c r="E949" s="7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60"/>
      <c r="E950" s="7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60"/>
      <c r="E951" s="71"/>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60"/>
      <c r="E952" s="71"/>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60"/>
      <c r="E953" s="71"/>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60"/>
      <c r="E954" s="71"/>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60"/>
      <c r="E955" s="71"/>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60"/>
      <c r="E956" s="71"/>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60"/>
      <c r="E957" s="71"/>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60"/>
      <c r="E958" s="71"/>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60"/>
      <c r="E959" s="71"/>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60"/>
      <c r="E960" s="71"/>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60"/>
      <c r="E961" s="71"/>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60"/>
      <c r="E962" s="71"/>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60"/>
      <c r="E963" s="71"/>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60"/>
      <c r="E964" s="71"/>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row r="965">
      <c r="A965" s="57"/>
      <c r="B965" s="57"/>
      <c r="C965" s="59"/>
      <c r="D965" s="60"/>
      <c r="E965" s="71"/>
      <c r="F965" s="59"/>
      <c r="G965" s="59"/>
      <c r="H965" s="59"/>
      <c r="I965" s="59"/>
      <c r="J965" s="59"/>
      <c r="K965" s="57"/>
      <c r="L965" s="57"/>
      <c r="M965" s="57"/>
      <c r="N965" s="57"/>
      <c r="O965" s="57"/>
      <c r="P965" s="57"/>
      <c r="Q965" s="57"/>
      <c r="R965" s="57"/>
      <c r="S965" s="57"/>
      <c r="T965" s="57"/>
      <c r="U965" s="57"/>
      <c r="V965" s="57"/>
      <c r="W965" s="57"/>
      <c r="X965" s="57"/>
      <c r="Y965" s="57"/>
      <c r="Z965" s="57"/>
      <c r="AA965" s="57"/>
      <c r="AB965" s="57"/>
    </row>
    <row r="966">
      <c r="A966" s="57"/>
      <c r="B966" s="57"/>
      <c r="C966" s="59"/>
      <c r="D966" s="60"/>
      <c r="E966" s="71"/>
      <c r="F966" s="59"/>
      <c r="G966" s="59"/>
      <c r="H966" s="59"/>
      <c r="I966" s="59"/>
      <c r="J966" s="59"/>
      <c r="K966" s="57"/>
      <c r="L966" s="57"/>
      <c r="M966" s="57"/>
      <c r="N966" s="57"/>
      <c r="O966" s="57"/>
      <c r="P966" s="57"/>
      <c r="Q966" s="57"/>
      <c r="R966" s="57"/>
      <c r="S966" s="57"/>
      <c r="T966" s="57"/>
      <c r="U966" s="57"/>
      <c r="V966" s="57"/>
      <c r="W966" s="57"/>
      <c r="X966" s="57"/>
      <c r="Y966" s="57"/>
      <c r="Z966" s="57"/>
      <c r="AA966" s="57"/>
      <c r="AB966" s="57"/>
    </row>
    <row r="967">
      <c r="A967" s="57"/>
      <c r="B967" s="57"/>
      <c r="C967" s="59"/>
      <c r="D967" s="60"/>
      <c r="E967" s="71"/>
      <c r="F967" s="59"/>
      <c r="G967" s="59"/>
      <c r="H967" s="59"/>
      <c r="I967" s="59"/>
      <c r="J967" s="59"/>
      <c r="K967" s="57"/>
      <c r="L967" s="57"/>
      <c r="M967" s="57"/>
      <c r="N967" s="57"/>
      <c r="O967" s="57"/>
      <c r="P967" s="57"/>
      <c r="Q967" s="57"/>
      <c r="R967" s="57"/>
      <c r="S967" s="57"/>
      <c r="T967" s="57"/>
      <c r="U967" s="57"/>
      <c r="V967" s="57"/>
      <c r="W967" s="57"/>
      <c r="X967" s="57"/>
      <c r="Y967" s="57"/>
      <c r="Z967" s="57"/>
      <c r="AA967" s="57"/>
      <c r="AB967" s="57"/>
    </row>
    <row r="968">
      <c r="A968" s="57"/>
      <c r="B968" s="57"/>
      <c r="C968" s="59"/>
      <c r="D968" s="60"/>
      <c r="E968" s="71"/>
      <c r="F968" s="59"/>
      <c r="G968" s="59"/>
      <c r="H968" s="59"/>
      <c r="I968" s="59"/>
      <c r="J968" s="59"/>
      <c r="K968" s="57"/>
      <c r="L968" s="57"/>
      <c r="M968" s="57"/>
      <c r="N968" s="57"/>
      <c r="O968" s="57"/>
      <c r="P968" s="57"/>
      <c r="Q968" s="57"/>
      <c r="R968" s="57"/>
      <c r="S968" s="57"/>
      <c r="T968" s="57"/>
      <c r="U968" s="57"/>
      <c r="V968" s="57"/>
      <c r="W968" s="57"/>
      <c r="X968" s="57"/>
      <c r="Y968" s="57"/>
      <c r="Z968" s="57"/>
      <c r="AA968" s="57"/>
      <c r="AB968" s="57"/>
    </row>
    <row r="969">
      <c r="A969" s="57"/>
      <c r="B969" s="57"/>
      <c r="C969" s="59"/>
      <c r="D969" s="60"/>
      <c r="E969" s="71"/>
      <c r="F969" s="59"/>
      <c r="G969" s="59"/>
      <c r="H969" s="59"/>
      <c r="I969" s="59"/>
      <c r="J969" s="59"/>
      <c r="K969" s="57"/>
      <c r="L969" s="57"/>
      <c r="M969" s="57"/>
      <c r="N969" s="57"/>
      <c r="O969" s="57"/>
      <c r="P969" s="57"/>
      <c r="Q969" s="57"/>
      <c r="R969" s="57"/>
      <c r="S969" s="57"/>
      <c r="T969" s="57"/>
      <c r="U969" s="57"/>
      <c r="V969" s="57"/>
      <c r="W969" s="57"/>
      <c r="X969" s="57"/>
      <c r="Y969" s="57"/>
      <c r="Z969" s="57"/>
      <c r="AA969" s="57"/>
      <c r="AB969" s="57"/>
    </row>
    <row r="970">
      <c r="A970" s="57"/>
      <c r="B970" s="57"/>
      <c r="C970" s="59"/>
      <c r="D970" s="60"/>
      <c r="E970" s="71"/>
      <c r="F970" s="59"/>
      <c r="G970" s="59"/>
      <c r="H970" s="59"/>
      <c r="I970" s="59"/>
      <c r="J970" s="59"/>
      <c r="K970" s="57"/>
      <c r="L970" s="57"/>
      <c r="M970" s="57"/>
      <c r="N970" s="57"/>
      <c r="O970" s="57"/>
      <c r="P970" s="57"/>
      <c r="Q970" s="57"/>
      <c r="R970" s="57"/>
      <c r="S970" s="57"/>
      <c r="T970" s="57"/>
      <c r="U970" s="57"/>
      <c r="V970" s="57"/>
      <c r="W970" s="57"/>
      <c r="X970" s="57"/>
      <c r="Y970" s="57"/>
      <c r="Z970" s="57"/>
      <c r="AA970" s="57"/>
      <c r="AB970" s="57"/>
    </row>
    <row r="971">
      <c r="A971" s="57"/>
      <c r="B971" s="57"/>
      <c r="C971" s="59"/>
      <c r="D971" s="60"/>
      <c r="E971" s="71"/>
      <c r="F971" s="59"/>
      <c r="G971" s="59"/>
      <c r="H971" s="59"/>
      <c r="I971" s="59"/>
      <c r="J971" s="59"/>
      <c r="K971" s="57"/>
      <c r="L971" s="57"/>
      <c r="M971" s="57"/>
      <c r="N971" s="57"/>
      <c r="O971" s="57"/>
      <c r="P971" s="57"/>
      <c r="Q971" s="57"/>
      <c r="R971" s="57"/>
      <c r="S971" s="57"/>
      <c r="T971" s="57"/>
      <c r="U971" s="57"/>
      <c r="V971" s="57"/>
      <c r="W971" s="57"/>
      <c r="X971" s="57"/>
      <c r="Y971" s="57"/>
      <c r="Z971" s="57"/>
      <c r="AA971" s="57"/>
      <c r="AB971" s="57"/>
    </row>
    <row r="972">
      <c r="A972" s="57"/>
      <c r="B972" s="57"/>
      <c r="C972" s="59"/>
      <c r="D972" s="60"/>
      <c r="E972" s="71"/>
      <c r="F972" s="59"/>
      <c r="G972" s="59"/>
      <c r="H972" s="59"/>
      <c r="I972" s="59"/>
      <c r="J972" s="59"/>
      <c r="K972" s="57"/>
      <c r="L972" s="57"/>
      <c r="M972" s="57"/>
      <c r="N972" s="57"/>
      <c r="O972" s="57"/>
      <c r="P972" s="57"/>
      <c r="Q972" s="57"/>
      <c r="R972" s="57"/>
      <c r="S972" s="57"/>
      <c r="T972" s="57"/>
      <c r="U972" s="57"/>
      <c r="V972" s="57"/>
      <c r="W972" s="57"/>
      <c r="X972" s="57"/>
      <c r="Y972" s="57"/>
      <c r="Z972" s="57"/>
      <c r="AA972" s="57"/>
      <c r="AB972" s="57"/>
    </row>
    <row r="973">
      <c r="A973" s="57"/>
      <c r="B973" s="57"/>
      <c r="C973" s="59"/>
      <c r="D973" s="60"/>
      <c r="E973" s="71"/>
      <c r="F973" s="59"/>
      <c r="G973" s="59"/>
      <c r="H973" s="59"/>
      <c r="I973" s="59"/>
      <c r="J973" s="59"/>
      <c r="K973" s="57"/>
      <c r="L973" s="57"/>
      <c r="M973" s="57"/>
      <c r="N973" s="57"/>
      <c r="O973" s="57"/>
      <c r="P973" s="57"/>
      <c r="Q973" s="57"/>
      <c r="R973" s="57"/>
      <c r="S973" s="57"/>
      <c r="T973" s="57"/>
      <c r="U973" s="57"/>
      <c r="V973" s="57"/>
      <c r="W973" s="57"/>
      <c r="X973" s="57"/>
      <c r="Y973" s="57"/>
      <c r="Z973" s="57"/>
      <c r="AA973" s="57"/>
      <c r="AB973" s="57"/>
    </row>
    <row r="974">
      <c r="A974" s="57"/>
      <c r="B974" s="57"/>
      <c r="C974" s="59"/>
      <c r="D974" s="60"/>
      <c r="E974" s="71"/>
      <c r="F974" s="59"/>
      <c r="G974" s="59"/>
      <c r="H974" s="59"/>
      <c r="I974" s="59"/>
      <c r="J974" s="59"/>
      <c r="K974" s="57"/>
      <c r="L974" s="57"/>
      <c r="M974" s="57"/>
      <c r="N974" s="57"/>
      <c r="O974" s="57"/>
      <c r="P974" s="57"/>
      <c r="Q974" s="57"/>
      <c r="R974" s="57"/>
      <c r="S974" s="57"/>
      <c r="T974" s="57"/>
      <c r="U974" s="57"/>
      <c r="V974" s="57"/>
      <c r="W974" s="57"/>
      <c r="X974" s="57"/>
      <c r="Y974" s="57"/>
      <c r="Z974" s="57"/>
      <c r="AA974" s="57"/>
      <c r="AB974" s="57"/>
    </row>
    <row r="975">
      <c r="A975" s="57"/>
      <c r="B975" s="57"/>
      <c r="C975" s="59"/>
      <c r="D975" s="60"/>
      <c r="E975" s="71"/>
      <c r="F975" s="59"/>
      <c r="G975" s="59"/>
      <c r="H975" s="59"/>
      <c r="I975" s="59"/>
      <c r="J975" s="59"/>
      <c r="K975" s="57"/>
      <c r="L975" s="57"/>
      <c r="M975" s="57"/>
      <c r="N975" s="57"/>
      <c r="O975" s="57"/>
      <c r="P975" s="57"/>
      <c r="Q975" s="57"/>
      <c r="R975" s="57"/>
      <c r="S975" s="57"/>
      <c r="T975" s="57"/>
      <c r="U975" s="57"/>
      <c r="V975" s="57"/>
      <c r="W975" s="57"/>
      <c r="X975" s="57"/>
      <c r="Y975" s="57"/>
      <c r="Z975" s="57"/>
      <c r="AA975" s="57"/>
      <c r="AB975" s="57"/>
    </row>
    <row r="976">
      <c r="A976" s="57"/>
      <c r="B976" s="57"/>
      <c r="C976" s="59"/>
      <c r="D976" s="60"/>
      <c r="E976" s="71"/>
      <c r="F976" s="59"/>
      <c r="G976" s="59"/>
      <c r="H976" s="59"/>
      <c r="I976" s="59"/>
      <c r="J976" s="59"/>
      <c r="K976" s="57"/>
      <c r="L976" s="57"/>
      <c r="M976" s="57"/>
      <c r="N976" s="57"/>
      <c r="O976" s="57"/>
      <c r="P976" s="57"/>
      <c r="Q976" s="57"/>
      <c r="R976" s="57"/>
      <c r="S976" s="57"/>
      <c r="T976" s="57"/>
      <c r="U976" s="57"/>
      <c r="V976" s="57"/>
      <c r="W976" s="57"/>
      <c r="X976" s="57"/>
      <c r="Y976" s="57"/>
      <c r="Z976" s="57"/>
      <c r="AA976" s="57"/>
      <c r="AB976" s="57"/>
    </row>
    <row r="977">
      <c r="A977" s="57"/>
      <c r="B977" s="57"/>
      <c r="C977" s="59"/>
      <c r="D977" s="60"/>
      <c r="E977" s="71"/>
      <c r="F977" s="59"/>
      <c r="G977" s="59"/>
      <c r="H977" s="59"/>
      <c r="I977" s="59"/>
      <c r="J977" s="59"/>
      <c r="K977" s="57"/>
      <c r="L977" s="57"/>
      <c r="M977" s="57"/>
      <c r="N977" s="57"/>
      <c r="O977" s="57"/>
      <c r="P977" s="57"/>
      <c r="Q977" s="57"/>
      <c r="R977" s="57"/>
      <c r="S977" s="57"/>
      <c r="T977" s="57"/>
      <c r="U977" s="57"/>
      <c r="V977" s="57"/>
      <c r="W977" s="57"/>
      <c r="X977" s="57"/>
      <c r="Y977" s="57"/>
      <c r="Z977" s="57"/>
      <c r="AA977" s="57"/>
      <c r="AB977" s="57"/>
    </row>
    <row r="978">
      <c r="A978" s="57"/>
      <c r="B978" s="57"/>
      <c r="C978" s="59"/>
      <c r="D978" s="60"/>
      <c r="E978" s="71"/>
      <c r="F978" s="59"/>
      <c r="G978" s="59"/>
      <c r="H978" s="59"/>
      <c r="I978" s="59"/>
      <c r="J978" s="59"/>
      <c r="K978" s="57"/>
      <c r="L978" s="57"/>
      <c r="M978" s="57"/>
      <c r="N978" s="57"/>
      <c r="O978" s="57"/>
      <c r="P978" s="57"/>
      <c r="Q978" s="57"/>
      <c r="R978" s="57"/>
      <c r="S978" s="57"/>
      <c r="T978" s="57"/>
      <c r="U978" s="57"/>
      <c r="V978" s="57"/>
      <c r="W978" s="57"/>
      <c r="X978" s="57"/>
      <c r="Y978" s="57"/>
      <c r="Z978" s="57"/>
      <c r="AA978" s="57"/>
      <c r="AB978" s="57"/>
    </row>
    <row r="979">
      <c r="A979" s="57"/>
      <c r="B979" s="57"/>
      <c r="C979" s="59"/>
      <c r="D979" s="60"/>
      <c r="E979" s="71"/>
      <c r="F979" s="59"/>
      <c r="G979" s="59"/>
      <c r="H979" s="59"/>
      <c r="I979" s="59"/>
      <c r="J979" s="59"/>
      <c r="K979" s="57"/>
      <c r="L979" s="57"/>
      <c r="M979" s="57"/>
      <c r="N979" s="57"/>
      <c r="O979" s="57"/>
      <c r="P979" s="57"/>
      <c r="Q979" s="57"/>
      <c r="R979" s="57"/>
      <c r="S979" s="57"/>
      <c r="T979" s="57"/>
      <c r="U979" s="57"/>
      <c r="V979" s="57"/>
      <c r="W979" s="57"/>
      <c r="X979" s="57"/>
      <c r="Y979" s="57"/>
      <c r="Z979" s="57"/>
      <c r="AA979" s="57"/>
      <c r="AB979" s="57"/>
    </row>
    <row r="980">
      <c r="A980" s="57"/>
      <c r="B980" s="57"/>
      <c r="C980" s="59"/>
      <c r="D980" s="60"/>
      <c r="E980" s="71"/>
      <c r="F980" s="59"/>
      <c r="G980" s="59"/>
      <c r="H980" s="59"/>
      <c r="I980" s="59"/>
      <c r="J980" s="59"/>
      <c r="K980" s="57"/>
      <c r="L980" s="57"/>
      <c r="M980" s="57"/>
      <c r="N980" s="57"/>
      <c r="O980" s="57"/>
      <c r="P980" s="57"/>
      <c r="Q980" s="57"/>
      <c r="R980" s="57"/>
      <c r="S980" s="57"/>
      <c r="T980" s="57"/>
      <c r="U980" s="57"/>
      <c r="V980" s="57"/>
      <c r="W980" s="57"/>
      <c r="X980" s="57"/>
      <c r="Y980" s="57"/>
      <c r="Z980" s="57"/>
      <c r="AA980" s="57"/>
      <c r="AB980" s="57"/>
    </row>
    <row r="981">
      <c r="A981" s="57"/>
      <c r="B981" s="57"/>
      <c r="C981" s="59"/>
      <c r="D981" s="60"/>
      <c r="E981" s="71"/>
      <c r="F981" s="59"/>
      <c r="G981" s="59"/>
      <c r="H981" s="59"/>
      <c r="I981" s="59"/>
      <c r="J981" s="59"/>
      <c r="K981" s="57"/>
      <c r="L981" s="57"/>
      <c r="M981" s="57"/>
      <c r="N981" s="57"/>
      <c r="O981" s="57"/>
      <c r="P981" s="57"/>
      <c r="Q981" s="57"/>
      <c r="R981" s="57"/>
      <c r="S981" s="57"/>
      <c r="T981" s="57"/>
      <c r="U981" s="57"/>
      <c r="V981" s="57"/>
      <c r="W981" s="57"/>
      <c r="X981" s="57"/>
      <c r="Y981" s="57"/>
      <c r="Z981" s="57"/>
      <c r="AA981" s="57"/>
      <c r="AB981" s="57"/>
    </row>
  </sheetData>
  <mergeCells count="10">
    <mergeCell ref="A11:A12"/>
    <mergeCell ref="A14:A15"/>
    <mergeCell ref="B14:B15"/>
    <mergeCell ref="A2:A3"/>
    <mergeCell ref="B2:B3"/>
    <mergeCell ref="A5:A6"/>
    <mergeCell ref="B5:B6"/>
    <mergeCell ref="A8:A9"/>
    <mergeCell ref="B8:B9"/>
    <mergeCell ref="B11:B12"/>
  </mergeCells>
  <conditionalFormatting sqref="E5:E6 E8:E9 E11:E12 E14:E15">
    <cfRule type="colorScale" priority="1">
      <colorScale>
        <cfvo type="formula" val="0"/>
        <cfvo type="formula" val="0.5"/>
        <cfvo type="formula" val="1"/>
        <color rgb="FFFFFFFF"/>
        <color rgb="FFF3BEB9"/>
        <color rgb="FFE67C73"/>
      </colorScale>
    </cfRule>
  </conditionalFormatting>
  <conditionalFormatting sqref="E2:E981">
    <cfRule type="colorScale" priority="2">
      <colorScale>
        <cfvo type="formula" val="0"/>
        <cfvo type="formula" val="1"/>
        <color rgb="FFFFFFFF"/>
        <color rgb="FFE67C73"/>
      </colorScale>
    </cfRule>
  </conditionalFormatting>
  <dataValidations>
    <dataValidation type="list" allowBlank="1" showErrorMessage="1" sqref="F2:J981">
      <formula1>"1,2,3,4,5"</formula1>
    </dataValidation>
    <dataValidation type="list" allowBlank="1" showErrorMessage="1" sqref="C2:C3 C5:C6 C8:C9 C11:C12 C14:C15">
      <formula1>"Heading,Jeremy,Naiara,Begoña,Alba"</formula1>
    </dataValidation>
  </dataValidations>
  <hyperlinks>
    <hyperlink r:id="rId2" ref="A2"/>
    <hyperlink r:id="rId3" ref="A5"/>
    <hyperlink r:id="rId4" ref="A8"/>
    <hyperlink r:id="rId5" ref="A11"/>
    <hyperlink r:id="rId6" ref="A14"/>
  </hyperlinks>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72"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30</v>
      </c>
      <c r="B2" s="54" t="s">
        <v>31</v>
      </c>
      <c r="C2" s="7" t="s">
        <v>19</v>
      </c>
      <c r="D2" s="73" t="s">
        <v>45</v>
      </c>
      <c r="E2" s="74">
        <f>IFERROR(__xludf.DUMMYFUNCTION("COUNTA(SPLIT(D2,"" ""))/COUNTA(SPLIT($B$2,"" ""))"),1.0566037735849056)</f>
        <v>1.056603774</v>
      </c>
      <c r="F2" s="7">
        <v>2.0</v>
      </c>
      <c r="G2" s="7">
        <v>4.0</v>
      </c>
      <c r="H2" s="7">
        <v>5.0</v>
      </c>
      <c r="I2" s="7">
        <v>3.0</v>
      </c>
      <c r="J2" s="7">
        <v>5.0</v>
      </c>
      <c r="K2" s="57"/>
      <c r="L2" s="57"/>
      <c r="M2" s="57"/>
      <c r="N2" s="57"/>
      <c r="O2" s="57"/>
      <c r="P2" s="57"/>
      <c r="Q2" s="57"/>
      <c r="R2" s="57"/>
      <c r="S2" s="57"/>
      <c r="T2" s="57"/>
      <c r="U2" s="57"/>
      <c r="V2" s="57"/>
      <c r="W2" s="57"/>
      <c r="X2" s="57"/>
      <c r="Y2" s="57"/>
      <c r="Z2" s="57"/>
      <c r="AA2" s="57"/>
      <c r="AB2" s="57"/>
    </row>
    <row r="3" ht="225.0" customHeight="1">
      <c r="C3" s="7" t="s">
        <v>20</v>
      </c>
      <c r="D3" s="73" t="s">
        <v>46</v>
      </c>
      <c r="E3" s="75">
        <f>IFERROR(__xludf.DUMMYFUNCTION("COUNTA(SPLIT(D3,"" ""))/COUNTA(SPLIT($B$2,"" ""))"),0.5377358490566038)</f>
        <v>0.5377358491</v>
      </c>
      <c r="F3" s="7">
        <v>4.0</v>
      </c>
      <c r="G3" s="7">
        <v>4.0</v>
      </c>
      <c r="H3" s="7">
        <v>4.0</v>
      </c>
      <c r="I3" s="7">
        <v>3.0</v>
      </c>
      <c r="J3" s="7">
        <v>5.0</v>
      </c>
      <c r="K3" s="57"/>
      <c r="L3" s="57"/>
      <c r="M3" s="57"/>
      <c r="N3" s="57"/>
      <c r="O3" s="57"/>
      <c r="P3" s="57"/>
      <c r="Q3" s="57"/>
      <c r="R3" s="57"/>
      <c r="S3" s="57"/>
      <c r="T3" s="57"/>
      <c r="U3" s="57"/>
      <c r="V3" s="57"/>
      <c r="W3" s="57"/>
      <c r="X3" s="57"/>
      <c r="Y3" s="57"/>
      <c r="Z3" s="57"/>
      <c r="AA3" s="57"/>
      <c r="AB3" s="57"/>
    </row>
    <row r="4" ht="225.0" customHeight="1">
      <c r="C4" s="7" t="s">
        <v>8</v>
      </c>
      <c r="D4" s="73" t="s">
        <v>47</v>
      </c>
      <c r="E4" s="76">
        <f>IFERROR(__xludf.DUMMYFUNCTION("COUNTA(SPLIT(D4,"" ""))/COUNTA(SPLIT($B$2,"" ""))"),1.2358490566037736)</f>
        <v>1.235849057</v>
      </c>
      <c r="F4" s="7">
        <v>1.0</v>
      </c>
      <c r="G4" s="7">
        <v>4.0</v>
      </c>
      <c r="H4" s="7">
        <v>4.0</v>
      </c>
      <c r="I4" s="7">
        <v>3.0</v>
      </c>
      <c r="J4" s="7">
        <v>5.0</v>
      </c>
      <c r="K4" s="57"/>
      <c r="L4" s="57"/>
      <c r="M4" s="57"/>
      <c r="N4" s="57"/>
      <c r="O4" s="57"/>
      <c r="P4" s="57"/>
      <c r="Q4" s="57"/>
      <c r="R4" s="57"/>
      <c r="S4" s="57"/>
      <c r="T4" s="57"/>
      <c r="U4" s="57"/>
      <c r="V4" s="57"/>
      <c r="W4" s="57"/>
      <c r="X4" s="57"/>
      <c r="Y4" s="57"/>
      <c r="Z4" s="57"/>
      <c r="AA4" s="57"/>
      <c r="AB4" s="57"/>
    </row>
    <row r="5" ht="225.0" customHeight="1">
      <c r="C5" s="7" t="s">
        <v>21</v>
      </c>
      <c r="D5" s="73" t="s">
        <v>48</v>
      </c>
      <c r="E5" s="76">
        <f>IFERROR(__xludf.DUMMYFUNCTION("COUNTA(SPLIT(D5,"" ""))/COUNTA(SPLIT($B$2,"" ""))"),0.5754716981132075)</f>
        <v>0.5754716981</v>
      </c>
      <c r="F5" s="7">
        <v>3.0</v>
      </c>
      <c r="G5" s="7">
        <v>4.0</v>
      </c>
      <c r="H5" s="7">
        <v>4.0</v>
      </c>
      <c r="I5" s="7">
        <v>3.0</v>
      </c>
      <c r="J5" s="7">
        <v>5.0</v>
      </c>
      <c r="K5" s="57"/>
      <c r="L5" s="57"/>
      <c r="M5" s="57"/>
      <c r="N5" s="57"/>
      <c r="O5" s="57"/>
      <c r="P5" s="57"/>
      <c r="Q5" s="57"/>
      <c r="R5" s="57"/>
      <c r="S5" s="57"/>
      <c r="T5" s="57"/>
      <c r="U5" s="57"/>
      <c r="V5" s="57"/>
      <c r="W5" s="57"/>
      <c r="X5" s="57"/>
      <c r="Y5" s="57"/>
      <c r="Z5" s="57"/>
      <c r="AA5" s="57"/>
      <c r="AB5" s="57"/>
    </row>
    <row r="6">
      <c r="A6" s="57"/>
      <c r="B6" s="57"/>
      <c r="C6" s="59"/>
      <c r="D6" s="77"/>
      <c r="E6" s="61"/>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33</v>
      </c>
      <c r="B7" s="63" t="s">
        <v>34</v>
      </c>
      <c r="C7" s="64" t="s">
        <v>19</v>
      </c>
      <c r="D7" s="78" t="s">
        <v>49</v>
      </c>
      <c r="E7" s="79">
        <f>IFERROR(__xludf.DUMMYFUNCTION("COUNTA(SPLIT(D7,"" ""))/COUNTA(SPLIT($B$7,"" ""))"),0.28623853211009176)</f>
        <v>0.2862385321</v>
      </c>
      <c r="F7" s="7">
        <v>2.0</v>
      </c>
      <c r="G7" s="7">
        <v>5.0</v>
      </c>
      <c r="H7" s="7">
        <v>5.0</v>
      </c>
      <c r="I7" s="7">
        <v>2.0</v>
      </c>
      <c r="J7" s="7">
        <v>5.0</v>
      </c>
      <c r="K7" s="67"/>
      <c r="L7" s="67"/>
      <c r="M7" s="67"/>
      <c r="N7" s="67"/>
      <c r="O7" s="67"/>
      <c r="P7" s="67"/>
      <c r="Q7" s="67"/>
      <c r="R7" s="67"/>
      <c r="S7" s="67"/>
      <c r="T7" s="67"/>
      <c r="U7" s="67"/>
      <c r="V7" s="67"/>
      <c r="W7" s="67"/>
      <c r="X7" s="67"/>
      <c r="Y7" s="67"/>
      <c r="Z7" s="67"/>
      <c r="AA7" s="67"/>
      <c r="AB7" s="67"/>
    </row>
    <row r="8" ht="225.0" customHeight="1">
      <c r="C8" s="7" t="s">
        <v>20</v>
      </c>
      <c r="D8" s="73" t="s">
        <v>50</v>
      </c>
      <c r="E8" s="74">
        <f>IFERROR(__xludf.DUMMYFUNCTION("COUNTA(SPLIT(D8,"" ""))/COUNTA(SPLIT($B$7,"" ""))"),0.15412844036697249)</f>
        <v>0.1541284404</v>
      </c>
      <c r="F8" s="7">
        <v>4.0</v>
      </c>
      <c r="G8" s="7">
        <v>5.0</v>
      </c>
      <c r="H8" s="7">
        <v>4.0</v>
      </c>
      <c r="I8" s="7">
        <v>5.0</v>
      </c>
      <c r="J8" s="7">
        <v>4.0</v>
      </c>
      <c r="K8" s="57"/>
      <c r="L8" s="57"/>
      <c r="M8" s="57"/>
      <c r="N8" s="57"/>
      <c r="O8" s="57"/>
      <c r="P8" s="57"/>
      <c r="Q8" s="57"/>
      <c r="R8" s="57"/>
      <c r="S8" s="57"/>
      <c r="T8" s="57"/>
      <c r="U8" s="57"/>
      <c r="V8" s="57"/>
      <c r="W8" s="57"/>
      <c r="X8" s="57"/>
      <c r="Y8" s="57"/>
      <c r="Z8" s="57"/>
      <c r="AA8" s="57"/>
      <c r="AB8" s="57"/>
    </row>
    <row r="9" ht="225.0" customHeight="1">
      <c r="C9" s="7" t="s">
        <v>8</v>
      </c>
      <c r="D9" s="73" t="s">
        <v>51</v>
      </c>
      <c r="E9" s="70">
        <f>IFERROR(__xludf.DUMMYFUNCTION("COUNTA(SPLIT(D9,"" ""))/COUNTA(SPLIT($B$7,"" ""))"),0.27522935779816515)</f>
        <v>0.2752293578</v>
      </c>
      <c r="F9" s="7">
        <v>1.0</v>
      </c>
      <c r="G9" s="7">
        <v>4.0</v>
      </c>
      <c r="H9" s="7">
        <v>5.0</v>
      </c>
      <c r="I9" s="7">
        <v>2.0</v>
      </c>
      <c r="J9" s="7">
        <v>5.0</v>
      </c>
      <c r="K9" s="57"/>
      <c r="L9" s="57"/>
      <c r="M9" s="57"/>
      <c r="N9" s="57"/>
      <c r="O9" s="57"/>
      <c r="P9" s="57"/>
      <c r="Q9" s="57"/>
      <c r="R9" s="57"/>
      <c r="S9" s="57"/>
      <c r="T9" s="57"/>
      <c r="U9" s="57"/>
      <c r="V9" s="57"/>
      <c r="W9" s="57"/>
      <c r="X9" s="57"/>
      <c r="Y9" s="57"/>
      <c r="Z9" s="57"/>
      <c r="AA9" s="57"/>
      <c r="AB9" s="57"/>
    </row>
    <row r="10" ht="225.0" customHeight="1">
      <c r="C10" s="7" t="s">
        <v>21</v>
      </c>
      <c r="D10" s="73" t="s">
        <v>52</v>
      </c>
      <c r="E10" s="80">
        <f>IFERROR(__xludf.DUMMYFUNCTION("COUNTA(SPLIT(D10,"" ""))/COUNTA(SPLIT($B$7,"" ""))"),0.1853211009174312)</f>
        <v>0.1853211009</v>
      </c>
      <c r="F10" s="7">
        <v>3.0</v>
      </c>
      <c r="G10" s="7">
        <v>5.0</v>
      </c>
      <c r="H10" s="7">
        <v>5.0</v>
      </c>
      <c r="I10" s="7">
        <v>4.0</v>
      </c>
      <c r="J10" s="7">
        <v>5.0</v>
      </c>
      <c r="K10" s="57"/>
      <c r="L10" s="57"/>
      <c r="M10" s="57"/>
      <c r="N10" s="57"/>
      <c r="O10" s="57"/>
      <c r="P10" s="57"/>
      <c r="Q10" s="57"/>
      <c r="R10" s="57"/>
      <c r="S10" s="57"/>
      <c r="T10" s="57"/>
      <c r="U10" s="57"/>
      <c r="V10" s="57"/>
      <c r="W10" s="57"/>
      <c r="X10" s="57"/>
      <c r="Y10" s="57"/>
      <c r="Z10" s="57"/>
      <c r="AA10" s="57"/>
      <c r="AB10" s="57"/>
    </row>
    <row r="11">
      <c r="A11" s="57"/>
      <c r="B11" s="57"/>
      <c r="C11" s="59"/>
      <c r="D11" s="77"/>
      <c r="E11" s="61"/>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36</v>
      </c>
      <c r="B12" s="63" t="s">
        <v>37</v>
      </c>
      <c r="C12" s="64" t="s">
        <v>19</v>
      </c>
      <c r="D12" s="78" t="s">
        <v>53</v>
      </c>
      <c r="E12" s="81">
        <f>IFERROR(__xludf.DUMMYFUNCTION("COUNTA(SPLIT(D12,"" ""))/COUNTA(SPLIT($B$12,"" ""))"),0.4127906976744186)</f>
        <v>0.4127906977</v>
      </c>
      <c r="F12" s="7">
        <v>3.0</v>
      </c>
      <c r="G12" s="7">
        <v>5.0</v>
      </c>
      <c r="H12" s="7">
        <v>5.0</v>
      </c>
      <c r="I12" s="7">
        <v>3.0</v>
      </c>
      <c r="J12" s="7">
        <v>5.0</v>
      </c>
      <c r="K12" s="67"/>
      <c r="L12" s="67"/>
      <c r="M12" s="67"/>
      <c r="N12" s="67"/>
      <c r="O12" s="67"/>
      <c r="P12" s="67"/>
      <c r="Q12" s="67"/>
      <c r="R12" s="67"/>
      <c r="S12" s="67"/>
      <c r="T12" s="67"/>
      <c r="U12" s="67"/>
      <c r="V12" s="67"/>
      <c r="W12" s="67"/>
      <c r="X12" s="67"/>
      <c r="Y12" s="67"/>
      <c r="Z12" s="67"/>
      <c r="AA12" s="67"/>
      <c r="AB12" s="67"/>
    </row>
    <row r="13" ht="225.0" customHeight="1">
      <c r="C13" s="7" t="s">
        <v>20</v>
      </c>
      <c r="D13" s="73" t="s">
        <v>54</v>
      </c>
      <c r="E13" s="82">
        <f>IFERROR(__xludf.DUMMYFUNCTION("COUNTA(SPLIT(D13,"" ""))/COUNTA(SPLIT($B$12,"" ""))"),0.19186046511627908)</f>
        <v>0.1918604651</v>
      </c>
      <c r="F13" s="7">
        <v>4.0</v>
      </c>
      <c r="G13" s="7">
        <v>5.0</v>
      </c>
      <c r="H13" s="7">
        <v>5.0</v>
      </c>
      <c r="I13" s="7">
        <v>5.0</v>
      </c>
      <c r="J13" s="7">
        <v>5.0</v>
      </c>
      <c r="K13" s="57"/>
      <c r="L13" s="57"/>
      <c r="M13" s="57"/>
      <c r="N13" s="57"/>
      <c r="O13" s="57"/>
      <c r="P13" s="57"/>
      <c r="Q13" s="57"/>
      <c r="R13" s="57"/>
      <c r="S13" s="57"/>
      <c r="T13" s="57"/>
      <c r="U13" s="57"/>
      <c r="V13" s="57"/>
      <c r="W13" s="57"/>
      <c r="X13" s="57"/>
      <c r="Y13" s="57"/>
      <c r="Z13" s="57"/>
      <c r="AA13" s="57"/>
      <c r="AB13" s="57"/>
    </row>
    <row r="14" ht="225.0" customHeight="1">
      <c r="C14" s="7" t="s">
        <v>8</v>
      </c>
      <c r="D14" s="73" t="s">
        <v>55</v>
      </c>
      <c r="E14" s="83">
        <f>IFERROR(__xludf.DUMMYFUNCTION("COUNTA(SPLIT(D14,"" ""))/COUNTA(SPLIT($B$12,"" ""))"),0.4186046511627907)</f>
        <v>0.4186046512</v>
      </c>
      <c r="F14" s="7">
        <v>3.0</v>
      </c>
      <c r="G14" s="7">
        <v>5.0</v>
      </c>
      <c r="H14" s="7">
        <v>5.0</v>
      </c>
      <c r="I14" s="7">
        <v>3.0</v>
      </c>
      <c r="J14" s="7">
        <v>4.0</v>
      </c>
      <c r="K14" s="57"/>
      <c r="L14" s="57"/>
      <c r="M14" s="57"/>
      <c r="N14" s="57"/>
      <c r="O14" s="57"/>
      <c r="P14" s="57"/>
      <c r="Q14" s="57"/>
      <c r="R14" s="57"/>
      <c r="S14" s="57"/>
      <c r="T14" s="57"/>
      <c r="U14" s="57"/>
      <c r="V14" s="57"/>
      <c r="W14" s="57"/>
      <c r="X14" s="57"/>
      <c r="Y14" s="57"/>
      <c r="Z14" s="57"/>
      <c r="AA14" s="57"/>
      <c r="AB14" s="57"/>
    </row>
    <row r="15" ht="225.0" customHeight="1">
      <c r="C15" s="7" t="s">
        <v>21</v>
      </c>
      <c r="D15" s="73" t="s">
        <v>56</v>
      </c>
      <c r="E15" s="84">
        <f>IFERROR(__xludf.DUMMYFUNCTION("COUNTA(SPLIT(D15,"" ""))/COUNTA(SPLIT($B$12,"" ""))"),0.3023255813953488)</f>
        <v>0.3023255814</v>
      </c>
      <c r="F15" s="7">
        <v>3.0</v>
      </c>
      <c r="G15" s="7">
        <v>5.0</v>
      </c>
      <c r="H15" s="7">
        <v>5.0</v>
      </c>
      <c r="I15" s="7">
        <v>4.0</v>
      </c>
      <c r="J15" s="7">
        <v>5.0</v>
      </c>
      <c r="K15" s="57"/>
      <c r="L15" s="57"/>
      <c r="M15" s="57"/>
      <c r="N15" s="57"/>
      <c r="O15" s="57"/>
      <c r="P15" s="57"/>
      <c r="Q15" s="57"/>
      <c r="R15" s="57"/>
      <c r="S15" s="57"/>
      <c r="T15" s="57"/>
      <c r="U15" s="57"/>
      <c r="V15" s="57"/>
      <c r="W15" s="57"/>
      <c r="X15" s="57"/>
      <c r="Y15" s="57"/>
      <c r="Z15" s="57"/>
      <c r="AA15" s="57"/>
      <c r="AB15" s="57"/>
    </row>
    <row r="16">
      <c r="A16" s="57"/>
      <c r="B16" s="57"/>
      <c r="C16" s="59"/>
      <c r="D16" s="77"/>
      <c r="E16" s="61"/>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39</v>
      </c>
      <c r="B17" s="63" t="s">
        <v>40</v>
      </c>
      <c r="C17" s="64" t="s">
        <v>19</v>
      </c>
      <c r="D17" s="78" t="s">
        <v>57</v>
      </c>
      <c r="E17" s="85">
        <f>IFERROR(__xludf.DUMMYFUNCTION("COUNTA(SPLIT(D17,"" ""))/COUNTA(SPLIT($B$17,"" ""))"),0.6683937823834197)</f>
        <v>0.6683937824</v>
      </c>
      <c r="F17" s="7">
        <v>4.0</v>
      </c>
      <c r="G17" s="7">
        <v>5.0</v>
      </c>
      <c r="H17" s="7">
        <v>5.0</v>
      </c>
      <c r="I17" s="7">
        <v>3.0</v>
      </c>
      <c r="J17" s="7">
        <v>5.0</v>
      </c>
      <c r="K17" s="67"/>
      <c r="L17" s="67"/>
      <c r="M17" s="67"/>
      <c r="N17" s="67"/>
      <c r="O17" s="67"/>
      <c r="P17" s="67"/>
      <c r="Q17" s="67"/>
      <c r="R17" s="67"/>
      <c r="S17" s="67"/>
      <c r="T17" s="67"/>
      <c r="U17" s="67"/>
      <c r="V17" s="67"/>
      <c r="W17" s="67"/>
      <c r="X17" s="67"/>
      <c r="Y17" s="67"/>
      <c r="Z17" s="67"/>
      <c r="AA17" s="67"/>
      <c r="AB17" s="67"/>
    </row>
    <row r="18" ht="225.0" customHeight="1">
      <c r="C18" s="7" t="s">
        <v>20</v>
      </c>
      <c r="D18" s="73" t="s">
        <v>58</v>
      </c>
      <c r="E18" s="80">
        <f>IFERROR(__xludf.DUMMYFUNCTION("COUNTA(SPLIT(D18,"" ""))/COUNTA(SPLIT($B$17,"" ""))"),0.45077720207253885)</f>
        <v>0.4507772021</v>
      </c>
      <c r="F18" s="7">
        <v>4.0</v>
      </c>
      <c r="G18" s="7">
        <v>5.0</v>
      </c>
      <c r="H18" s="7">
        <v>4.0</v>
      </c>
      <c r="I18" s="7">
        <v>4.0</v>
      </c>
      <c r="J18" s="7">
        <v>4.0</v>
      </c>
      <c r="K18" s="57"/>
      <c r="L18" s="57"/>
      <c r="M18" s="57"/>
      <c r="N18" s="57"/>
      <c r="O18" s="57"/>
      <c r="P18" s="57"/>
      <c r="Q18" s="57"/>
      <c r="R18" s="57"/>
      <c r="S18" s="57"/>
      <c r="T18" s="57"/>
      <c r="U18" s="57"/>
      <c r="V18" s="57"/>
      <c r="W18" s="57"/>
      <c r="X18" s="57"/>
      <c r="Y18" s="57"/>
      <c r="Z18" s="57"/>
      <c r="AA18" s="57"/>
      <c r="AB18" s="57"/>
    </row>
    <row r="19" ht="225.0" customHeight="1">
      <c r="C19" s="7" t="s">
        <v>8</v>
      </c>
      <c r="D19" s="73" t="s">
        <v>59</v>
      </c>
      <c r="E19" s="86">
        <f>IFERROR(__xludf.DUMMYFUNCTION("COUNTA(SPLIT(D19,"" ""))/COUNTA(SPLIT($B$17,"" ""))"),0.8601036269430051)</f>
        <v>0.8601036269</v>
      </c>
      <c r="F19" s="7">
        <v>2.0</v>
      </c>
      <c r="G19" s="7">
        <v>5.0</v>
      </c>
      <c r="H19" s="7">
        <v>5.0</v>
      </c>
      <c r="I19" s="7">
        <v>3.0</v>
      </c>
      <c r="J19" s="7">
        <v>4.0</v>
      </c>
      <c r="K19" s="57"/>
      <c r="L19" s="57"/>
      <c r="M19" s="57"/>
      <c r="N19" s="57"/>
      <c r="O19" s="57"/>
      <c r="P19" s="57"/>
      <c r="Q19" s="57"/>
      <c r="R19" s="57"/>
      <c r="S19" s="57"/>
      <c r="T19" s="57"/>
      <c r="U19" s="57"/>
      <c r="V19" s="57"/>
      <c r="W19" s="57"/>
      <c r="X19" s="57"/>
      <c r="Y19" s="57"/>
      <c r="Z19" s="57"/>
      <c r="AA19" s="57"/>
      <c r="AB19" s="57"/>
    </row>
    <row r="20" ht="225.0" customHeight="1">
      <c r="C20" s="7" t="s">
        <v>21</v>
      </c>
      <c r="D20" s="73" t="s">
        <v>60</v>
      </c>
      <c r="E20" s="87">
        <f>IFERROR(__xludf.DUMMYFUNCTION("COUNTA(SPLIT(D20,"" ""))/COUNTA(SPLIT($B$17,"" ""))"),0.47668393782383417)</f>
        <v>0.4766839378</v>
      </c>
      <c r="F20" s="7">
        <v>3.0</v>
      </c>
      <c r="G20" s="7">
        <v>5.0</v>
      </c>
      <c r="H20" s="7">
        <v>5.0</v>
      </c>
      <c r="I20" s="7">
        <v>3.0</v>
      </c>
      <c r="J20" s="7">
        <v>5.0</v>
      </c>
      <c r="K20" s="57"/>
      <c r="L20" s="57"/>
      <c r="M20" s="57"/>
      <c r="N20" s="57"/>
      <c r="O20" s="57"/>
      <c r="P20" s="57"/>
      <c r="Q20" s="57"/>
      <c r="R20" s="57"/>
      <c r="S20" s="57"/>
      <c r="T20" s="57"/>
      <c r="U20" s="57"/>
      <c r="V20" s="57"/>
      <c r="W20" s="57"/>
      <c r="X20" s="57"/>
      <c r="Y20" s="57"/>
      <c r="Z20" s="57"/>
      <c r="AA20" s="57"/>
      <c r="AB20" s="57"/>
    </row>
    <row r="21">
      <c r="A21" s="57"/>
      <c r="B21" s="57"/>
      <c r="C21" s="59"/>
      <c r="D21" s="77"/>
      <c r="E21" s="61"/>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42</v>
      </c>
      <c r="B22" s="63" t="s">
        <v>43</v>
      </c>
      <c r="C22" s="64" t="s">
        <v>19</v>
      </c>
      <c r="D22" s="78" t="s">
        <v>61</v>
      </c>
      <c r="E22" s="88">
        <f>IFERROR(__xludf.DUMMYFUNCTION("COUNTA(SPLIT(D22,"" ""))/COUNTA(SPLIT($B$22,"" ""))"),0.2733446519524618)</f>
        <v>0.273344652</v>
      </c>
      <c r="F22" s="7">
        <v>3.0</v>
      </c>
      <c r="G22" s="7">
        <v>5.0</v>
      </c>
      <c r="H22" s="7">
        <v>5.0</v>
      </c>
      <c r="I22" s="7">
        <v>3.0</v>
      </c>
      <c r="J22" s="7">
        <v>4.0</v>
      </c>
      <c r="K22" s="67"/>
      <c r="L22" s="67"/>
      <c r="M22" s="67"/>
      <c r="N22" s="67"/>
      <c r="O22" s="67"/>
      <c r="P22" s="67"/>
      <c r="Q22" s="67"/>
      <c r="R22" s="67"/>
      <c r="S22" s="67"/>
      <c r="T22" s="67"/>
      <c r="U22" s="67"/>
      <c r="V22" s="67"/>
      <c r="W22" s="67"/>
      <c r="X22" s="67"/>
      <c r="Y22" s="67"/>
      <c r="Z22" s="67"/>
      <c r="AA22" s="67"/>
      <c r="AB22" s="67"/>
    </row>
    <row r="23" ht="225.0" customHeight="1">
      <c r="C23" s="7" t="s">
        <v>20</v>
      </c>
      <c r="D23" s="73" t="s">
        <v>62</v>
      </c>
      <c r="E23" s="82">
        <f>IFERROR(__xludf.DUMMYFUNCTION("COUNTA(SPLIT(D23,"" ""))/COUNTA(SPLIT($B$22,"" ""))"),0.22410865874363328)</f>
        <v>0.2241086587</v>
      </c>
      <c r="F23" s="7">
        <v>4.0</v>
      </c>
      <c r="G23" s="7">
        <v>5.0</v>
      </c>
      <c r="H23" s="7">
        <v>5.0</v>
      </c>
      <c r="I23" s="7">
        <v>3.0</v>
      </c>
      <c r="J23" s="7">
        <v>4.0</v>
      </c>
      <c r="K23" s="57"/>
      <c r="L23" s="57"/>
      <c r="M23" s="57"/>
      <c r="N23" s="57"/>
      <c r="O23" s="57"/>
      <c r="P23" s="57"/>
      <c r="Q23" s="57"/>
      <c r="R23" s="57"/>
      <c r="S23" s="57"/>
      <c r="T23" s="57"/>
      <c r="U23" s="57"/>
      <c r="V23" s="57"/>
      <c r="W23" s="57"/>
      <c r="X23" s="57"/>
      <c r="Y23" s="57"/>
      <c r="Z23" s="57"/>
      <c r="AA23" s="57"/>
      <c r="AB23" s="57"/>
    </row>
    <row r="24" ht="225.0" customHeight="1">
      <c r="C24" s="7" t="s">
        <v>8</v>
      </c>
      <c r="D24" s="73" t="s">
        <v>63</v>
      </c>
      <c r="E24" s="89">
        <f>IFERROR(__xludf.DUMMYFUNCTION("COUNTA(SPLIT(D24,"" ""))/COUNTA(SPLIT($B$22,"" ""))"),0.3157894736842105)</f>
        <v>0.3157894737</v>
      </c>
      <c r="F24" s="7">
        <v>3.0</v>
      </c>
      <c r="G24" s="7">
        <v>5.0</v>
      </c>
      <c r="H24" s="7">
        <v>4.0</v>
      </c>
      <c r="I24" s="7">
        <v>3.0</v>
      </c>
      <c r="J24" s="7">
        <v>5.0</v>
      </c>
      <c r="K24" s="57"/>
      <c r="L24" s="57"/>
      <c r="M24" s="57"/>
      <c r="N24" s="57"/>
      <c r="O24" s="57"/>
      <c r="P24" s="57"/>
      <c r="Q24" s="57"/>
      <c r="R24" s="57"/>
      <c r="S24" s="57"/>
      <c r="T24" s="57"/>
      <c r="U24" s="57"/>
      <c r="V24" s="57"/>
      <c r="W24" s="57"/>
      <c r="X24" s="57"/>
      <c r="Y24" s="57"/>
      <c r="Z24" s="57"/>
      <c r="AA24" s="57"/>
      <c r="AB24" s="57"/>
    </row>
    <row r="25" ht="225.0" customHeight="1">
      <c r="C25" s="7" t="s">
        <v>21</v>
      </c>
      <c r="D25" s="73" t="s">
        <v>64</v>
      </c>
      <c r="E25" s="90">
        <f>IFERROR(__xludf.DUMMYFUNCTION("COUNTA(SPLIT(D25,"" ""))/COUNTA(SPLIT($B$22,"" ""))"),0.22580645161290322)</f>
        <v>0.2258064516</v>
      </c>
      <c r="F25" s="7">
        <v>3.0</v>
      </c>
      <c r="G25" s="7">
        <v>5.0</v>
      </c>
      <c r="H25" s="7">
        <v>5.0</v>
      </c>
      <c r="I25" s="7">
        <v>3.0</v>
      </c>
      <c r="J25" s="7">
        <v>4.0</v>
      </c>
      <c r="K25" s="57"/>
      <c r="L25" s="57"/>
      <c r="M25" s="57"/>
      <c r="N25" s="57"/>
      <c r="O25" s="57"/>
      <c r="P25" s="57"/>
      <c r="Q25" s="57"/>
      <c r="R25" s="57"/>
      <c r="S25" s="57"/>
      <c r="T25" s="57"/>
      <c r="U25" s="57"/>
      <c r="V25" s="57"/>
      <c r="W25" s="57"/>
      <c r="X25" s="57"/>
      <c r="Y25" s="57"/>
      <c r="Z25" s="57"/>
      <c r="AA25" s="57"/>
      <c r="AB25" s="57"/>
    </row>
    <row r="26">
      <c r="A26" s="57"/>
      <c r="B26" s="57"/>
      <c r="C26" s="59"/>
      <c r="D26" s="77"/>
      <c r="E26" s="61"/>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77"/>
      <c r="E27" s="7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77"/>
      <c r="E28" s="7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77"/>
      <c r="E29" s="7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77"/>
      <c r="E30" s="7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77"/>
      <c r="E31" s="7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77"/>
      <c r="E32" s="7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77"/>
      <c r="E33" s="7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77"/>
      <c r="E34" s="7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77"/>
      <c r="E35" s="7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77"/>
      <c r="E36" s="7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77"/>
      <c r="E37" s="7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77"/>
      <c r="E38" s="7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77"/>
      <c r="E39" s="7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77"/>
      <c r="E40" s="7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77"/>
      <c r="E41" s="7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77"/>
      <c r="E42" s="7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77"/>
      <c r="E43" s="7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77"/>
      <c r="E44" s="7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77"/>
      <c r="E45" s="7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77"/>
      <c r="E46" s="7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77"/>
      <c r="E47" s="7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77"/>
      <c r="E48" s="7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77"/>
      <c r="E49" s="7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77"/>
      <c r="E50" s="7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77"/>
      <c r="E51" s="7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77"/>
      <c r="E52" s="7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77"/>
      <c r="E53" s="7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77"/>
      <c r="E54" s="7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77"/>
      <c r="E55" s="7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77"/>
      <c r="E56" s="7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77"/>
      <c r="E57" s="7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77"/>
      <c r="E58" s="7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77"/>
      <c r="E59" s="7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77"/>
      <c r="E60" s="7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77"/>
      <c r="E61" s="7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77"/>
      <c r="E62" s="7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77"/>
      <c r="E63" s="7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77"/>
      <c r="E64" s="7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77"/>
      <c r="E65" s="7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77"/>
      <c r="E66" s="7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77"/>
      <c r="E67" s="7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77"/>
      <c r="E68" s="7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77"/>
      <c r="E69" s="7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77"/>
      <c r="E70" s="7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77"/>
      <c r="E71" s="7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77"/>
      <c r="E72" s="7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77"/>
      <c r="E73" s="7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77"/>
      <c r="E74" s="7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77"/>
      <c r="E75" s="7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77"/>
      <c r="E76" s="7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77"/>
      <c r="E77" s="7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77"/>
      <c r="E78" s="7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77"/>
      <c r="E79" s="7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77"/>
      <c r="E80" s="7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77"/>
      <c r="E81" s="7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77"/>
      <c r="E82" s="7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77"/>
      <c r="E83" s="7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77"/>
      <c r="E84" s="7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77"/>
      <c r="E85" s="7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77"/>
      <c r="E86" s="7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77"/>
      <c r="E87" s="7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77"/>
      <c r="E88" s="7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77"/>
      <c r="E89" s="7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77"/>
      <c r="E90" s="7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77"/>
      <c r="E91" s="7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77"/>
      <c r="E92" s="7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77"/>
      <c r="E93" s="7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77"/>
      <c r="E94" s="7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77"/>
      <c r="E95" s="7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77"/>
      <c r="E96" s="7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77"/>
      <c r="E97" s="7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77"/>
      <c r="E98" s="7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77"/>
      <c r="E99" s="7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77"/>
      <c r="E100" s="7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77"/>
      <c r="E101" s="7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77"/>
      <c r="E102" s="7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77"/>
      <c r="E103" s="7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77"/>
      <c r="E104" s="7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77"/>
      <c r="E105" s="7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77"/>
      <c r="E106" s="7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77"/>
      <c r="E107" s="7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77"/>
      <c r="E108" s="7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77"/>
      <c r="E109" s="7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77"/>
      <c r="E110" s="7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77"/>
      <c r="E111" s="7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77"/>
      <c r="E112" s="7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77"/>
      <c r="E113" s="7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77"/>
      <c r="E114" s="7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77"/>
      <c r="E115" s="7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77"/>
      <c r="E116" s="7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77"/>
      <c r="E117" s="7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77"/>
      <c r="E118" s="7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77"/>
      <c r="E119" s="7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77"/>
      <c r="E120" s="7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77"/>
      <c r="E121" s="7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77"/>
      <c r="E122" s="7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77"/>
      <c r="E123" s="7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77"/>
      <c r="E124" s="7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77"/>
      <c r="E125" s="7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77"/>
      <c r="E126" s="7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77"/>
      <c r="E127" s="7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77"/>
      <c r="E128" s="7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77"/>
      <c r="E129" s="7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77"/>
      <c r="E130" s="7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77"/>
      <c r="E131" s="7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77"/>
      <c r="E132" s="7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77"/>
      <c r="E133" s="7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77"/>
      <c r="E134" s="7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77"/>
      <c r="E135" s="7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77"/>
      <c r="E136" s="7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77"/>
      <c r="E137" s="7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77"/>
      <c r="E138" s="7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77"/>
      <c r="E139" s="7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77"/>
      <c r="E140" s="7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77"/>
      <c r="E141" s="7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77"/>
      <c r="E142" s="7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77"/>
      <c r="E143" s="7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77"/>
      <c r="E144" s="7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77"/>
      <c r="E145" s="7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77"/>
      <c r="E146" s="7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77"/>
      <c r="E147" s="7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77"/>
      <c r="E148" s="7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77"/>
      <c r="E149" s="7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77"/>
      <c r="E150" s="7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77"/>
      <c r="E151" s="7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77"/>
      <c r="E152" s="7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77"/>
      <c r="E153" s="7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77"/>
      <c r="E154" s="7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77"/>
      <c r="E155" s="7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77"/>
      <c r="E156" s="7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77"/>
      <c r="E157" s="7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77"/>
      <c r="E158" s="7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77"/>
      <c r="E159" s="7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77"/>
      <c r="E160" s="7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77"/>
      <c r="E161" s="7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77"/>
      <c r="E162" s="7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77"/>
      <c r="E163" s="7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77"/>
      <c r="E164" s="7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77"/>
      <c r="E165" s="7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77"/>
      <c r="E166" s="7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77"/>
      <c r="E167" s="7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77"/>
      <c r="E168" s="7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77"/>
      <c r="E169" s="7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77"/>
      <c r="E170" s="7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77"/>
      <c r="E171" s="7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77"/>
      <c r="E172" s="7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77"/>
      <c r="E173" s="7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77"/>
      <c r="E174" s="7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77"/>
      <c r="E175" s="7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77"/>
      <c r="E176" s="7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77"/>
      <c r="E177" s="7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77"/>
      <c r="E178" s="7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77"/>
      <c r="E179" s="7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77"/>
      <c r="E180" s="7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77"/>
      <c r="E181" s="7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77"/>
      <c r="E182" s="7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77"/>
      <c r="E183" s="7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77"/>
      <c r="E184" s="7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77"/>
      <c r="E185" s="7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77"/>
      <c r="E186" s="7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77"/>
      <c r="E187" s="7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77"/>
      <c r="E188" s="7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77"/>
      <c r="E189" s="7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77"/>
      <c r="E190" s="7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77"/>
      <c r="E191" s="7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77"/>
      <c r="E192" s="7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77"/>
      <c r="E193" s="7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77"/>
      <c r="E194" s="7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77"/>
      <c r="E195" s="7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77"/>
      <c r="E196" s="7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77"/>
      <c r="E197" s="7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77"/>
      <c r="E198" s="7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77"/>
      <c r="E199" s="7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77"/>
      <c r="E200" s="7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77"/>
      <c r="E201" s="7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77"/>
      <c r="E202" s="7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77"/>
      <c r="E203" s="7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77"/>
      <c r="E204" s="7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77"/>
      <c r="E205" s="7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77"/>
      <c r="E206" s="7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77"/>
      <c r="E207" s="7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77"/>
      <c r="E208" s="7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77"/>
      <c r="E209" s="7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77"/>
      <c r="E210" s="7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77"/>
      <c r="E211" s="7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77"/>
      <c r="E212" s="7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77"/>
      <c r="E213" s="7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77"/>
      <c r="E214" s="7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77"/>
      <c r="E215" s="7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77"/>
      <c r="E216" s="7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77"/>
      <c r="E217" s="7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77"/>
      <c r="E218" s="7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77"/>
      <c r="E219" s="7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77"/>
      <c r="E220" s="7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77"/>
      <c r="E221" s="7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77"/>
      <c r="E222" s="7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77"/>
      <c r="E223" s="7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77"/>
      <c r="E224" s="7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77"/>
      <c r="E225" s="7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77"/>
      <c r="E226" s="7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77"/>
      <c r="E227" s="7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77"/>
      <c r="E228" s="7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77"/>
      <c r="E229" s="7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77"/>
      <c r="E230" s="7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77"/>
      <c r="E231" s="7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77"/>
      <c r="E232" s="7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77"/>
      <c r="E233" s="7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77"/>
      <c r="E234" s="7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77"/>
      <c r="E235" s="7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77"/>
      <c r="E236" s="7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77"/>
      <c r="E237" s="7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77"/>
      <c r="E238" s="7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77"/>
      <c r="E239" s="7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77"/>
      <c r="E240" s="7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77"/>
      <c r="E241" s="7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77"/>
      <c r="E242" s="7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77"/>
      <c r="E243" s="7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77"/>
      <c r="E244" s="7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77"/>
      <c r="E245" s="7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77"/>
      <c r="E246" s="7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77"/>
      <c r="E247" s="7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77"/>
      <c r="E248" s="7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77"/>
      <c r="E249" s="7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77"/>
      <c r="E250" s="7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77"/>
      <c r="E251" s="7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77"/>
      <c r="E252" s="7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77"/>
      <c r="E253" s="7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77"/>
      <c r="E254" s="7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77"/>
      <c r="E255" s="7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77"/>
      <c r="E256" s="7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77"/>
      <c r="E257" s="7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77"/>
      <c r="E258" s="7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77"/>
      <c r="E259" s="7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77"/>
      <c r="E260" s="7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77"/>
      <c r="E261" s="7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77"/>
      <c r="E262" s="7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77"/>
      <c r="E263" s="7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77"/>
      <c r="E264" s="7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77"/>
      <c r="E265" s="7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77"/>
      <c r="E266" s="7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77"/>
      <c r="E267" s="7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77"/>
      <c r="E268" s="7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77"/>
      <c r="E269" s="7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77"/>
      <c r="E270" s="7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77"/>
      <c r="E271" s="7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77"/>
      <c r="E272" s="7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77"/>
      <c r="E273" s="7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77"/>
      <c r="E274" s="7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77"/>
      <c r="E275" s="7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77"/>
      <c r="E276" s="7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77"/>
      <c r="E277" s="7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77"/>
      <c r="E278" s="7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77"/>
      <c r="E279" s="7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77"/>
      <c r="E280" s="7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77"/>
      <c r="E281" s="7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77"/>
      <c r="E282" s="7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77"/>
      <c r="E283" s="7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77"/>
      <c r="E284" s="7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77"/>
      <c r="E285" s="7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77"/>
      <c r="E286" s="7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77"/>
      <c r="E287" s="7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77"/>
      <c r="E288" s="7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77"/>
      <c r="E289" s="7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77"/>
      <c r="E290" s="7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77"/>
      <c r="E291" s="7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77"/>
      <c r="E292" s="7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77"/>
      <c r="E293" s="7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77"/>
      <c r="E294" s="7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77"/>
      <c r="E295" s="7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77"/>
      <c r="E296" s="7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77"/>
      <c r="E297" s="7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77"/>
      <c r="E298" s="7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77"/>
      <c r="E299" s="7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77"/>
      <c r="E300" s="7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77"/>
      <c r="E301" s="7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77"/>
      <c r="E302" s="7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77"/>
      <c r="E303" s="7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77"/>
      <c r="E304" s="7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77"/>
      <c r="E305" s="7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77"/>
      <c r="E306" s="7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77"/>
      <c r="E307" s="7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77"/>
      <c r="E308" s="7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77"/>
      <c r="E309" s="7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77"/>
      <c r="E310" s="7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77"/>
      <c r="E311" s="7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77"/>
      <c r="E312" s="7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77"/>
      <c r="E313" s="7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77"/>
      <c r="E314" s="7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77"/>
      <c r="E315" s="7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77"/>
      <c r="E316" s="7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77"/>
      <c r="E317" s="7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77"/>
      <c r="E318" s="7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77"/>
      <c r="E319" s="7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77"/>
      <c r="E320" s="7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77"/>
      <c r="E321" s="7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77"/>
      <c r="E322" s="7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77"/>
      <c r="E323" s="7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77"/>
      <c r="E324" s="7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77"/>
      <c r="E325" s="7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77"/>
      <c r="E326" s="7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77"/>
      <c r="E327" s="7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77"/>
      <c r="E328" s="7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77"/>
      <c r="E329" s="7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77"/>
      <c r="E330" s="7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77"/>
      <c r="E331" s="7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77"/>
      <c r="E332" s="7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77"/>
      <c r="E333" s="7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77"/>
      <c r="E334" s="7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77"/>
      <c r="E335" s="7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77"/>
      <c r="E336" s="7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77"/>
      <c r="E337" s="7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77"/>
      <c r="E338" s="7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77"/>
      <c r="E339" s="7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77"/>
      <c r="E340" s="7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77"/>
      <c r="E341" s="7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77"/>
      <c r="E342" s="7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77"/>
      <c r="E343" s="7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77"/>
      <c r="E344" s="7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77"/>
      <c r="E345" s="7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77"/>
      <c r="E346" s="7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77"/>
      <c r="E347" s="7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77"/>
      <c r="E348" s="7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77"/>
      <c r="E349" s="7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77"/>
      <c r="E350" s="7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77"/>
      <c r="E351" s="7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77"/>
      <c r="E352" s="7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77"/>
      <c r="E353" s="7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77"/>
      <c r="E354" s="7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77"/>
      <c r="E355" s="7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77"/>
      <c r="E356" s="7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77"/>
      <c r="E357" s="7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77"/>
      <c r="E358" s="7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77"/>
      <c r="E359" s="7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77"/>
      <c r="E360" s="7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77"/>
      <c r="E361" s="7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77"/>
      <c r="E362" s="7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77"/>
      <c r="E363" s="7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77"/>
      <c r="E364" s="7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77"/>
      <c r="E365" s="7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77"/>
      <c r="E366" s="7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77"/>
      <c r="E367" s="7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77"/>
      <c r="E368" s="7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77"/>
      <c r="E369" s="7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77"/>
      <c r="E370" s="7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77"/>
      <c r="E371" s="7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77"/>
      <c r="E372" s="7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77"/>
      <c r="E373" s="7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77"/>
      <c r="E374" s="7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77"/>
      <c r="E375" s="7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77"/>
      <c r="E376" s="7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77"/>
      <c r="E377" s="7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77"/>
      <c r="E378" s="7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77"/>
      <c r="E379" s="7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77"/>
      <c r="E380" s="7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77"/>
      <c r="E381" s="7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77"/>
      <c r="E382" s="7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77"/>
      <c r="E383" s="7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77"/>
      <c r="E384" s="7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77"/>
      <c r="E385" s="7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77"/>
      <c r="E386" s="7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77"/>
      <c r="E387" s="7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77"/>
      <c r="E388" s="7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77"/>
      <c r="E389" s="7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77"/>
      <c r="E390" s="7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77"/>
      <c r="E391" s="7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77"/>
      <c r="E392" s="7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77"/>
      <c r="E393" s="7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77"/>
      <c r="E394" s="7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77"/>
      <c r="E395" s="7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77"/>
      <c r="E396" s="7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77"/>
      <c r="E397" s="7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77"/>
      <c r="E398" s="7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77"/>
      <c r="E399" s="7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77"/>
      <c r="E400" s="7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77"/>
      <c r="E401" s="7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77"/>
      <c r="E402" s="7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77"/>
      <c r="E403" s="7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77"/>
      <c r="E404" s="7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77"/>
      <c r="E405" s="7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77"/>
      <c r="E406" s="7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77"/>
      <c r="E407" s="7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77"/>
      <c r="E408" s="7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77"/>
      <c r="E409" s="7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77"/>
      <c r="E410" s="7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77"/>
      <c r="E411" s="7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77"/>
      <c r="E412" s="7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77"/>
      <c r="E413" s="7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77"/>
      <c r="E414" s="7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77"/>
      <c r="E415" s="7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77"/>
      <c r="E416" s="7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77"/>
      <c r="E417" s="7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77"/>
      <c r="E418" s="7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77"/>
      <c r="E419" s="7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77"/>
      <c r="E420" s="7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77"/>
      <c r="E421" s="7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77"/>
      <c r="E422" s="7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77"/>
      <c r="E423" s="7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77"/>
      <c r="E424" s="7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77"/>
      <c r="E425" s="7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77"/>
      <c r="E426" s="7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77"/>
      <c r="E427" s="7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77"/>
      <c r="E428" s="7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77"/>
      <c r="E429" s="7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77"/>
      <c r="E430" s="7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77"/>
      <c r="E431" s="7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77"/>
      <c r="E432" s="7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77"/>
      <c r="E433" s="7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77"/>
      <c r="E434" s="7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77"/>
      <c r="E435" s="7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77"/>
      <c r="E436" s="7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77"/>
      <c r="E437" s="7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77"/>
      <c r="E438" s="7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77"/>
      <c r="E439" s="7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77"/>
      <c r="E440" s="7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77"/>
      <c r="E441" s="7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77"/>
      <c r="E442" s="7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77"/>
      <c r="E443" s="7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77"/>
      <c r="E444" s="7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77"/>
      <c r="E445" s="7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77"/>
      <c r="E446" s="7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77"/>
      <c r="E447" s="7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77"/>
      <c r="E448" s="7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77"/>
      <c r="E449" s="7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77"/>
      <c r="E450" s="7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77"/>
      <c r="E451" s="7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77"/>
      <c r="E452" s="7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77"/>
      <c r="E453" s="7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77"/>
      <c r="E454" s="7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77"/>
      <c r="E455" s="7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77"/>
      <c r="E456" s="7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77"/>
      <c r="E457" s="7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77"/>
      <c r="E458" s="7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77"/>
      <c r="E459" s="7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77"/>
      <c r="E460" s="7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77"/>
      <c r="E461" s="7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77"/>
      <c r="E462" s="7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77"/>
      <c r="E463" s="7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77"/>
      <c r="E464" s="7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77"/>
      <c r="E465" s="7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77"/>
      <c r="E466" s="7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77"/>
      <c r="E467" s="7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77"/>
      <c r="E468" s="7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77"/>
      <c r="E469" s="7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77"/>
      <c r="E470" s="7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77"/>
      <c r="E471" s="7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77"/>
      <c r="E472" s="7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77"/>
      <c r="E473" s="7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77"/>
      <c r="E474" s="7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77"/>
      <c r="E475" s="7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77"/>
      <c r="E476" s="7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77"/>
      <c r="E477" s="7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77"/>
      <c r="E478" s="7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77"/>
      <c r="E479" s="7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77"/>
      <c r="E480" s="7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77"/>
      <c r="E481" s="7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77"/>
      <c r="E482" s="7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77"/>
      <c r="E483" s="7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77"/>
      <c r="E484" s="7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77"/>
      <c r="E485" s="7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77"/>
      <c r="E486" s="7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77"/>
      <c r="E487" s="7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77"/>
      <c r="E488" s="7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77"/>
      <c r="E489" s="7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77"/>
      <c r="E490" s="7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77"/>
      <c r="E491" s="7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77"/>
      <c r="E492" s="7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77"/>
      <c r="E493" s="7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77"/>
      <c r="E494" s="7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77"/>
      <c r="E495" s="7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77"/>
      <c r="E496" s="7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77"/>
      <c r="E497" s="7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77"/>
      <c r="E498" s="7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77"/>
      <c r="E499" s="7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77"/>
      <c r="E500" s="7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77"/>
      <c r="E501" s="7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77"/>
      <c r="E502" s="7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77"/>
      <c r="E503" s="7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77"/>
      <c r="E504" s="7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77"/>
      <c r="E505" s="7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77"/>
      <c r="E506" s="7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77"/>
      <c r="E507" s="7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77"/>
      <c r="E508" s="7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77"/>
      <c r="E509" s="7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77"/>
      <c r="E510" s="7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77"/>
      <c r="E511" s="7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77"/>
      <c r="E512" s="7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77"/>
      <c r="E513" s="7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77"/>
      <c r="E514" s="7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77"/>
      <c r="E515" s="7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77"/>
      <c r="E516" s="7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77"/>
      <c r="E517" s="7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77"/>
      <c r="E518" s="7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77"/>
      <c r="E519" s="7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77"/>
      <c r="E520" s="7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77"/>
      <c r="E521" s="7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77"/>
      <c r="E522" s="7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77"/>
      <c r="E523" s="7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77"/>
      <c r="E524" s="7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77"/>
      <c r="E525" s="7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77"/>
      <c r="E526" s="7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77"/>
      <c r="E527" s="7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77"/>
      <c r="E528" s="7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77"/>
      <c r="E529" s="7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77"/>
      <c r="E530" s="7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77"/>
      <c r="E531" s="7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77"/>
      <c r="E532" s="7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77"/>
      <c r="E533" s="7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77"/>
      <c r="E534" s="7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77"/>
      <c r="E535" s="7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77"/>
      <c r="E536" s="7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77"/>
      <c r="E537" s="7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77"/>
      <c r="E538" s="7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77"/>
      <c r="E539" s="7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77"/>
      <c r="E540" s="7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77"/>
      <c r="E541" s="7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77"/>
      <c r="E542" s="7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77"/>
      <c r="E543" s="7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77"/>
      <c r="E544" s="7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77"/>
      <c r="E545" s="7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77"/>
      <c r="E546" s="7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77"/>
      <c r="E547" s="7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77"/>
      <c r="E548" s="7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77"/>
      <c r="E549" s="7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77"/>
      <c r="E550" s="7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77"/>
      <c r="E551" s="7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77"/>
      <c r="E552" s="7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77"/>
      <c r="E553" s="7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77"/>
      <c r="E554" s="7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77"/>
      <c r="E555" s="7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77"/>
      <c r="E556" s="7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77"/>
      <c r="E557" s="7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77"/>
      <c r="E558" s="7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77"/>
      <c r="E559" s="7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77"/>
      <c r="E560" s="7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77"/>
      <c r="E561" s="7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77"/>
      <c r="E562" s="7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77"/>
      <c r="E563" s="7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77"/>
      <c r="E564" s="7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77"/>
      <c r="E565" s="7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77"/>
      <c r="E566" s="7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77"/>
      <c r="E567" s="7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77"/>
      <c r="E568" s="7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77"/>
      <c r="E569" s="7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77"/>
      <c r="E570" s="7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77"/>
      <c r="E571" s="7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77"/>
      <c r="E572" s="7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77"/>
      <c r="E573" s="7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77"/>
      <c r="E574" s="7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77"/>
      <c r="E575" s="7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77"/>
      <c r="E576" s="7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77"/>
      <c r="E577" s="7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77"/>
      <c r="E578" s="7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77"/>
      <c r="E579" s="7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77"/>
      <c r="E580" s="7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77"/>
      <c r="E581" s="7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77"/>
      <c r="E582" s="7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77"/>
      <c r="E583" s="7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77"/>
      <c r="E584" s="7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77"/>
      <c r="E585" s="7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77"/>
      <c r="E586" s="7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77"/>
      <c r="E587" s="7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77"/>
      <c r="E588" s="7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77"/>
      <c r="E589" s="7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77"/>
      <c r="E590" s="7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77"/>
      <c r="E591" s="7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77"/>
      <c r="E592" s="7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77"/>
      <c r="E593" s="7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77"/>
      <c r="E594" s="7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77"/>
      <c r="E595" s="7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77"/>
      <c r="E596" s="7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77"/>
      <c r="E597" s="7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77"/>
      <c r="E598" s="7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77"/>
      <c r="E599" s="7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77"/>
      <c r="E600" s="7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77"/>
      <c r="E601" s="7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77"/>
      <c r="E602" s="7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77"/>
      <c r="E603" s="7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77"/>
      <c r="E604" s="7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77"/>
      <c r="E605" s="7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77"/>
      <c r="E606" s="7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77"/>
      <c r="E607" s="7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77"/>
      <c r="E608" s="7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77"/>
      <c r="E609" s="7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77"/>
      <c r="E610" s="7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77"/>
      <c r="E611" s="7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77"/>
      <c r="E612" s="7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77"/>
      <c r="E613" s="7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77"/>
      <c r="E614" s="7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77"/>
      <c r="E615" s="7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77"/>
      <c r="E616" s="7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77"/>
      <c r="E617" s="7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77"/>
      <c r="E618" s="7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77"/>
      <c r="E619" s="7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77"/>
      <c r="E620" s="7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77"/>
      <c r="E621" s="7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77"/>
      <c r="E622" s="7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77"/>
      <c r="E623" s="7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77"/>
      <c r="E624" s="7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77"/>
      <c r="E625" s="7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77"/>
      <c r="E626" s="7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77"/>
      <c r="E627" s="7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77"/>
      <c r="E628" s="7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77"/>
      <c r="E629" s="7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77"/>
      <c r="E630" s="7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77"/>
      <c r="E631" s="7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77"/>
      <c r="E632" s="7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77"/>
      <c r="E633" s="7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77"/>
      <c r="E634" s="7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77"/>
      <c r="E635" s="7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77"/>
      <c r="E636" s="7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77"/>
      <c r="E637" s="7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77"/>
      <c r="E638" s="7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77"/>
      <c r="E639" s="7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77"/>
      <c r="E640" s="7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77"/>
      <c r="E641" s="7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77"/>
      <c r="E642" s="7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77"/>
      <c r="E643" s="7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77"/>
      <c r="E644" s="7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77"/>
      <c r="E645" s="7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77"/>
      <c r="E646" s="7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77"/>
      <c r="E647" s="7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77"/>
      <c r="E648" s="7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77"/>
      <c r="E649" s="7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77"/>
      <c r="E650" s="7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77"/>
      <c r="E651" s="7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77"/>
      <c r="E652" s="7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77"/>
      <c r="E653" s="7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77"/>
      <c r="E654" s="7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77"/>
      <c r="E655" s="7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77"/>
      <c r="E656" s="7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77"/>
      <c r="E657" s="7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77"/>
      <c r="E658" s="7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77"/>
      <c r="E659" s="7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77"/>
      <c r="E660" s="7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77"/>
      <c r="E661" s="7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77"/>
      <c r="E662" s="7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77"/>
      <c r="E663" s="7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77"/>
      <c r="E664" s="7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77"/>
      <c r="E665" s="7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77"/>
      <c r="E666" s="7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77"/>
      <c r="E667" s="7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77"/>
      <c r="E668" s="7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77"/>
      <c r="E669" s="7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77"/>
      <c r="E670" s="7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77"/>
      <c r="E671" s="7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77"/>
      <c r="E672" s="7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77"/>
      <c r="E673" s="7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77"/>
      <c r="E674" s="7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77"/>
      <c r="E675" s="7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77"/>
      <c r="E676" s="7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77"/>
      <c r="E677" s="7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77"/>
      <c r="E678" s="7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77"/>
      <c r="E679" s="7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77"/>
      <c r="E680" s="7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77"/>
      <c r="E681" s="7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77"/>
      <c r="E682" s="7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77"/>
      <c r="E683" s="7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77"/>
      <c r="E684" s="7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77"/>
      <c r="E685" s="7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77"/>
      <c r="E686" s="7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77"/>
      <c r="E687" s="7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77"/>
      <c r="E688" s="7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77"/>
      <c r="E689" s="7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77"/>
      <c r="E690" s="7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77"/>
      <c r="E691" s="7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77"/>
      <c r="E692" s="7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77"/>
      <c r="E693" s="7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77"/>
      <c r="E694" s="7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77"/>
      <c r="E695" s="7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77"/>
      <c r="E696" s="7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77"/>
      <c r="E697" s="7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77"/>
      <c r="E698" s="7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77"/>
      <c r="E699" s="7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77"/>
      <c r="E700" s="7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77"/>
      <c r="E701" s="7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77"/>
      <c r="E702" s="7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77"/>
      <c r="E703" s="7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77"/>
      <c r="E704" s="7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77"/>
      <c r="E705" s="7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77"/>
      <c r="E706" s="7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77"/>
      <c r="E707" s="7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77"/>
      <c r="E708" s="7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77"/>
      <c r="E709" s="7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77"/>
      <c r="E710" s="7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77"/>
      <c r="E711" s="7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77"/>
      <c r="E712" s="7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77"/>
      <c r="E713" s="7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77"/>
      <c r="E714" s="7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77"/>
      <c r="E715" s="7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77"/>
      <c r="E716" s="7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77"/>
      <c r="E717" s="7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77"/>
      <c r="E718" s="7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77"/>
      <c r="E719" s="7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77"/>
      <c r="E720" s="7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77"/>
      <c r="E721" s="7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77"/>
      <c r="E722" s="7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77"/>
      <c r="E723" s="7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77"/>
      <c r="E724" s="7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77"/>
      <c r="E725" s="7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77"/>
      <c r="E726" s="7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77"/>
      <c r="E727" s="7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77"/>
      <c r="E728" s="7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77"/>
      <c r="E729" s="7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77"/>
      <c r="E730" s="7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77"/>
      <c r="E731" s="7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77"/>
      <c r="E732" s="7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77"/>
      <c r="E733" s="7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77"/>
      <c r="E734" s="7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77"/>
      <c r="E735" s="7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77"/>
      <c r="E736" s="7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77"/>
      <c r="E737" s="7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77"/>
      <c r="E738" s="7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77"/>
      <c r="E739" s="7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77"/>
      <c r="E740" s="7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77"/>
      <c r="E741" s="7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77"/>
      <c r="E742" s="7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77"/>
      <c r="E743" s="7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77"/>
      <c r="E744" s="7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77"/>
      <c r="E745" s="7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77"/>
      <c r="E746" s="7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77"/>
      <c r="E747" s="7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77"/>
      <c r="E748" s="7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77"/>
      <c r="E749" s="7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77"/>
      <c r="E750" s="7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77"/>
      <c r="E751" s="7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77"/>
      <c r="E752" s="7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77"/>
      <c r="E753" s="7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77"/>
      <c r="E754" s="7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77"/>
      <c r="E755" s="7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77"/>
      <c r="E756" s="7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77"/>
      <c r="E757" s="7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77"/>
      <c r="E758" s="7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77"/>
      <c r="E759" s="7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77"/>
      <c r="E760" s="7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77"/>
      <c r="E761" s="7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77"/>
      <c r="E762" s="7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77"/>
      <c r="E763" s="7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77"/>
      <c r="E764" s="7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77"/>
      <c r="E765" s="7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77"/>
      <c r="E766" s="7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77"/>
      <c r="E767" s="7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77"/>
      <c r="E768" s="7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77"/>
      <c r="E769" s="7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77"/>
      <c r="E770" s="7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77"/>
      <c r="E771" s="7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77"/>
      <c r="E772" s="7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77"/>
      <c r="E773" s="7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77"/>
      <c r="E774" s="7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77"/>
      <c r="E775" s="7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77"/>
      <c r="E776" s="7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77"/>
      <c r="E777" s="7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77"/>
      <c r="E778" s="7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77"/>
      <c r="E779" s="7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77"/>
      <c r="E780" s="7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77"/>
      <c r="E781" s="7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77"/>
      <c r="E782" s="7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77"/>
      <c r="E783" s="7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77"/>
      <c r="E784" s="7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77"/>
      <c r="E785" s="7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77"/>
      <c r="E786" s="7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77"/>
      <c r="E787" s="7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77"/>
      <c r="E788" s="7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77"/>
      <c r="E789" s="7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77"/>
      <c r="E790" s="7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77"/>
      <c r="E791" s="7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77"/>
      <c r="E792" s="7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77"/>
      <c r="E793" s="7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77"/>
      <c r="E794" s="7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77"/>
      <c r="E795" s="7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77"/>
      <c r="E796" s="7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77"/>
      <c r="E797" s="7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77"/>
      <c r="E798" s="7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77"/>
      <c r="E799" s="7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77"/>
      <c r="E800" s="7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77"/>
      <c r="E801" s="7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77"/>
      <c r="E802" s="7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77"/>
      <c r="E803" s="7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77"/>
      <c r="E804" s="7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77"/>
      <c r="E805" s="7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77"/>
      <c r="E806" s="7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77"/>
      <c r="E807" s="7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77"/>
      <c r="E808" s="7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77"/>
      <c r="E809" s="7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77"/>
      <c r="E810" s="7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77"/>
      <c r="E811" s="7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77"/>
      <c r="E812" s="7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77"/>
      <c r="E813" s="7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77"/>
      <c r="E814" s="7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77"/>
      <c r="E815" s="7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77"/>
      <c r="E816" s="7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77"/>
      <c r="E817" s="7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77"/>
      <c r="E818" s="7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77"/>
      <c r="E819" s="7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77"/>
      <c r="E820" s="7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77"/>
      <c r="E821" s="7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77"/>
      <c r="E822" s="7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77"/>
      <c r="E823" s="7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77"/>
      <c r="E824" s="7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77"/>
      <c r="E825" s="7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77"/>
      <c r="E826" s="7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77"/>
      <c r="E827" s="7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77"/>
      <c r="E828" s="7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77"/>
      <c r="E829" s="7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77"/>
      <c r="E830" s="7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77"/>
      <c r="E831" s="7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77"/>
      <c r="E832" s="7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77"/>
      <c r="E833" s="7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77"/>
      <c r="E834" s="7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77"/>
      <c r="E835" s="7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77"/>
      <c r="E836" s="7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77"/>
      <c r="E837" s="7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77"/>
      <c r="E838" s="7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77"/>
      <c r="E839" s="7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77"/>
      <c r="E840" s="7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77"/>
      <c r="E841" s="7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77"/>
      <c r="E842" s="7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77"/>
      <c r="E843" s="7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77"/>
      <c r="E844" s="7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77"/>
      <c r="E845" s="7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77"/>
      <c r="E846" s="7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77"/>
      <c r="E847" s="7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77"/>
      <c r="E848" s="7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77"/>
      <c r="E849" s="7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77"/>
      <c r="E850" s="7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77"/>
      <c r="E851" s="7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77"/>
      <c r="E852" s="7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77"/>
      <c r="E853" s="7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77"/>
      <c r="E854" s="7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77"/>
      <c r="E855" s="7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77"/>
      <c r="E856" s="7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77"/>
      <c r="E857" s="7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77"/>
      <c r="E858" s="7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77"/>
      <c r="E859" s="7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77"/>
      <c r="E860" s="7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77"/>
      <c r="E861" s="7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77"/>
      <c r="E862" s="7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77"/>
      <c r="E863" s="7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77"/>
      <c r="E864" s="7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77"/>
      <c r="E865" s="7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77"/>
      <c r="E866" s="7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77"/>
      <c r="E867" s="7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77"/>
      <c r="E868" s="7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77"/>
      <c r="E869" s="7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77"/>
      <c r="E870" s="7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77"/>
      <c r="E871" s="7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77"/>
      <c r="E872" s="7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77"/>
      <c r="E873" s="7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77"/>
      <c r="E874" s="7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77"/>
      <c r="E875" s="7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77"/>
      <c r="E876" s="7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77"/>
      <c r="E877" s="7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77"/>
      <c r="E878" s="7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77"/>
      <c r="E879" s="7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77"/>
      <c r="E880" s="7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77"/>
      <c r="E881" s="7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77"/>
      <c r="E882" s="7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77"/>
      <c r="E883" s="7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77"/>
      <c r="E884" s="7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77"/>
      <c r="E885" s="7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77"/>
      <c r="E886" s="7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77"/>
      <c r="E887" s="7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77"/>
      <c r="E888" s="7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77"/>
      <c r="E889" s="7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77"/>
      <c r="E890" s="7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77"/>
      <c r="E891" s="7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77"/>
      <c r="E892" s="7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77"/>
      <c r="E893" s="7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77"/>
      <c r="E894" s="7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77"/>
      <c r="E895" s="7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77"/>
      <c r="E896" s="7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77"/>
      <c r="E897" s="7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77"/>
      <c r="E898" s="7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77"/>
      <c r="E899" s="7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77"/>
      <c r="E900" s="7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77"/>
      <c r="E901" s="7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77"/>
      <c r="E902" s="7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77"/>
      <c r="E903" s="7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77"/>
      <c r="E904" s="7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77"/>
      <c r="E905" s="7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77"/>
      <c r="E906" s="7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77"/>
      <c r="E907" s="7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77"/>
      <c r="E908" s="7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77"/>
      <c r="E909" s="7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77"/>
      <c r="E910" s="7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77"/>
      <c r="E911" s="7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77"/>
      <c r="E912" s="7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77"/>
      <c r="E913" s="7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77"/>
      <c r="E914" s="7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77"/>
      <c r="E915" s="7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77"/>
      <c r="E916" s="7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77"/>
      <c r="E917" s="7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77"/>
      <c r="E918" s="7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77"/>
      <c r="E919" s="7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77"/>
      <c r="E920" s="7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77"/>
      <c r="E921" s="7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77"/>
      <c r="E922" s="7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77"/>
      <c r="E923" s="7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77"/>
      <c r="E924" s="7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77"/>
      <c r="E925" s="7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77"/>
      <c r="E926" s="7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77"/>
      <c r="E927" s="7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77"/>
      <c r="E928" s="7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77"/>
      <c r="E929" s="7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77"/>
      <c r="E930" s="7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77"/>
      <c r="E931" s="7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77"/>
      <c r="E932" s="7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77"/>
      <c r="E933" s="7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77"/>
      <c r="E934" s="7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77"/>
      <c r="E935" s="7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77"/>
      <c r="E936" s="7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77"/>
      <c r="E937" s="7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77"/>
      <c r="E938" s="7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77"/>
      <c r="E939" s="7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77"/>
      <c r="E940" s="7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77"/>
      <c r="E941" s="7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77"/>
      <c r="E942" s="7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77"/>
      <c r="E943" s="7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77"/>
      <c r="E944" s="7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77"/>
      <c r="E945" s="7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77"/>
      <c r="E946" s="7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77"/>
      <c r="E947" s="7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77"/>
      <c r="E948" s="7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77"/>
      <c r="E949" s="7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77"/>
      <c r="E950" s="7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sheetData>
  <mergeCells count="10">
    <mergeCell ref="A17:A20"/>
    <mergeCell ref="A22:A25"/>
    <mergeCell ref="B22:B25"/>
    <mergeCell ref="A2:A5"/>
    <mergeCell ref="B2:B5"/>
    <mergeCell ref="A7:A10"/>
    <mergeCell ref="B7:B10"/>
    <mergeCell ref="A12:A15"/>
    <mergeCell ref="B12:B15"/>
    <mergeCell ref="B17:B20"/>
  </mergeCells>
  <conditionalFormatting sqref="E7:E10 E12:E15 E17:E20 E22:E25">
    <cfRule type="colorScale" priority="1">
      <colorScale>
        <cfvo type="formula" val="0"/>
        <cfvo type="formula" val="0.5"/>
        <cfvo type="formula" val="1"/>
        <color rgb="FFFFFFFF"/>
        <color rgb="FFF3BEB9"/>
        <color rgb="FFE67C73"/>
      </colorScale>
    </cfRule>
  </conditionalFormatting>
  <conditionalFormatting sqref="E2:E950">
    <cfRule type="colorScale" priority="2">
      <colorScale>
        <cfvo type="formula" val="0"/>
        <cfvo type="formula" val="1"/>
        <color rgb="FFFFFFFF"/>
        <color rgb="FFE67C73"/>
      </colorScale>
    </cfRule>
  </conditionalFormatting>
  <dataValidations>
    <dataValidation type="list" allowBlank="1" showErrorMessage="1" sqref="F2:J950">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72"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30</v>
      </c>
      <c r="B2" s="54" t="s">
        <v>31</v>
      </c>
      <c r="C2" s="7" t="s">
        <v>19</v>
      </c>
      <c r="D2" s="73" t="s">
        <v>65</v>
      </c>
      <c r="E2" s="74">
        <f>IFERROR(__xludf.DUMMYFUNCTION("COUNTA(SPLIT(D2,"" ""))/COUNTA(SPLIT($B$2,"" ""))"),1.028301886792453)</f>
        <v>1.028301887</v>
      </c>
      <c r="F2" s="7">
        <v>3.0</v>
      </c>
      <c r="G2" s="7">
        <v>3.0</v>
      </c>
      <c r="H2" s="7">
        <v>2.0</v>
      </c>
      <c r="I2" s="7">
        <v>3.0</v>
      </c>
      <c r="J2" s="7">
        <v>5.0</v>
      </c>
      <c r="K2" s="57"/>
      <c r="L2" s="57"/>
      <c r="M2" s="57"/>
      <c r="N2" s="57"/>
      <c r="O2" s="57"/>
      <c r="P2" s="57"/>
      <c r="Q2" s="57"/>
      <c r="R2" s="57"/>
      <c r="S2" s="57"/>
      <c r="T2" s="57"/>
      <c r="U2" s="57"/>
      <c r="V2" s="57"/>
      <c r="W2" s="57"/>
      <c r="X2" s="57"/>
      <c r="Y2" s="57"/>
      <c r="Z2" s="57"/>
      <c r="AA2" s="57"/>
      <c r="AB2" s="57"/>
    </row>
    <row r="3" ht="225.0" customHeight="1">
      <c r="C3" s="7" t="s">
        <v>20</v>
      </c>
      <c r="D3" s="73" t="s">
        <v>66</v>
      </c>
      <c r="E3" s="75">
        <f>IFERROR(__xludf.DUMMYFUNCTION("COUNTA(SPLIT(D3,"" ""))/COUNTA(SPLIT($B$2,"" ""))"),1.028301886792453)</f>
        <v>1.028301887</v>
      </c>
      <c r="F3" s="7">
        <v>2.0</v>
      </c>
      <c r="G3" s="7">
        <v>2.0</v>
      </c>
      <c r="H3" s="7">
        <v>1.0</v>
      </c>
      <c r="I3" s="7">
        <v>2.0</v>
      </c>
      <c r="J3" s="7">
        <v>2.0</v>
      </c>
      <c r="K3" s="57"/>
      <c r="L3" s="57"/>
      <c r="M3" s="57"/>
      <c r="N3" s="57"/>
      <c r="O3" s="57"/>
      <c r="P3" s="57"/>
      <c r="Q3" s="57"/>
      <c r="R3" s="57"/>
      <c r="S3" s="57"/>
      <c r="T3" s="57"/>
      <c r="U3" s="57"/>
      <c r="V3" s="57"/>
      <c r="W3" s="57"/>
      <c r="X3" s="57"/>
      <c r="Y3" s="57"/>
      <c r="Z3" s="57"/>
      <c r="AA3" s="57"/>
      <c r="AB3" s="57"/>
    </row>
    <row r="4" ht="225.0" customHeight="1">
      <c r="C4" s="7" t="s">
        <v>8</v>
      </c>
      <c r="D4" s="73" t="s">
        <v>67</v>
      </c>
      <c r="E4" s="76">
        <f>IFERROR(__xludf.DUMMYFUNCTION("COUNTA(SPLIT(D4,"" ""))/COUNTA(SPLIT($B$2,"" ""))"),0.5)</f>
        <v>0.5</v>
      </c>
      <c r="F4" s="7">
        <v>1.0</v>
      </c>
      <c r="G4" s="7">
        <v>3.0</v>
      </c>
      <c r="H4" s="7">
        <v>5.0</v>
      </c>
      <c r="I4" s="7">
        <v>5.0</v>
      </c>
      <c r="J4" s="7">
        <v>4.0</v>
      </c>
      <c r="K4" s="57"/>
      <c r="L4" s="57"/>
      <c r="M4" s="57"/>
      <c r="N4" s="57"/>
      <c r="O4" s="57"/>
      <c r="P4" s="57"/>
      <c r="Q4" s="57"/>
      <c r="R4" s="57"/>
      <c r="S4" s="57"/>
      <c r="T4" s="57"/>
      <c r="U4" s="57"/>
      <c r="V4" s="57"/>
      <c r="W4" s="57"/>
      <c r="X4" s="57"/>
      <c r="Y4" s="57"/>
      <c r="Z4" s="57"/>
      <c r="AA4" s="57"/>
      <c r="AB4" s="57"/>
    </row>
    <row r="5" ht="225.0" customHeight="1">
      <c r="C5" s="7" t="s">
        <v>21</v>
      </c>
      <c r="D5" s="73" t="s">
        <v>68</v>
      </c>
      <c r="E5" s="76">
        <f>IFERROR(__xludf.DUMMYFUNCTION("COUNTA(SPLIT(D5,"" ""))/COUNTA(SPLIT($B$2,"" ""))"),0.6037735849056604)</f>
        <v>0.6037735849</v>
      </c>
      <c r="F5" s="7">
        <v>4.0</v>
      </c>
      <c r="G5" s="7">
        <v>5.0</v>
      </c>
      <c r="H5" s="7">
        <v>1.0</v>
      </c>
      <c r="I5" s="7">
        <v>4.0</v>
      </c>
      <c r="J5" s="7">
        <v>5.0</v>
      </c>
      <c r="K5" s="57"/>
      <c r="L5" s="57"/>
      <c r="M5" s="57"/>
      <c r="N5" s="57"/>
      <c r="O5" s="57"/>
      <c r="P5" s="57"/>
      <c r="Q5" s="57"/>
      <c r="R5" s="57"/>
      <c r="S5" s="57"/>
      <c r="T5" s="57"/>
      <c r="U5" s="57"/>
      <c r="V5" s="57"/>
      <c r="W5" s="57"/>
      <c r="X5" s="57"/>
      <c r="Y5" s="57"/>
      <c r="Z5" s="57"/>
      <c r="AA5" s="57"/>
      <c r="AB5" s="57"/>
    </row>
    <row r="6">
      <c r="A6" s="57"/>
      <c r="B6" s="57"/>
      <c r="C6" s="59"/>
      <c r="D6" s="77"/>
      <c r="E6" s="61"/>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33</v>
      </c>
      <c r="B7" s="63" t="s">
        <v>34</v>
      </c>
      <c r="C7" s="64" t="s">
        <v>19</v>
      </c>
      <c r="D7" s="78" t="s">
        <v>69</v>
      </c>
      <c r="E7" s="79">
        <f>IFERROR(__xludf.DUMMYFUNCTION("COUNTA(SPLIT(D7,"" ""))/COUNTA(SPLIT($B$7,"" ""))"),0.5155963302752293)</f>
        <v>0.5155963303</v>
      </c>
      <c r="F7" s="7">
        <v>4.0</v>
      </c>
      <c r="G7" s="7">
        <v>3.0</v>
      </c>
      <c r="H7" s="7">
        <v>4.0</v>
      </c>
      <c r="I7" s="7">
        <v>2.0</v>
      </c>
      <c r="J7" s="7">
        <v>5.0</v>
      </c>
      <c r="K7" s="67"/>
      <c r="L7" s="67"/>
      <c r="M7" s="67"/>
      <c r="N7" s="67"/>
      <c r="O7" s="67"/>
      <c r="P7" s="67"/>
      <c r="Q7" s="67"/>
      <c r="R7" s="67"/>
      <c r="S7" s="67"/>
      <c r="T7" s="67"/>
      <c r="U7" s="67"/>
      <c r="V7" s="67"/>
      <c r="W7" s="67"/>
      <c r="X7" s="67"/>
      <c r="Y7" s="67"/>
      <c r="Z7" s="67"/>
      <c r="AA7" s="67"/>
      <c r="AB7" s="67"/>
    </row>
    <row r="8" ht="225.0" customHeight="1">
      <c r="C8" s="7" t="s">
        <v>20</v>
      </c>
      <c r="D8" s="73" t="s">
        <v>70</v>
      </c>
      <c r="E8" s="74">
        <f>IFERROR(__xludf.DUMMYFUNCTION("COUNTA(SPLIT(D8,"" ""))/COUNTA(SPLIT($B$7,"" ""))"),0.20733944954128442)</f>
        <v>0.2073394495</v>
      </c>
      <c r="F8" s="7">
        <v>3.0</v>
      </c>
      <c r="G8" s="7">
        <v>5.0</v>
      </c>
      <c r="H8" s="7">
        <v>3.0</v>
      </c>
      <c r="I8" s="7">
        <v>3.0</v>
      </c>
      <c r="J8" s="7">
        <v>4.0</v>
      </c>
      <c r="K8" s="57"/>
      <c r="L8" s="57"/>
      <c r="M8" s="57"/>
      <c r="N8" s="57"/>
      <c r="O8" s="57"/>
      <c r="P8" s="57"/>
      <c r="Q8" s="57"/>
      <c r="R8" s="57"/>
      <c r="S8" s="57"/>
      <c r="T8" s="57"/>
      <c r="U8" s="57"/>
      <c r="V8" s="57"/>
      <c r="W8" s="57"/>
      <c r="X8" s="57"/>
      <c r="Y8" s="57"/>
      <c r="Z8" s="57"/>
      <c r="AA8" s="57"/>
      <c r="AB8" s="57"/>
    </row>
    <row r="9" ht="225.0" customHeight="1">
      <c r="C9" s="7" t="s">
        <v>8</v>
      </c>
      <c r="D9" s="73" t="s">
        <v>71</v>
      </c>
      <c r="E9" s="70">
        <f>IFERROR(__xludf.DUMMYFUNCTION("COUNTA(SPLIT(D9,"" ""))/COUNTA(SPLIT($B$7,"" ""))"),0.163302752293578)</f>
        <v>0.1633027523</v>
      </c>
      <c r="F9" s="7">
        <v>2.0</v>
      </c>
      <c r="G9" s="7">
        <v>4.0</v>
      </c>
      <c r="H9" s="7">
        <v>2.0</v>
      </c>
      <c r="I9" s="7">
        <v>4.0</v>
      </c>
      <c r="J9" s="7">
        <v>3.0</v>
      </c>
      <c r="K9" s="57"/>
      <c r="L9" s="57"/>
      <c r="M9" s="57"/>
      <c r="N9" s="57"/>
      <c r="O9" s="57"/>
      <c r="P9" s="57"/>
      <c r="Q9" s="57"/>
      <c r="R9" s="57"/>
      <c r="S9" s="57"/>
      <c r="T9" s="57"/>
      <c r="U9" s="57"/>
      <c r="V9" s="57"/>
      <c r="W9" s="57"/>
      <c r="X9" s="57"/>
      <c r="Y9" s="57"/>
      <c r="Z9" s="57"/>
      <c r="AA9" s="57"/>
      <c r="AB9" s="57"/>
    </row>
    <row r="10" ht="225.0" customHeight="1">
      <c r="C10" s="7" t="s">
        <v>21</v>
      </c>
      <c r="D10" s="73" t="s">
        <v>72</v>
      </c>
      <c r="E10" s="80">
        <f>IFERROR(__xludf.DUMMYFUNCTION("COUNTA(SPLIT(D10,"" ""))/COUNTA(SPLIT($B$7,"" ""))"),0.15412844036697249)</f>
        <v>0.1541284404</v>
      </c>
      <c r="F10" s="7">
        <v>3.0</v>
      </c>
      <c r="G10" s="7">
        <v>4.0</v>
      </c>
      <c r="H10" s="7">
        <v>3.0</v>
      </c>
      <c r="I10" s="7">
        <v>4.0</v>
      </c>
      <c r="J10" s="7">
        <v>3.0</v>
      </c>
      <c r="K10" s="57"/>
      <c r="L10" s="57"/>
      <c r="M10" s="57"/>
      <c r="N10" s="57"/>
      <c r="O10" s="57"/>
      <c r="P10" s="57"/>
      <c r="Q10" s="57"/>
      <c r="R10" s="57"/>
      <c r="S10" s="57"/>
      <c r="T10" s="57"/>
      <c r="U10" s="57"/>
      <c r="V10" s="57"/>
      <c r="W10" s="57"/>
      <c r="X10" s="57"/>
      <c r="Y10" s="57"/>
      <c r="Z10" s="57"/>
      <c r="AA10" s="57"/>
      <c r="AB10" s="57"/>
    </row>
    <row r="11">
      <c r="A11" s="57"/>
      <c r="B11" s="57"/>
      <c r="C11" s="59"/>
      <c r="D11" s="77"/>
      <c r="E11" s="61"/>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36</v>
      </c>
      <c r="B12" s="63" t="s">
        <v>37</v>
      </c>
      <c r="C12" s="64" t="s">
        <v>19</v>
      </c>
      <c r="D12" s="78" t="s">
        <v>73</v>
      </c>
      <c r="E12" s="81">
        <f>IFERROR(__xludf.DUMMYFUNCTION("COUNTA(SPLIT(D12,"" ""))/COUNTA(SPLIT($B$12,"" ""))"),0.5843023255813954)</f>
        <v>0.5843023256</v>
      </c>
      <c r="F12" s="7">
        <v>2.0</v>
      </c>
      <c r="G12" s="7">
        <v>3.0</v>
      </c>
      <c r="H12" s="7">
        <v>2.0</v>
      </c>
      <c r="I12" s="7">
        <v>2.0</v>
      </c>
      <c r="J12" s="7">
        <v>4.0</v>
      </c>
      <c r="K12" s="67"/>
      <c r="L12" s="67"/>
      <c r="M12" s="67"/>
      <c r="N12" s="67"/>
      <c r="O12" s="67"/>
      <c r="P12" s="67"/>
      <c r="Q12" s="67"/>
      <c r="R12" s="67"/>
      <c r="S12" s="67"/>
      <c r="T12" s="67"/>
      <c r="U12" s="67"/>
      <c r="V12" s="67"/>
      <c r="W12" s="67"/>
      <c r="X12" s="67"/>
      <c r="Y12" s="67"/>
      <c r="Z12" s="67"/>
      <c r="AA12" s="67"/>
      <c r="AB12" s="67"/>
    </row>
    <row r="13" ht="225.0" customHeight="1">
      <c r="C13" s="7" t="s">
        <v>20</v>
      </c>
      <c r="D13" s="73" t="s">
        <v>74</v>
      </c>
      <c r="E13" s="82">
        <f>IFERROR(__xludf.DUMMYFUNCTION("COUNTA(SPLIT(D13,"" ""))/COUNTA(SPLIT($B$12,"" ""))"),0.7151162790697675)</f>
        <v>0.7151162791</v>
      </c>
      <c r="F13" s="7">
        <v>2.0</v>
      </c>
      <c r="G13" s="7">
        <v>2.0</v>
      </c>
      <c r="H13" s="7">
        <v>2.0</v>
      </c>
      <c r="I13" s="7">
        <v>2.0</v>
      </c>
      <c r="J13" s="7">
        <v>3.0</v>
      </c>
      <c r="K13" s="57"/>
      <c r="L13" s="57"/>
      <c r="M13" s="57"/>
      <c r="N13" s="57"/>
      <c r="O13" s="57"/>
      <c r="P13" s="57"/>
      <c r="Q13" s="57"/>
      <c r="R13" s="57"/>
      <c r="S13" s="57"/>
      <c r="T13" s="57"/>
      <c r="U13" s="57"/>
      <c r="V13" s="57"/>
      <c r="W13" s="57"/>
      <c r="X13" s="57"/>
      <c r="Y13" s="57"/>
      <c r="Z13" s="57"/>
      <c r="AA13" s="57"/>
      <c r="AB13" s="57"/>
    </row>
    <row r="14" ht="225.0" customHeight="1">
      <c r="C14" s="7" t="s">
        <v>8</v>
      </c>
      <c r="D14" s="73" t="s">
        <v>75</v>
      </c>
      <c r="E14" s="83">
        <f>IFERROR(__xludf.DUMMYFUNCTION("COUNTA(SPLIT(D14,"" ""))/COUNTA(SPLIT($B$12,"" ""))"),0.24709302325581395)</f>
        <v>0.2470930233</v>
      </c>
      <c r="F14" s="7">
        <v>2.0</v>
      </c>
      <c r="G14" s="7">
        <v>3.0</v>
      </c>
      <c r="H14" s="7">
        <v>3.0</v>
      </c>
      <c r="I14" s="7">
        <v>4.0</v>
      </c>
      <c r="J14" s="7">
        <v>4.0</v>
      </c>
      <c r="K14" s="57"/>
      <c r="L14" s="57"/>
      <c r="M14" s="57"/>
      <c r="N14" s="57"/>
      <c r="O14" s="57"/>
      <c r="P14" s="57"/>
      <c r="Q14" s="57"/>
      <c r="R14" s="57"/>
      <c r="S14" s="57"/>
      <c r="T14" s="57"/>
      <c r="U14" s="57"/>
      <c r="V14" s="57"/>
      <c r="W14" s="57"/>
      <c r="X14" s="57"/>
      <c r="Y14" s="57"/>
      <c r="Z14" s="57"/>
      <c r="AA14" s="57"/>
      <c r="AB14" s="57"/>
    </row>
    <row r="15" ht="225.0" customHeight="1">
      <c r="C15" s="7" t="s">
        <v>21</v>
      </c>
      <c r="D15" s="73" t="s">
        <v>76</v>
      </c>
      <c r="E15" s="84">
        <f>IFERROR(__xludf.DUMMYFUNCTION("COUNTA(SPLIT(D15,"" ""))/COUNTA(SPLIT($B$12,"" ""))"),0.42441860465116277)</f>
        <v>0.4244186047</v>
      </c>
      <c r="F15" s="7">
        <v>4.0</v>
      </c>
      <c r="G15" s="7">
        <v>3.0</v>
      </c>
      <c r="H15" s="7">
        <v>3.0</v>
      </c>
      <c r="I15" s="7">
        <v>3.0</v>
      </c>
      <c r="J15" s="7">
        <v>4.0</v>
      </c>
      <c r="K15" s="57"/>
      <c r="L15" s="57"/>
      <c r="M15" s="57"/>
      <c r="N15" s="57"/>
      <c r="O15" s="57"/>
      <c r="P15" s="57"/>
      <c r="Q15" s="57"/>
      <c r="R15" s="57"/>
      <c r="S15" s="57"/>
      <c r="T15" s="57"/>
      <c r="U15" s="57"/>
      <c r="V15" s="57"/>
      <c r="W15" s="57"/>
      <c r="X15" s="57"/>
      <c r="Y15" s="57"/>
      <c r="Z15" s="57"/>
      <c r="AA15" s="57"/>
      <c r="AB15" s="57"/>
    </row>
    <row r="16">
      <c r="A16" s="57"/>
      <c r="B16" s="57"/>
      <c r="C16" s="59"/>
      <c r="D16" s="77"/>
      <c r="E16" s="61"/>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39</v>
      </c>
      <c r="B17" s="63" t="s">
        <v>40</v>
      </c>
      <c r="C17" s="64" t="s">
        <v>19</v>
      </c>
      <c r="D17" s="78" t="s">
        <v>77</v>
      </c>
      <c r="E17" s="85">
        <f>IFERROR(__xludf.DUMMYFUNCTION("COUNTA(SPLIT(D17,"" ""))/COUNTA(SPLIT($B$17,"" ""))"),0.7616580310880829)</f>
        <v>0.7616580311</v>
      </c>
      <c r="F17" s="7">
        <v>3.0</v>
      </c>
      <c r="G17" s="7">
        <v>3.0</v>
      </c>
      <c r="H17" s="7">
        <v>2.0</v>
      </c>
      <c r="I17" s="7">
        <v>3.0</v>
      </c>
      <c r="J17" s="7">
        <v>4.0</v>
      </c>
      <c r="K17" s="67"/>
      <c r="L17" s="67"/>
      <c r="M17" s="67"/>
      <c r="N17" s="67"/>
      <c r="O17" s="67"/>
      <c r="P17" s="67"/>
      <c r="Q17" s="67"/>
      <c r="R17" s="67"/>
      <c r="S17" s="67"/>
      <c r="T17" s="67"/>
      <c r="U17" s="67"/>
      <c r="V17" s="67"/>
      <c r="W17" s="67"/>
      <c r="X17" s="67"/>
      <c r="Y17" s="67"/>
      <c r="Z17" s="67"/>
      <c r="AA17" s="67"/>
      <c r="AB17" s="67"/>
    </row>
    <row r="18" ht="225.0" customHeight="1">
      <c r="C18" s="7" t="s">
        <v>20</v>
      </c>
      <c r="D18" s="73" t="s">
        <v>78</v>
      </c>
      <c r="E18" s="80">
        <f>IFERROR(__xludf.DUMMYFUNCTION("COUNTA(SPLIT(D18,"" ""))/COUNTA(SPLIT($B$17,"" ""))"),0.5025906735751295)</f>
        <v>0.5025906736</v>
      </c>
      <c r="F18" s="7">
        <v>2.0</v>
      </c>
      <c r="G18" s="7">
        <v>4.0</v>
      </c>
      <c r="H18" s="7">
        <v>2.0</v>
      </c>
      <c r="I18" s="7">
        <v>2.0</v>
      </c>
      <c r="J18" s="7">
        <v>2.0</v>
      </c>
      <c r="K18" s="57"/>
      <c r="L18" s="57"/>
      <c r="M18" s="57"/>
      <c r="N18" s="57"/>
      <c r="O18" s="57"/>
      <c r="P18" s="57"/>
      <c r="Q18" s="57"/>
      <c r="R18" s="57"/>
      <c r="S18" s="57"/>
      <c r="T18" s="57"/>
      <c r="U18" s="57"/>
      <c r="V18" s="57"/>
      <c r="W18" s="57"/>
      <c r="X18" s="57"/>
      <c r="Y18" s="57"/>
      <c r="Z18" s="57"/>
      <c r="AA18" s="57"/>
      <c r="AB18" s="57"/>
    </row>
    <row r="19" ht="225.0" customHeight="1">
      <c r="C19" s="7" t="s">
        <v>8</v>
      </c>
      <c r="D19" s="73" t="s">
        <v>79</v>
      </c>
      <c r="E19" s="86">
        <f>IFERROR(__xludf.DUMMYFUNCTION("COUNTA(SPLIT(D19,"" ""))/COUNTA(SPLIT($B$17,"" ""))"),0.7564766839378239)</f>
        <v>0.7564766839</v>
      </c>
      <c r="F19" s="7">
        <v>3.0</v>
      </c>
      <c r="G19" s="7">
        <v>4.0</v>
      </c>
      <c r="H19" s="7">
        <v>2.0</v>
      </c>
      <c r="I19" s="7">
        <v>3.0</v>
      </c>
      <c r="J19" s="7">
        <v>4.0</v>
      </c>
      <c r="K19" s="57"/>
      <c r="L19" s="57"/>
      <c r="M19" s="57"/>
      <c r="N19" s="57"/>
      <c r="O19" s="57"/>
      <c r="P19" s="57"/>
      <c r="Q19" s="57"/>
      <c r="R19" s="57"/>
      <c r="S19" s="57"/>
      <c r="T19" s="57"/>
      <c r="U19" s="57"/>
      <c r="V19" s="57"/>
      <c r="W19" s="57"/>
      <c r="X19" s="57"/>
      <c r="Y19" s="57"/>
      <c r="Z19" s="57"/>
      <c r="AA19" s="57"/>
      <c r="AB19" s="57"/>
    </row>
    <row r="20" ht="225.0" customHeight="1">
      <c r="C20" s="7" t="s">
        <v>21</v>
      </c>
      <c r="D20" s="73" t="s">
        <v>80</v>
      </c>
      <c r="E20" s="87">
        <f>IFERROR(__xludf.DUMMYFUNCTION("COUNTA(SPLIT(D20,"" ""))/COUNTA(SPLIT($B$17,"" ""))"),0.7564766839378239)</f>
        <v>0.7564766839</v>
      </c>
      <c r="F20" s="7">
        <v>3.0</v>
      </c>
      <c r="G20" s="7">
        <v>4.0</v>
      </c>
      <c r="H20" s="7">
        <v>2.0</v>
      </c>
      <c r="I20" s="7">
        <v>3.0</v>
      </c>
      <c r="J20" s="7">
        <v>5.0</v>
      </c>
      <c r="K20" s="57"/>
      <c r="L20" s="57"/>
      <c r="M20" s="57"/>
      <c r="N20" s="57"/>
      <c r="O20" s="57"/>
      <c r="P20" s="57"/>
      <c r="Q20" s="57"/>
      <c r="R20" s="57"/>
      <c r="S20" s="57"/>
      <c r="T20" s="57"/>
      <c r="U20" s="57"/>
      <c r="V20" s="57"/>
      <c r="W20" s="57"/>
      <c r="X20" s="57"/>
      <c r="Y20" s="57"/>
      <c r="Z20" s="57"/>
      <c r="AA20" s="57"/>
      <c r="AB20" s="57"/>
    </row>
    <row r="21">
      <c r="A21" s="57"/>
      <c r="B21" s="57"/>
      <c r="C21" s="59"/>
      <c r="D21" s="77"/>
      <c r="E21" s="61"/>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42</v>
      </c>
      <c r="B22" s="63" t="s">
        <v>43</v>
      </c>
      <c r="C22" s="64" t="s">
        <v>19</v>
      </c>
      <c r="D22" s="78" t="s">
        <v>81</v>
      </c>
      <c r="E22" s="88">
        <f>IFERROR(__xludf.DUMMYFUNCTION("COUNTA(SPLIT(D22,"" ""))/COUNTA(SPLIT($B$22,"" ""))"),0.66553480475382)</f>
        <v>0.6655348048</v>
      </c>
      <c r="F22" s="7">
        <v>2.0</v>
      </c>
      <c r="G22" s="7">
        <v>3.0</v>
      </c>
      <c r="H22" s="7">
        <v>3.0</v>
      </c>
      <c r="I22" s="7">
        <v>2.0</v>
      </c>
      <c r="J22" s="7">
        <v>2.0</v>
      </c>
      <c r="K22" s="67"/>
      <c r="L22" s="67"/>
      <c r="M22" s="67"/>
      <c r="N22" s="67"/>
      <c r="O22" s="67"/>
      <c r="P22" s="67"/>
      <c r="Q22" s="67"/>
      <c r="R22" s="67"/>
      <c r="S22" s="67"/>
      <c r="T22" s="67"/>
      <c r="U22" s="67"/>
      <c r="V22" s="67"/>
      <c r="W22" s="67"/>
      <c r="X22" s="67"/>
      <c r="Y22" s="67"/>
      <c r="Z22" s="67"/>
      <c r="AA22" s="67"/>
      <c r="AB22" s="67"/>
    </row>
    <row r="23" ht="225.0" customHeight="1">
      <c r="C23" s="7" t="s">
        <v>20</v>
      </c>
      <c r="D23" s="73" t="s">
        <v>82</v>
      </c>
      <c r="E23" s="82">
        <f>IFERROR(__xludf.DUMMYFUNCTION("COUNTA(SPLIT(D23,"" ""))/COUNTA(SPLIT($B$22,"" ""))"),0.42105263157894735)</f>
        <v>0.4210526316</v>
      </c>
      <c r="F23" s="7">
        <v>2.0</v>
      </c>
      <c r="G23" s="7">
        <v>5.0</v>
      </c>
      <c r="H23" s="7">
        <v>3.0</v>
      </c>
      <c r="I23" s="7">
        <v>2.0</v>
      </c>
      <c r="J23" s="7">
        <v>3.0</v>
      </c>
      <c r="K23" s="57"/>
      <c r="L23" s="57"/>
      <c r="M23" s="57"/>
      <c r="N23" s="57"/>
      <c r="O23" s="57"/>
      <c r="P23" s="57"/>
      <c r="Q23" s="57"/>
      <c r="R23" s="57"/>
      <c r="S23" s="57"/>
      <c r="T23" s="57"/>
      <c r="U23" s="57"/>
      <c r="V23" s="57"/>
      <c r="W23" s="57"/>
      <c r="X23" s="57"/>
      <c r="Y23" s="57"/>
      <c r="Z23" s="57"/>
      <c r="AA23" s="57"/>
      <c r="AB23" s="57"/>
    </row>
    <row r="24" ht="225.0" customHeight="1">
      <c r="C24" s="7" t="s">
        <v>8</v>
      </c>
      <c r="D24" s="73" t="s">
        <v>83</v>
      </c>
      <c r="E24" s="89">
        <f>IFERROR(__xludf.DUMMYFUNCTION("COUNTA(SPLIT(D24,"" ""))/COUNTA(SPLIT($B$22,"" ""))"),0.19015280135823429)</f>
        <v>0.1901528014</v>
      </c>
      <c r="F24" s="7">
        <v>3.0</v>
      </c>
      <c r="G24" s="7">
        <v>4.0</v>
      </c>
      <c r="H24" s="7">
        <v>3.0</v>
      </c>
      <c r="I24" s="7">
        <v>3.0</v>
      </c>
      <c r="J24" s="7">
        <v>3.0</v>
      </c>
      <c r="K24" s="57"/>
      <c r="L24" s="57"/>
      <c r="M24" s="57"/>
      <c r="N24" s="57"/>
      <c r="O24" s="57"/>
      <c r="P24" s="57"/>
      <c r="Q24" s="57"/>
      <c r="R24" s="57"/>
      <c r="S24" s="57"/>
      <c r="T24" s="57"/>
      <c r="U24" s="57"/>
      <c r="V24" s="57"/>
      <c r="W24" s="57"/>
      <c r="X24" s="57"/>
      <c r="Y24" s="57"/>
      <c r="Z24" s="57"/>
      <c r="AA24" s="57"/>
      <c r="AB24" s="57"/>
    </row>
    <row r="25" ht="225.0" customHeight="1">
      <c r="C25" s="7" t="s">
        <v>21</v>
      </c>
      <c r="D25" s="73" t="s">
        <v>84</v>
      </c>
      <c r="E25" s="90">
        <f>IFERROR(__xludf.DUMMYFUNCTION("COUNTA(SPLIT(D25,"" ""))/COUNTA(SPLIT($B$22,"" ""))"),0.41765704584040747)</f>
        <v>0.4176570458</v>
      </c>
      <c r="F25" s="7">
        <v>4.0</v>
      </c>
      <c r="G25" s="7">
        <v>4.0</v>
      </c>
      <c r="H25" s="7">
        <v>3.0</v>
      </c>
      <c r="I25" s="7">
        <v>3.0</v>
      </c>
      <c r="J25" s="7">
        <v>4.0</v>
      </c>
      <c r="K25" s="57"/>
      <c r="L25" s="57"/>
      <c r="M25" s="57"/>
      <c r="N25" s="57"/>
      <c r="O25" s="57"/>
      <c r="P25" s="57"/>
      <c r="Q25" s="57"/>
      <c r="R25" s="57"/>
      <c r="S25" s="57"/>
      <c r="T25" s="57"/>
      <c r="U25" s="57"/>
      <c r="V25" s="57"/>
      <c r="W25" s="57"/>
      <c r="X25" s="57"/>
      <c r="Y25" s="57"/>
      <c r="Z25" s="57"/>
      <c r="AA25" s="57"/>
      <c r="AB25" s="57"/>
    </row>
    <row r="26">
      <c r="A26" s="57"/>
      <c r="B26" s="57"/>
      <c r="C26" s="59"/>
      <c r="D26" s="77"/>
      <c r="E26" s="61"/>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77"/>
      <c r="E27" s="7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77"/>
      <c r="E28" s="7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77"/>
      <c r="E29" s="7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77"/>
      <c r="E30" s="7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77"/>
      <c r="E31" s="7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77"/>
      <c r="E32" s="7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77"/>
      <c r="E33" s="7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77"/>
      <c r="E34" s="7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77"/>
      <c r="E35" s="7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77"/>
      <c r="E36" s="7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77"/>
      <c r="E37" s="7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77"/>
      <c r="E38" s="7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77"/>
      <c r="E39" s="7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77"/>
      <c r="E40" s="7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77"/>
      <c r="E41" s="7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77"/>
      <c r="E42" s="7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77"/>
      <c r="E43" s="7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77"/>
      <c r="E44" s="7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77"/>
      <c r="E45" s="7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77"/>
      <c r="E46" s="7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77"/>
      <c r="E47" s="7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77"/>
      <c r="E48" s="7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77"/>
      <c r="E49" s="7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77"/>
      <c r="E50" s="7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77"/>
      <c r="E51" s="7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77"/>
      <c r="E52" s="7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77"/>
      <c r="E53" s="7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77"/>
      <c r="E54" s="7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77"/>
      <c r="E55" s="7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77"/>
      <c r="E56" s="7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77"/>
      <c r="E57" s="7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77"/>
      <c r="E58" s="7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77"/>
      <c r="E59" s="7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77"/>
      <c r="E60" s="7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77"/>
      <c r="E61" s="7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77"/>
      <c r="E62" s="7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77"/>
      <c r="E63" s="7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77"/>
      <c r="E64" s="7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77"/>
      <c r="E65" s="7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77"/>
      <c r="E66" s="7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77"/>
      <c r="E67" s="7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77"/>
      <c r="E68" s="7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77"/>
      <c r="E69" s="7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77"/>
      <c r="E70" s="7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77"/>
      <c r="E71" s="7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77"/>
      <c r="E72" s="7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77"/>
      <c r="E73" s="7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77"/>
      <c r="E74" s="7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77"/>
      <c r="E75" s="7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77"/>
      <c r="E76" s="7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77"/>
      <c r="E77" s="7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77"/>
      <c r="E78" s="7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77"/>
      <c r="E79" s="7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77"/>
      <c r="E80" s="7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77"/>
      <c r="E81" s="7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77"/>
      <c r="E82" s="7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77"/>
      <c r="E83" s="7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77"/>
      <c r="E84" s="7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77"/>
      <c r="E85" s="7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77"/>
      <c r="E86" s="7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77"/>
      <c r="E87" s="7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77"/>
      <c r="E88" s="7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77"/>
      <c r="E89" s="7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77"/>
      <c r="E90" s="7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77"/>
      <c r="E91" s="7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77"/>
      <c r="E92" s="7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77"/>
      <c r="E93" s="7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77"/>
      <c r="E94" s="7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77"/>
      <c r="E95" s="7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77"/>
      <c r="E96" s="7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77"/>
      <c r="E97" s="7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77"/>
      <c r="E98" s="7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77"/>
      <c r="E99" s="7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77"/>
      <c r="E100" s="7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77"/>
      <c r="E101" s="7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77"/>
      <c r="E102" s="7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77"/>
      <c r="E103" s="7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77"/>
      <c r="E104" s="7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77"/>
      <c r="E105" s="7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77"/>
      <c r="E106" s="7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77"/>
      <c r="E107" s="7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77"/>
      <c r="E108" s="7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77"/>
      <c r="E109" s="7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77"/>
      <c r="E110" s="7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77"/>
      <c r="E111" s="7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77"/>
      <c r="E112" s="7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77"/>
      <c r="E113" s="7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77"/>
      <c r="E114" s="7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77"/>
      <c r="E115" s="7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77"/>
      <c r="E116" s="7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77"/>
      <c r="E117" s="7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77"/>
      <c r="E118" s="7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77"/>
      <c r="E119" s="7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77"/>
      <c r="E120" s="7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77"/>
      <c r="E121" s="7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77"/>
      <c r="E122" s="7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77"/>
      <c r="E123" s="7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77"/>
      <c r="E124" s="7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77"/>
      <c r="E125" s="7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77"/>
      <c r="E126" s="7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77"/>
      <c r="E127" s="7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77"/>
      <c r="E128" s="7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77"/>
      <c r="E129" s="7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77"/>
      <c r="E130" s="7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77"/>
      <c r="E131" s="7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77"/>
      <c r="E132" s="7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77"/>
      <c r="E133" s="7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77"/>
      <c r="E134" s="7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77"/>
      <c r="E135" s="7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77"/>
      <c r="E136" s="7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77"/>
      <c r="E137" s="7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77"/>
      <c r="E138" s="7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77"/>
      <c r="E139" s="7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77"/>
      <c r="E140" s="7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77"/>
      <c r="E141" s="7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77"/>
      <c r="E142" s="7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77"/>
      <c r="E143" s="7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77"/>
      <c r="E144" s="7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77"/>
      <c r="E145" s="7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77"/>
      <c r="E146" s="7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77"/>
      <c r="E147" s="7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77"/>
      <c r="E148" s="7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77"/>
      <c r="E149" s="7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77"/>
      <c r="E150" s="7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77"/>
      <c r="E151" s="7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77"/>
      <c r="E152" s="7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77"/>
      <c r="E153" s="7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77"/>
      <c r="E154" s="7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77"/>
      <c r="E155" s="7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77"/>
      <c r="E156" s="7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77"/>
      <c r="E157" s="7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77"/>
      <c r="E158" s="7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77"/>
      <c r="E159" s="7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77"/>
      <c r="E160" s="7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77"/>
      <c r="E161" s="7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77"/>
      <c r="E162" s="7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77"/>
      <c r="E163" s="7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77"/>
      <c r="E164" s="7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77"/>
      <c r="E165" s="7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77"/>
      <c r="E166" s="7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77"/>
      <c r="E167" s="7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77"/>
      <c r="E168" s="7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77"/>
      <c r="E169" s="7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77"/>
      <c r="E170" s="7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77"/>
      <c r="E171" s="7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77"/>
      <c r="E172" s="7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77"/>
      <c r="E173" s="7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77"/>
      <c r="E174" s="7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77"/>
      <c r="E175" s="7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77"/>
      <c r="E176" s="7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77"/>
      <c r="E177" s="7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77"/>
      <c r="E178" s="7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77"/>
      <c r="E179" s="7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77"/>
      <c r="E180" s="7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77"/>
      <c r="E181" s="7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77"/>
      <c r="E182" s="7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77"/>
      <c r="E183" s="7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77"/>
      <c r="E184" s="7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77"/>
      <c r="E185" s="7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77"/>
      <c r="E186" s="7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77"/>
      <c r="E187" s="7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77"/>
      <c r="E188" s="7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77"/>
      <c r="E189" s="7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77"/>
      <c r="E190" s="7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77"/>
      <c r="E191" s="7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77"/>
      <c r="E192" s="7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77"/>
      <c r="E193" s="7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77"/>
      <c r="E194" s="7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77"/>
      <c r="E195" s="7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77"/>
      <c r="E196" s="7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77"/>
      <c r="E197" s="7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77"/>
      <c r="E198" s="7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77"/>
      <c r="E199" s="7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77"/>
      <c r="E200" s="7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77"/>
      <c r="E201" s="7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77"/>
      <c r="E202" s="7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77"/>
      <c r="E203" s="7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77"/>
      <c r="E204" s="7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77"/>
      <c r="E205" s="7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77"/>
      <c r="E206" s="7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77"/>
      <c r="E207" s="7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77"/>
      <c r="E208" s="7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77"/>
      <c r="E209" s="7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77"/>
      <c r="E210" s="7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77"/>
      <c r="E211" s="7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77"/>
      <c r="E212" s="7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77"/>
      <c r="E213" s="7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77"/>
      <c r="E214" s="7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77"/>
      <c r="E215" s="7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77"/>
      <c r="E216" s="7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77"/>
      <c r="E217" s="7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77"/>
      <c r="E218" s="7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77"/>
      <c r="E219" s="7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77"/>
      <c r="E220" s="7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77"/>
      <c r="E221" s="7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77"/>
      <c r="E222" s="7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77"/>
      <c r="E223" s="7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77"/>
      <c r="E224" s="7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77"/>
      <c r="E225" s="7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77"/>
      <c r="E226" s="7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77"/>
      <c r="E227" s="7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77"/>
      <c r="E228" s="7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77"/>
      <c r="E229" s="7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77"/>
      <c r="E230" s="7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77"/>
      <c r="E231" s="7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77"/>
      <c r="E232" s="7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77"/>
      <c r="E233" s="7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77"/>
      <c r="E234" s="7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77"/>
      <c r="E235" s="7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77"/>
      <c r="E236" s="7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77"/>
      <c r="E237" s="7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77"/>
      <c r="E238" s="7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77"/>
      <c r="E239" s="7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77"/>
      <c r="E240" s="7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77"/>
      <c r="E241" s="7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77"/>
      <c r="E242" s="7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77"/>
      <c r="E243" s="7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77"/>
      <c r="E244" s="7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77"/>
      <c r="E245" s="7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77"/>
      <c r="E246" s="7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77"/>
      <c r="E247" s="7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77"/>
      <c r="E248" s="7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77"/>
      <c r="E249" s="7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77"/>
      <c r="E250" s="7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77"/>
      <c r="E251" s="7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77"/>
      <c r="E252" s="7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77"/>
      <c r="E253" s="7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77"/>
      <c r="E254" s="7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77"/>
      <c r="E255" s="7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77"/>
      <c r="E256" s="7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77"/>
      <c r="E257" s="7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77"/>
      <c r="E258" s="7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77"/>
      <c r="E259" s="7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77"/>
      <c r="E260" s="7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77"/>
      <c r="E261" s="7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77"/>
      <c r="E262" s="7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77"/>
      <c r="E263" s="7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77"/>
      <c r="E264" s="7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77"/>
      <c r="E265" s="7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77"/>
      <c r="E266" s="7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77"/>
      <c r="E267" s="7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77"/>
      <c r="E268" s="7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77"/>
      <c r="E269" s="7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77"/>
      <c r="E270" s="7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77"/>
      <c r="E271" s="7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77"/>
      <c r="E272" s="7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77"/>
      <c r="E273" s="7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77"/>
      <c r="E274" s="7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77"/>
      <c r="E275" s="7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77"/>
      <c r="E276" s="7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77"/>
      <c r="E277" s="7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77"/>
      <c r="E278" s="7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77"/>
      <c r="E279" s="7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77"/>
      <c r="E280" s="7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77"/>
      <c r="E281" s="7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77"/>
      <c r="E282" s="7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77"/>
      <c r="E283" s="7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77"/>
      <c r="E284" s="7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77"/>
      <c r="E285" s="7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77"/>
      <c r="E286" s="7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77"/>
      <c r="E287" s="7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77"/>
      <c r="E288" s="7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77"/>
      <c r="E289" s="7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77"/>
      <c r="E290" s="7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77"/>
      <c r="E291" s="7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77"/>
      <c r="E292" s="7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77"/>
      <c r="E293" s="7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77"/>
      <c r="E294" s="7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77"/>
      <c r="E295" s="7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77"/>
      <c r="E296" s="7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77"/>
      <c r="E297" s="7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77"/>
      <c r="E298" s="7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77"/>
      <c r="E299" s="7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77"/>
      <c r="E300" s="7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77"/>
      <c r="E301" s="7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77"/>
      <c r="E302" s="7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77"/>
      <c r="E303" s="7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77"/>
      <c r="E304" s="7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77"/>
      <c r="E305" s="7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77"/>
      <c r="E306" s="7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77"/>
      <c r="E307" s="7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77"/>
      <c r="E308" s="7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77"/>
      <c r="E309" s="7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77"/>
      <c r="E310" s="7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77"/>
      <c r="E311" s="7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77"/>
      <c r="E312" s="7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77"/>
      <c r="E313" s="7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77"/>
      <c r="E314" s="7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77"/>
      <c r="E315" s="7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77"/>
      <c r="E316" s="7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77"/>
      <c r="E317" s="7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77"/>
      <c r="E318" s="7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77"/>
      <c r="E319" s="7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77"/>
      <c r="E320" s="7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77"/>
      <c r="E321" s="7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77"/>
      <c r="E322" s="7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77"/>
      <c r="E323" s="7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77"/>
      <c r="E324" s="7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77"/>
      <c r="E325" s="7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77"/>
      <c r="E326" s="7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77"/>
      <c r="E327" s="7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77"/>
      <c r="E328" s="7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77"/>
      <c r="E329" s="7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77"/>
      <c r="E330" s="7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77"/>
      <c r="E331" s="7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77"/>
      <c r="E332" s="7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77"/>
      <c r="E333" s="7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77"/>
      <c r="E334" s="7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77"/>
      <c r="E335" s="7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77"/>
      <c r="E336" s="7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77"/>
      <c r="E337" s="7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77"/>
      <c r="E338" s="7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77"/>
      <c r="E339" s="7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77"/>
      <c r="E340" s="7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77"/>
      <c r="E341" s="7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77"/>
      <c r="E342" s="7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77"/>
      <c r="E343" s="7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77"/>
      <c r="E344" s="7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77"/>
      <c r="E345" s="7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77"/>
      <c r="E346" s="7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77"/>
      <c r="E347" s="7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77"/>
      <c r="E348" s="7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77"/>
      <c r="E349" s="7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77"/>
      <c r="E350" s="7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77"/>
      <c r="E351" s="7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77"/>
      <c r="E352" s="7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77"/>
      <c r="E353" s="7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77"/>
      <c r="E354" s="7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77"/>
      <c r="E355" s="7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77"/>
      <c r="E356" s="7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77"/>
      <c r="E357" s="7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77"/>
      <c r="E358" s="7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77"/>
      <c r="E359" s="7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77"/>
      <c r="E360" s="7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77"/>
      <c r="E361" s="7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77"/>
      <c r="E362" s="7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77"/>
      <c r="E363" s="7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77"/>
      <c r="E364" s="7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77"/>
      <c r="E365" s="7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77"/>
      <c r="E366" s="7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77"/>
      <c r="E367" s="7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77"/>
      <c r="E368" s="7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77"/>
      <c r="E369" s="7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77"/>
      <c r="E370" s="7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77"/>
      <c r="E371" s="7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77"/>
      <c r="E372" s="7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77"/>
      <c r="E373" s="7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77"/>
      <c r="E374" s="7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77"/>
      <c r="E375" s="7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77"/>
      <c r="E376" s="7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77"/>
      <c r="E377" s="7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77"/>
      <c r="E378" s="7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77"/>
      <c r="E379" s="7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77"/>
      <c r="E380" s="7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77"/>
      <c r="E381" s="7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77"/>
      <c r="E382" s="7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77"/>
      <c r="E383" s="7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77"/>
      <c r="E384" s="7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77"/>
      <c r="E385" s="7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77"/>
      <c r="E386" s="7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77"/>
      <c r="E387" s="7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77"/>
      <c r="E388" s="7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77"/>
      <c r="E389" s="7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77"/>
      <c r="E390" s="7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77"/>
      <c r="E391" s="7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77"/>
      <c r="E392" s="7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77"/>
      <c r="E393" s="7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77"/>
      <c r="E394" s="7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77"/>
      <c r="E395" s="7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77"/>
      <c r="E396" s="7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77"/>
      <c r="E397" s="7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77"/>
      <c r="E398" s="7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77"/>
      <c r="E399" s="7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77"/>
      <c r="E400" s="7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77"/>
      <c r="E401" s="7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77"/>
      <c r="E402" s="7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77"/>
      <c r="E403" s="7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77"/>
      <c r="E404" s="7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77"/>
      <c r="E405" s="7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77"/>
      <c r="E406" s="7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77"/>
      <c r="E407" s="7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77"/>
      <c r="E408" s="7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77"/>
      <c r="E409" s="7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77"/>
      <c r="E410" s="7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77"/>
      <c r="E411" s="7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77"/>
      <c r="E412" s="7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77"/>
      <c r="E413" s="7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77"/>
      <c r="E414" s="7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77"/>
      <c r="E415" s="7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77"/>
      <c r="E416" s="7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77"/>
      <c r="E417" s="7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77"/>
      <c r="E418" s="7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77"/>
      <c r="E419" s="7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77"/>
      <c r="E420" s="7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77"/>
      <c r="E421" s="7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77"/>
      <c r="E422" s="7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77"/>
      <c r="E423" s="7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77"/>
      <c r="E424" s="7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77"/>
      <c r="E425" s="7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77"/>
      <c r="E426" s="7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77"/>
      <c r="E427" s="7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77"/>
      <c r="E428" s="7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77"/>
      <c r="E429" s="7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77"/>
      <c r="E430" s="7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77"/>
      <c r="E431" s="7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77"/>
      <c r="E432" s="7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77"/>
      <c r="E433" s="7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77"/>
      <c r="E434" s="7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77"/>
      <c r="E435" s="7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77"/>
      <c r="E436" s="7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77"/>
      <c r="E437" s="7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77"/>
      <c r="E438" s="7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77"/>
      <c r="E439" s="7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77"/>
      <c r="E440" s="7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77"/>
      <c r="E441" s="7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77"/>
      <c r="E442" s="7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77"/>
      <c r="E443" s="7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77"/>
      <c r="E444" s="7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77"/>
      <c r="E445" s="7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77"/>
      <c r="E446" s="7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77"/>
      <c r="E447" s="7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77"/>
      <c r="E448" s="7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77"/>
      <c r="E449" s="7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77"/>
      <c r="E450" s="7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77"/>
      <c r="E451" s="7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77"/>
      <c r="E452" s="7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77"/>
      <c r="E453" s="7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77"/>
      <c r="E454" s="7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77"/>
      <c r="E455" s="7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77"/>
      <c r="E456" s="7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77"/>
      <c r="E457" s="7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77"/>
      <c r="E458" s="7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77"/>
      <c r="E459" s="7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77"/>
      <c r="E460" s="7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77"/>
      <c r="E461" s="7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77"/>
      <c r="E462" s="7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77"/>
      <c r="E463" s="7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77"/>
      <c r="E464" s="7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77"/>
      <c r="E465" s="7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77"/>
      <c r="E466" s="7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77"/>
      <c r="E467" s="7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77"/>
      <c r="E468" s="7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77"/>
      <c r="E469" s="7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77"/>
      <c r="E470" s="7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77"/>
      <c r="E471" s="7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77"/>
      <c r="E472" s="7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77"/>
      <c r="E473" s="7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77"/>
      <c r="E474" s="7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77"/>
      <c r="E475" s="7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77"/>
      <c r="E476" s="7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77"/>
      <c r="E477" s="7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77"/>
      <c r="E478" s="7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77"/>
      <c r="E479" s="7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77"/>
      <c r="E480" s="7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77"/>
      <c r="E481" s="7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77"/>
      <c r="E482" s="7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77"/>
      <c r="E483" s="7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77"/>
      <c r="E484" s="7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77"/>
      <c r="E485" s="7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77"/>
      <c r="E486" s="7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77"/>
      <c r="E487" s="7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77"/>
      <c r="E488" s="7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77"/>
      <c r="E489" s="7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77"/>
      <c r="E490" s="7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77"/>
      <c r="E491" s="7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77"/>
      <c r="E492" s="7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77"/>
      <c r="E493" s="7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77"/>
      <c r="E494" s="7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77"/>
      <c r="E495" s="7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77"/>
      <c r="E496" s="7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77"/>
      <c r="E497" s="7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77"/>
      <c r="E498" s="7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77"/>
      <c r="E499" s="7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77"/>
      <c r="E500" s="7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77"/>
      <c r="E501" s="7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77"/>
      <c r="E502" s="7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77"/>
      <c r="E503" s="7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77"/>
      <c r="E504" s="7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77"/>
      <c r="E505" s="7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77"/>
      <c r="E506" s="7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77"/>
      <c r="E507" s="7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77"/>
      <c r="E508" s="7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77"/>
      <c r="E509" s="7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77"/>
      <c r="E510" s="7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77"/>
      <c r="E511" s="7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77"/>
      <c r="E512" s="7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77"/>
      <c r="E513" s="7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77"/>
      <c r="E514" s="7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77"/>
      <c r="E515" s="7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77"/>
      <c r="E516" s="7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77"/>
      <c r="E517" s="7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77"/>
      <c r="E518" s="7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77"/>
      <c r="E519" s="7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77"/>
      <c r="E520" s="7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77"/>
      <c r="E521" s="7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77"/>
      <c r="E522" s="7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77"/>
      <c r="E523" s="7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77"/>
      <c r="E524" s="7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77"/>
      <c r="E525" s="7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77"/>
      <c r="E526" s="7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77"/>
      <c r="E527" s="7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77"/>
      <c r="E528" s="7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77"/>
      <c r="E529" s="7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77"/>
      <c r="E530" s="7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77"/>
      <c r="E531" s="7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77"/>
      <c r="E532" s="7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77"/>
      <c r="E533" s="7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77"/>
      <c r="E534" s="7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77"/>
      <c r="E535" s="7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77"/>
      <c r="E536" s="7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77"/>
      <c r="E537" s="7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77"/>
      <c r="E538" s="7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77"/>
      <c r="E539" s="7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77"/>
      <c r="E540" s="7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77"/>
      <c r="E541" s="7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77"/>
      <c r="E542" s="7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77"/>
      <c r="E543" s="7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77"/>
      <c r="E544" s="7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77"/>
      <c r="E545" s="7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77"/>
      <c r="E546" s="7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77"/>
      <c r="E547" s="7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77"/>
      <c r="E548" s="7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77"/>
      <c r="E549" s="7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77"/>
      <c r="E550" s="7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77"/>
      <c r="E551" s="7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77"/>
      <c r="E552" s="7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77"/>
      <c r="E553" s="7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77"/>
      <c r="E554" s="7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77"/>
      <c r="E555" s="7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77"/>
      <c r="E556" s="7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77"/>
      <c r="E557" s="7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77"/>
      <c r="E558" s="7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77"/>
      <c r="E559" s="7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77"/>
      <c r="E560" s="7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77"/>
      <c r="E561" s="7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77"/>
      <c r="E562" s="7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77"/>
      <c r="E563" s="7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77"/>
      <c r="E564" s="7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77"/>
      <c r="E565" s="7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77"/>
      <c r="E566" s="7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77"/>
      <c r="E567" s="7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77"/>
      <c r="E568" s="7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77"/>
      <c r="E569" s="7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77"/>
      <c r="E570" s="7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77"/>
      <c r="E571" s="7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77"/>
      <c r="E572" s="7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77"/>
      <c r="E573" s="7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77"/>
      <c r="E574" s="7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77"/>
      <c r="E575" s="7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77"/>
      <c r="E576" s="7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77"/>
      <c r="E577" s="7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77"/>
      <c r="E578" s="7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77"/>
      <c r="E579" s="7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77"/>
      <c r="E580" s="7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77"/>
      <c r="E581" s="7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77"/>
      <c r="E582" s="7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77"/>
      <c r="E583" s="7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77"/>
      <c r="E584" s="7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77"/>
      <c r="E585" s="7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77"/>
      <c r="E586" s="7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77"/>
      <c r="E587" s="7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77"/>
      <c r="E588" s="7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77"/>
      <c r="E589" s="7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77"/>
      <c r="E590" s="7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77"/>
      <c r="E591" s="7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77"/>
      <c r="E592" s="7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77"/>
      <c r="E593" s="7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77"/>
      <c r="E594" s="7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77"/>
      <c r="E595" s="7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77"/>
      <c r="E596" s="7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77"/>
      <c r="E597" s="7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77"/>
      <c r="E598" s="7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77"/>
      <c r="E599" s="7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77"/>
      <c r="E600" s="7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77"/>
      <c r="E601" s="7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77"/>
      <c r="E602" s="7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77"/>
      <c r="E603" s="7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77"/>
      <c r="E604" s="7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77"/>
      <c r="E605" s="7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77"/>
      <c r="E606" s="7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77"/>
      <c r="E607" s="7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77"/>
      <c r="E608" s="7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77"/>
      <c r="E609" s="7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77"/>
      <c r="E610" s="7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77"/>
      <c r="E611" s="7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77"/>
      <c r="E612" s="7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77"/>
      <c r="E613" s="7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77"/>
      <c r="E614" s="7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77"/>
      <c r="E615" s="7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77"/>
      <c r="E616" s="7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77"/>
      <c r="E617" s="7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77"/>
      <c r="E618" s="7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77"/>
      <c r="E619" s="7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77"/>
      <c r="E620" s="7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77"/>
      <c r="E621" s="7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77"/>
      <c r="E622" s="7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77"/>
      <c r="E623" s="7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77"/>
      <c r="E624" s="7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77"/>
      <c r="E625" s="7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77"/>
      <c r="E626" s="7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77"/>
      <c r="E627" s="7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77"/>
      <c r="E628" s="7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77"/>
      <c r="E629" s="7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77"/>
      <c r="E630" s="7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77"/>
      <c r="E631" s="7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77"/>
      <c r="E632" s="7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77"/>
      <c r="E633" s="7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77"/>
      <c r="E634" s="7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77"/>
      <c r="E635" s="7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77"/>
      <c r="E636" s="7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77"/>
      <c r="E637" s="7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77"/>
      <c r="E638" s="7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77"/>
      <c r="E639" s="7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77"/>
      <c r="E640" s="7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77"/>
      <c r="E641" s="7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77"/>
      <c r="E642" s="7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77"/>
      <c r="E643" s="7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77"/>
      <c r="E644" s="7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77"/>
      <c r="E645" s="7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77"/>
      <c r="E646" s="7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77"/>
      <c r="E647" s="7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77"/>
      <c r="E648" s="7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77"/>
      <c r="E649" s="7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77"/>
      <c r="E650" s="7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77"/>
      <c r="E651" s="7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77"/>
      <c r="E652" s="7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77"/>
      <c r="E653" s="7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77"/>
      <c r="E654" s="7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77"/>
      <c r="E655" s="7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77"/>
      <c r="E656" s="7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77"/>
      <c r="E657" s="7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77"/>
      <c r="E658" s="7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77"/>
      <c r="E659" s="7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77"/>
      <c r="E660" s="7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77"/>
      <c r="E661" s="7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77"/>
      <c r="E662" s="7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77"/>
      <c r="E663" s="7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77"/>
      <c r="E664" s="7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77"/>
      <c r="E665" s="7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77"/>
      <c r="E666" s="7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77"/>
      <c r="E667" s="7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77"/>
      <c r="E668" s="7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77"/>
      <c r="E669" s="7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77"/>
      <c r="E670" s="7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77"/>
      <c r="E671" s="7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77"/>
      <c r="E672" s="7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77"/>
      <c r="E673" s="7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77"/>
      <c r="E674" s="7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77"/>
      <c r="E675" s="7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77"/>
      <c r="E676" s="7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77"/>
      <c r="E677" s="7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77"/>
      <c r="E678" s="7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77"/>
      <c r="E679" s="7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77"/>
      <c r="E680" s="7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77"/>
      <c r="E681" s="7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77"/>
      <c r="E682" s="7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77"/>
      <c r="E683" s="7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77"/>
      <c r="E684" s="7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77"/>
      <c r="E685" s="7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77"/>
      <c r="E686" s="7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77"/>
      <c r="E687" s="7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77"/>
      <c r="E688" s="7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77"/>
      <c r="E689" s="7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77"/>
      <c r="E690" s="7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77"/>
      <c r="E691" s="7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77"/>
      <c r="E692" s="7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77"/>
      <c r="E693" s="7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77"/>
      <c r="E694" s="7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77"/>
      <c r="E695" s="7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77"/>
      <c r="E696" s="7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77"/>
      <c r="E697" s="7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77"/>
      <c r="E698" s="7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77"/>
      <c r="E699" s="7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77"/>
      <c r="E700" s="7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77"/>
      <c r="E701" s="7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77"/>
      <c r="E702" s="7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77"/>
      <c r="E703" s="7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77"/>
      <c r="E704" s="7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77"/>
      <c r="E705" s="7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77"/>
      <c r="E706" s="7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77"/>
      <c r="E707" s="7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77"/>
      <c r="E708" s="7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77"/>
      <c r="E709" s="7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77"/>
      <c r="E710" s="7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77"/>
      <c r="E711" s="7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77"/>
      <c r="E712" s="7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77"/>
      <c r="E713" s="7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77"/>
      <c r="E714" s="7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77"/>
      <c r="E715" s="7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77"/>
      <c r="E716" s="7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77"/>
      <c r="E717" s="7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77"/>
      <c r="E718" s="7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77"/>
      <c r="E719" s="7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77"/>
      <c r="E720" s="7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77"/>
      <c r="E721" s="7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77"/>
      <c r="E722" s="7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77"/>
      <c r="E723" s="7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77"/>
      <c r="E724" s="7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77"/>
      <c r="E725" s="7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77"/>
      <c r="E726" s="7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77"/>
      <c r="E727" s="7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77"/>
      <c r="E728" s="7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77"/>
      <c r="E729" s="7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77"/>
      <c r="E730" s="7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77"/>
      <c r="E731" s="7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77"/>
      <c r="E732" s="7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77"/>
      <c r="E733" s="7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77"/>
      <c r="E734" s="7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77"/>
      <c r="E735" s="7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77"/>
      <c r="E736" s="7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77"/>
      <c r="E737" s="7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77"/>
      <c r="E738" s="7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77"/>
      <c r="E739" s="7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77"/>
      <c r="E740" s="7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77"/>
      <c r="E741" s="7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77"/>
      <c r="E742" s="7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77"/>
      <c r="E743" s="7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77"/>
      <c r="E744" s="7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77"/>
      <c r="E745" s="7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77"/>
      <c r="E746" s="7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77"/>
      <c r="E747" s="7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77"/>
      <c r="E748" s="7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77"/>
      <c r="E749" s="7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77"/>
      <c r="E750" s="7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77"/>
      <c r="E751" s="7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77"/>
      <c r="E752" s="7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77"/>
      <c r="E753" s="7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77"/>
      <c r="E754" s="7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77"/>
      <c r="E755" s="7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77"/>
      <c r="E756" s="7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77"/>
      <c r="E757" s="7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77"/>
      <c r="E758" s="7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77"/>
      <c r="E759" s="7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77"/>
      <c r="E760" s="7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77"/>
      <c r="E761" s="7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77"/>
      <c r="E762" s="7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77"/>
      <c r="E763" s="7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77"/>
      <c r="E764" s="7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77"/>
      <c r="E765" s="7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77"/>
      <c r="E766" s="7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77"/>
      <c r="E767" s="7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77"/>
      <c r="E768" s="7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77"/>
      <c r="E769" s="7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77"/>
      <c r="E770" s="7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77"/>
      <c r="E771" s="7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77"/>
      <c r="E772" s="7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77"/>
      <c r="E773" s="7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77"/>
      <c r="E774" s="7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77"/>
      <c r="E775" s="7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77"/>
      <c r="E776" s="7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77"/>
      <c r="E777" s="7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77"/>
      <c r="E778" s="7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77"/>
      <c r="E779" s="7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77"/>
      <c r="E780" s="7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77"/>
      <c r="E781" s="7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77"/>
      <c r="E782" s="7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77"/>
      <c r="E783" s="7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77"/>
      <c r="E784" s="7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77"/>
      <c r="E785" s="7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77"/>
      <c r="E786" s="7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77"/>
      <c r="E787" s="7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77"/>
      <c r="E788" s="7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77"/>
      <c r="E789" s="7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77"/>
      <c r="E790" s="7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77"/>
      <c r="E791" s="7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77"/>
      <c r="E792" s="7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77"/>
      <c r="E793" s="7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77"/>
      <c r="E794" s="7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77"/>
      <c r="E795" s="7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77"/>
      <c r="E796" s="7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77"/>
      <c r="E797" s="7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77"/>
      <c r="E798" s="7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77"/>
      <c r="E799" s="7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77"/>
      <c r="E800" s="7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77"/>
      <c r="E801" s="7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77"/>
      <c r="E802" s="7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77"/>
      <c r="E803" s="7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77"/>
      <c r="E804" s="7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77"/>
      <c r="E805" s="7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77"/>
      <c r="E806" s="7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77"/>
      <c r="E807" s="7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77"/>
      <c r="E808" s="7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77"/>
      <c r="E809" s="7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77"/>
      <c r="E810" s="7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77"/>
      <c r="E811" s="7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77"/>
      <c r="E812" s="7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77"/>
      <c r="E813" s="7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77"/>
      <c r="E814" s="7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77"/>
      <c r="E815" s="7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77"/>
      <c r="E816" s="7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77"/>
      <c r="E817" s="7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77"/>
      <c r="E818" s="7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77"/>
      <c r="E819" s="7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77"/>
      <c r="E820" s="7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77"/>
      <c r="E821" s="7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77"/>
      <c r="E822" s="7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77"/>
      <c r="E823" s="7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77"/>
      <c r="E824" s="7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77"/>
      <c r="E825" s="7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77"/>
      <c r="E826" s="7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77"/>
      <c r="E827" s="7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77"/>
      <c r="E828" s="7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77"/>
      <c r="E829" s="7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77"/>
      <c r="E830" s="7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77"/>
      <c r="E831" s="7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77"/>
      <c r="E832" s="7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77"/>
      <c r="E833" s="7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77"/>
      <c r="E834" s="7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77"/>
      <c r="E835" s="7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77"/>
      <c r="E836" s="7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77"/>
      <c r="E837" s="7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77"/>
      <c r="E838" s="7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77"/>
      <c r="E839" s="7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77"/>
      <c r="E840" s="7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77"/>
      <c r="E841" s="7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77"/>
      <c r="E842" s="7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77"/>
      <c r="E843" s="7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77"/>
      <c r="E844" s="7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77"/>
      <c r="E845" s="7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77"/>
      <c r="E846" s="7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77"/>
      <c r="E847" s="7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77"/>
      <c r="E848" s="7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77"/>
      <c r="E849" s="7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77"/>
      <c r="E850" s="7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77"/>
      <c r="E851" s="7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77"/>
      <c r="E852" s="7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77"/>
      <c r="E853" s="7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77"/>
      <c r="E854" s="7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77"/>
      <c r="E855" s="7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77"/>
      <c r="E856" s="7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77"/>
      <c r="E857" s="7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77"/>
      <c r="E858" s="7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77"/>
      <c r="E859" s="7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77"/>
      <c r="E860" s="7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77"/>
      <c r="E861" s="7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77"/>
      <c r="E862" s="7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77"/>
      <c r="E863" s="7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77"/>
      <c r="E864" s="7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77"/>
      <c r="E865" s="7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77"/>
      <c r="E866" s="7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77"/>
      <c r="E867" s="7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77"/>
      <c r="E868" s="7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77"/>
      <c r="E869" s="7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77"/>
      <c r="E870" s="7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77"/>
      <c r="E871" s="7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77"/>
      <c r="E872" s="7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77"/>
      <c r="E873" s="7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77"/>
      <c r="E874" s="7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77"/>
      <c r="E875" s="7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77"/>
      <c r="E876" s="7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77"/>
      <c r="E877" s="7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77"/>
      <c r="E878" s="7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77"/>
      <c r="E879" s="7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77"/>
      <c r="E880" s="7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77"/>
      <c r="E881" s="7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77"/>
      <c r="E882" s="7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77"/>
      <c r="E883" s="7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77"/>
      <c r="E884" s="7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77"/>
      <c r="E885" s="7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77"/>
      <c r="E886" s="7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77"/>
      <c r="E887" s="7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77"/>
      <c r="E888" s="7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77"/>
      <c r="E889" s="7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77"/>
      <c r="E890" s="7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77"/>
      <c r="E891" s="7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77"/>
      <c r="E892" s="7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77"/>
      <c r="E893" s="7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77"/>
      <c r="E894" s="7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77"/>
      <c r="E895" s="7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77"/>
      <c r="E896" s="7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77"/>
      <c r="E897" s="7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77"/>
      <c r="E898" s="7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77"/>
      <c r="E899" s="7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77"/>
      <c r="E900" s="7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77"/>
      <c r="E901" s="7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77"/>
      <c r="E902" s="7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77"/>
      <c r="E903" s="7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77"/>
      <c r="E904" s="7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77"/>
      <c r="E905" s="7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77"/>
      <c r="E906" s="7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77"/>
      <c r="E907" s="7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77"/>
      <c r="E908" s="7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77"/>
      <c r="E909" s="7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77"/>
      <c r="E910" s="7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77"/>
      <c r="E911" s="7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77"/>
      <c r="E912" s="7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77"/>
      <c r="E913" s="7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77"/>
      <c r="E914" s="7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77"/>
      <c r="E915" s="7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77"/>
      <c r="E916" s="7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77"/>
      <c r="E917" s="7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77"/>
      <c r="E918" s="7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77"/>
      <c r="E919" s="7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77"/>
      <c r="E920" s="7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77"/>
      <c r="E921" s="7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77"/>
      <c r="E922" s="7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77"/>
      <c r="E923" s="7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77"/>
      <c r="E924" s="7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77"/>
      <c r="E925" s="7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77"/>
      <c r="E926" s="7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77"/>
      <c r="E927" s="7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77"/>
      <c r="E928" s="7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77"/>
      <c r="E929" s="7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77"/>
      <c r="E930" s="7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77"/>
      <c r="E931" s="7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77"/>
      <c r="E932" s="7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77"/>
      <c r="E933" s="7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77"/>
      <c r="E934" s="7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77"/>
      <c r="E935" s="7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77"/>
      <c r="E936" s="7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77"/>
      <c r="E937" s="7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77"/>
      <c r="E938" s="7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77"/>
      <c r="E939" s="7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77"/>
      <c r="E940" s="7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77"/>
      <c r="E941" s="7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77"/>
      <c r="E942" s="7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77"/>
      <c r="E943" s="7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77"/>
      <c r="E944" s="7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77"/>
      <c r="E945" s="7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77"/>
      <c r="E946" s="7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77"/>
      <c r="E947" s="7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77"/>
      <c r="E948" s="7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77"/>
      <c r="E949" s="7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77"/>
      <c r="E950" s="7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77"/>
      <c r="E951" s="71"/>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77"/>
      <c r="E952" s="71"/>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77"/>
      <c r="E953" s="71"/>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77"/>
      <c r="E954" s="71"/>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77"/>
      <c r="E955" s="71"/>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77"/>
      <c r="E956" s="71"/>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77"/>
      <c r="E957" s="71"/>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77"/>
      <c r="E958" s="71"/>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77"/>
      <c r="E959" s="71"/>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77"/>
      <c r="E960" s="71"/>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77"/>
      <c r="E961" s="71"/>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77"/>
      <c r="E962" s="71"/>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77"/>
      <c r="E963" s="71"/>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77"/>
      <c r="E964" s="71"/>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sheetData>
  <mergeCells count="10">
    <mergeCell ref="A17:A20"/>
    <mergeCell ref="A22:A25"/>
    <mergeCell ref="B22:B25"/>
    <mergeCell ref="A2:A5"/>
    <mergeCell ref="B2:B5"/>
    <mergeCell ref="A7:A10"/>
    <mergeCell ref="B7:B10"/>
    <mergeCell ref="A12:A15"/>
    <mergeCell ref="B12:B15"/>
    <mergeCell ref="B17:B20"/>
  </mergeCells>
  <conditionalFormatting sqref="E2:E25">
    <cfRule type="colorScale" priority="1">
      <colorScale>
        <cfvo type="formula" val="0"/>
        <cfvo type="formula" val="1"/>
        <color rgb="FFFFFFFF"/>
        <color rgb="FFE67C73"/>
      </colorScale>
    </cfRule>
  </conditionalFormatting>
  <conditionalFormatting sqref="E2:E964">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64">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72"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30</v>
      </c>
      <c r="B2" s="54" t="s">
        <v>31</v>
      </c>
      <c r="C2" s="7" t="s">
        <v>19</v>
      </c>
      <c r="D2" s="73" t="s">
        <v>85</v>
      </c>
      <c r="E2" s="74">
        <f>IFERROR(__xludf.DUMMYFUNCTION("COUNTA(SPLIT(D2,"" ""))/COUNTA(SPLIT($B$2,"" ""))"),0.7735849056603774)</f>
        <v>0.7735849057</v>
      </c>
      <c r="F2" s="7">
        <v>5.0</v>
      </c>
      <c r="G2" s="7">
        <v>4.0</v>
      </c>
      <c r="H2" s="7">
        <v>4.0</v>
      </c>
      <c r="I2" s="7">
        <v>4.0</v>
      </c>
      <c r="J2" s="7">
        <v>5.0</v>
      </c>
      <c r="K2" s="57"/>
      <c r="L2" s="57"/>
      <c r="M2" s="57"/>
      <c r="N2" s="57"/>
      <c r="O2" s="57"/>
      <c r="P2" s="57"/>
      <c r="Q2" s="57"/>
      <c r="R2" s="57"/>
      <c r="S2" s="57"/>
      <c r="T2" s="57"/>
      <c r="U2" s="57"/>
      <c r="V2" s="57"/>
      <c r="W2" s="57"/>
      <c r="X2" s="57"/>
      <c r="Y2" s="57"/>
      <c r="Z2" s="57"/>
      <c r="AA2" s="57"/>
      <c r="AB2" s="57"/>
    </row>
    <row r="3" ht="225.0" customHeight="1">
      <c r="C3" s="7" t="s">
        <v>20</v>
      </c>
      <c r="D3" s="73" t="s">
        <v>86</v>
      </c>
      <c r="E3" s="75">
        <f>IFERROR(__xludf.DUMMYFUNCTION("COUNTA(SPLIT(D3,"" ""))/COUNTA(SPLIT($B$2,"" ""))"),0.5094339622641509)</f>
        <v>0.5094339623</v>
      </c>
      <c r="F3" s="7">
        <v>4.0</v>
      </c>
      <c r="G3" s="7">
        <v>4.0</v>
      </c>
      <c r="H3" s="7">
        <v>5.0</v>
      </c>
      <c r="I3" s="7">
        <v>4.0</v>
      </c>
      <c r="J3" s="7">
        <v>5.0</v>
      </c>
      <c r="K3" s="57"/>
      <c r="L3" s="57"/>
      <c r="M3" s="57"/>
      <c r="N3" s="57"/>
      <c r="O3" s="57"/>
      <c r="P3" s="57"/>
      <c r="Q3" s="57"/>
      <c r="R3" s="57"/>
      <c r="S3" s="57"/>
      <c r="T3" s="57"/>
      <c r="U3" s="57"/>
      <c r="V3" s="57"/>
      <c r="W3" s="57"/>
      <c r="X3" s="57"/>
      <c r="Y3" s="57"/>
      <c r="Z3" s="57"/>
      <c r="AA3" s="57"/>
      <c r="AB3" s="57"/>
    </row>
    <row r="4" ht="225.0" customHeight="1">
      <c r="C4" s="7" t="s">
        <v>8</v>
      </c>
      <c r="D4" s="73" t="s">
        <v>87</v>
      </c>
      <c r="E4" s="76">
        <f>IFERROR(__xludf.DUMMYFUNCTION("COUNTA(SPLIT(D4,"" ""))/COUNTA(SPLIT($B$2,"" ""))"),0.7169811320754716)</f>
        <v>0.7169811321</v>
      </c>
      <c r="F4" s="7">
        <v>2.0</v>
      </c>
      <c r="G4" s="7">
        <v>4.0</v>
      </c>
      <c r="H4" s="7">
        <v>3.0</v>
      </c>
      <c r="I4" s="7">
        <v>3.0</v>
      </c>
      <c r="J4" s="7">
        <v>4.0</v>
      </c>
      <c r="K4" s="57"/>
      <c r="L4" s="57"/>
      <c r="M4" s="57"/>
      <c r="N4" s="57"/>
      <c r="O4" s="57"/>
      <c r="P4" s="57"/>
      <c r="Q4" s="57"/>
      <c r="R4" s="57"/>
      <c r="S4" s="57"/>
      <c r="T4" s="57"/>
      <c r="U4" s="57"/>
      <c r="V4" s="57"/>
      <c r="W4" s="57"/>
      <c r="X4" s="57"/>
      <c r="Y4" s="57"/>
      <c r="Z4" s="57"/>
      <c r="AA4" s="57"/>
      <c r="AB4" s="57"/>
    </row>
    <row r="5" ht="225.0" customHeight="1">
      <c r="C5" s="7" t="s">
        <v>21</v>
      </c>
      <c r="D5" s="73" t="s">
        <v>88</v>
      </c>
      <c r="E5" s="76">
        <f>IFERROR(__xludf.DUMMYFUNCTION("COUNTA(SPLIT(D5,"" ""))/COUNTA(SPLIT($B$2,"" ""))"),0.4716981132075472)</f>
        <v>0.4716981132</v>
      </c>
      <c r="F5" s="7">
        <v>4.0</v>
      </c>
      <c r="G5" s="7">
        <v>5.0</v>
      </c>
      <c r="H5" s="7">
        <v>5.0</v>
      </c>
      <c r="I5" s="7">
        <v>3.0</v>
      </c>
      <c r="J5" s="7">
        <v>5.0</v>
      </c>
      <c r="K5" s="57"/>
      <c r="L5" s="57"/>
      <c r="M5" s="57"/>
      <c r="N5" s="57"/>
      <c r="O5" s="57"/>
      <c r="P5" s="57"/>
      <c r="Q5" s="57"/>
      <c r="R5" s="57"/>
      <c r="S5" s="57"/>
      <c r="T5" s="57"/>
      <c r="U5" s="57"/>
      <c r="V5" s="57"/>
      <c r="W5" s="57"/>
      <c r="X5" s="57"/>
      <c r="Y5" s="57"/>
      <c r="Z5" s="57"/>
      <c r="AA5" s="57"/>
      <c r="AB5" s="57"/>
    </row>
    <row r="6">
      <c r="A6" s="57"/>
      <c r="B6" s="57"/>
      <c r="C6" s="59"/>
      <c r="D6" s="77"/>
      <c r="E6" s="61"/>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33</v>
      </c>
      <c r="B7" s="63" t="s">
        <v>34</v>
      </c>
      <c r="C7" s="64" t="s">
        <v>19</v>
      </c>
      <c r="D7" s="78" t="s">
        <v>89</v>
      </c>
      <c r="E7" s="79">
        <f>IFERROR(__xludf.DUMMYFUNCTION("COUNTA(SPLIT(D7,"" ""))/COUNTA(SPLIT($B$7,"" ""))"),0.5926605504587156)</f>
        <v>0.5926605505</v>
      </c>
      <c r="F7" s="7">
        <v>3.0</v>
      </c>
      <c r="G7" s="7">
        <v>4.0</v>
      </c>
      <c r="H7" s="7">
        <v>4.0</v>
      </c>
      <c r="I7" s="7">
        <v>2.0</v>
      </c>
      <c r="J7" s="7">
        <v>5.0</v>
      </c>
      <c r="K7" s="67"/>
      <c r="L7" s="67"/>
      <c r="M7" s="67"/>
      <c r="N7" s="67"/>
      <c r="O7" s="67"/>
      <c r="P7" s="67"/>
      <c r="Q7" s="67"/>
      <c r="R7" s="67"/>
      <c r="S7" s="67"/>
      <c r="T7" s="67"/>
      <c r="U7" s="67"/>
      <c r="V7" s="67"/>
      <c r="W7" s="67"/>
      <c r="X7" s="67"/>
      <c r="Y7" s="67"/>
      <c r="Z7" s="67"/>
      <c r="AA7" s="67"/>
      <c r="AB7" s="67"/>
    </row>
    <row r="8" ht="225.0" customHeight="1">
      <c r="C8" s="7" t="s">
        <v>20</v>
      </c>
      <c r="D8" s="73" t="s">
        <v>90</v>
      </c>
      <c r="E8" s="74">
        <f>IFERROR(__xludf.DUMMYFUNCTION("COUNTA(SPLIT(D8,"" ""))/COUNTA(SPLIT($B$7,"" ""))"),0.14678899082568808)</f>
        <v>0.1467889908</v>
      </c>
      <c r="F8" s="7">
        <v>4.0</v>
      </c>
      <c r="G8" s="7">
        <v>4.0</v>
      </c>
      <c r="H8" s="7">
        <v>5.0</v>
      </c>
      <c r="I8" s="7">
        <v>5.0</v>
      </c>
      <c r="J8" s="7">
        <v>5.0</v>
      </c>
      <c r="K8" s="57"/>
      <c r="L8" s="57"/>
      <c r="M8" s="57"/>
      <c r="N8" s="57"/>
      <c r="O8" s="57"/>
      <c r="P8" s="57"/>
      <c r="Q8" s="57"/>
      <c r="R8" s="57"/>
      <c r="S8" s="57"/>
      <c r="T8" s="57"/>
      <c r="U8" s="57"/>
      <c r="V8" s="57"/>
      <c r="W8" s="57"/>
      <c r="X8" s="57"/>
      <c r="Y8" s="57"/>
      <c r="Z8" s="57"/>
      <c r="AA8" s="57"/>
      <c r="AB8" s="57"/>
    </row>
    <row r="9" ht="225.0" customHeight="1">
      <c r="C9" s="7" t="s">
        <v>8</v>
      </c>
      <c r="D9" s="73" t="s">
        <v>91</v>
      </c>
      <c r="E9" s="70">
        <f>IFERROR(__xludf.DUMMYFUNCTION("COUNTA(SPLIT(D9,"" ""))/COUNTA(SPLIT($B$7,"" ""))"),0.3394495412844037)</f>
        <v>0.3394495413</v>
      </c>
      <c r="F9" s="7">
        <v>3.0</v>
      </c>
      <c r="G9" s="7">
        <v>5.0</v>
      </c>
      <c r="H9" s="7">
        <v>4.0</v>
      </c>
      <c r="I9" s="7">
        <v>3.0</v>
      </c>
      <c r="J9" s="7">
        <v>4.0</v>
      </c>
      <c r="K9" s="57"/>
      <c r="L9" s="57"/>
      <c r="M9" s="57"/>
      <c r="N9" s="57"/>
      <c r="O9" s="57"/>
      <c r="P9" s="57"/>
      <c r="Q9" s="57"/>
      <c r="R9" s="57"/>
      <c r="S9" s="57"/>
      <c r="T9" s="57"/>
      <c r="U9" s="57"/>
      <c r="V9" s="57"/>
      <c r="W9" s="57"/>
      <c r="X9" s="57"/>
      <c r="Y9" s="57"/>
      <c r="Z9" s="57"/>
      <c r="AA9" s="57"/>
      <c r="AB9" s="57"/>
    </row>
    <row r="10" ht="225.0" customHeight="1">
      <c r="C10" s="7" t="s">
        <v>21</v>
      </c>
      <c r="D10" s="73" t="s">
        <v>92</v>
      </c>
      <c r="E10" s="80">
        <f>IFERROR(__xludf.DUMMYFUNCTION("COUNTA(SPLIT(D10,"" ""))/COUNTA(SPLIT($B$7,"" ""))"),0.13211009174311927)</f>
        <v>0.1321100917</v>
      </c>
      <c r="F10" s="7">
        <v>4.0</v>
      </c>
      <c r="G10" s="7">
        <v>5.0</v>
      </c>
      <c r="H10" s="7">
        <v>4.0</v>
      </c>
      <c r="I10" s="7">
        <v>5.0</v>
      </c>
      <c r="J10" s="7">
        <v>5.0</v>
      </c>
      <c r="K10" s="57"/>
      <c r="L10" s="57"/>
      <c r="M10" s="57"/>
      <c r="N10" s="57"/>
      <c r="O10" s="57"/>
      <c r="P10" s="57"/>
      <c r="Q10" s="57"/>
      <c r="R10" s="57"/>
      <c r="S10" s="57"/>
      <c r="T10" s="57"/>
      <c r="U10" s="57"/>
      <c r="V10" s="57"/>
      <c r="W10" s="57"/>
      <c r="X10" s="57"/>
      <c r="Y10" s="57"/>
      <c r="Z10" s="57"/>
      <c r="AA10" s="57"/>
      <c r="AB10" s="57"/>
    </row>
    <row r="11">
      <c r="A11" s="57"/>
      <c r="B11" s="57"/>
      <c r="C11" s="59"/>
      <c r="D11" s="77"/>
      <c r="E11" s="61"/>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36</v>
      </c>
      <c r="B12" s="63" t="s">
        <v>37</v>
      </c>
      <c r="C12" s="64" t="s">
        <v>19</v>
      </c>
      <c r="D12" s="78" t="s">
        <v>93</v>
      </c>
      <c r="E12" s="81">
        <f>IFERROR(__xludf.DUMMYFUNCTION("COUNTA(SPLIT(D12,"" ""))/COUNTA(SPLIT($B$12,"" ""))"),0.8401162790697675)</f>
        <v>0.8401162791</v>
      </c>
      <c r="F12" s="7">
        <v>4.0</v>
      </c>
      <c r="G12" s="7">
        <v>5.0</v>
      </c>
      <c r="H12" s="7">
        <v>5.0</v>
      </c>
      <c r="I12" s="7">
        <v>1.0</v>
      </c>
      <c r="J12" s="7">
        <v>5.0</v>
      </c>
      <c r="K12" s="67"/>
      <c r="L12" s="67"/>
      <c r="M12" s="67"/>
      <c r="N12" s="67"/>
      <c r="O12" s="67"/>
      <c r="P12" s="67"/>
      <c r="Q12" s="67"/>
      <c r="R12" s="67"/>
      <c r="S12" s="67"/>
      <c r="T12" s="67"/>
      <c r="U12" s="67"/>
      <c r="V12" s="67"/>
      <c r="W12" s="67"/>
      <c r="X12" s="67"/>
      <c r="Y12" s="67"/>
      <c r="Z12" s="67"/>
      <c r="AA12" s="67"/>
      <c r="AB12" s="67"/>
    </row>
    <row r="13" ht="225.0" customHeight="1">
      <c r="C13" s="7" t="s">
        <v>20</v>
      </c>
      <c r="D13" s="73" t="s">
        <v>94</v>
      </c>
      <c r="E13" s="82">
        <f>IFERROR(__xludf.DUMMYFUNCTION("COUNTA(SPLIT(D13,"" ""))/COUNTA(SPLIT($B$12,"" ""))"),0.15988372093023256)</f>
        <v>0.1598837209</v>
      </c>
      <c r="F13" s="7">
        <v>4.0</v>
      </c>
      <c r="G13" s="7">
        <v>5.0</v>
      </c>
      <c r="H13" s="7">
        <v>4.0</v>
      </c>
      <c r="I13" s="7">
        <v>4.0</v>
      </c>
      <c r="J13" s="7">
        <v>5.0</v>
      </c>
      <c r="K13" s="57"/>
      <c r="L13" s="57"/>
      <c r="M13" s="57"/>
      <c r="N13" s="57"/>
      <c r="O13" s="57"/>
      <c r="P13" s="57"/>
      <c r="Q13" s="57"/>
      <c r="R13" s="57"/>
      <c r="S13" s="57"/>
      <c r="T13" s="57"/>
      <c r="U13" s="57"/>
      <c r="V13" s="57"/>
      <c r="W13" s="57"/>
      <c r="X13" s="57"/>
      <c r="Y13" s="57"/>
      <c r="Z13" s="57"/>
      <c r="AA13" s="57"/>
      <c r="AB13" s="57"/>
    </row>
    <row r="14" ht="225.0" customHeight="1">
      <c r="C14" s="7" t="s">
        <v>8</v>
      </c>
      <c r="D14" s="73" t="s">
        <v>95</v>
      </c>
      <c r="E14" s="83">
        <f>IFERROR(__xludf.DUMMYFUNCTION("COUNTA(SPLIT(D14,"" ""))/COUNTA(SPLIT($B$12,"" ""))"),0.49709302325581395)</f>
        <v>0.4970930233</v>
      </c>
      <c r="F14" s="7">
        <v>3.0</v>
      </c>
      <c r="G14" s="7">
        <v>4.0</v>
      </c>
      <c r="H14" s="7">
        <v>4.0</v>
      </c>
      <c r="I14" s="7">
        <v>3.0</v>
      </c>
      <c r="J14" s="7">
        <v>5.0</v>
      </c>
      <c r="K14" s="57"/>
      <c r="L14" s="57"/>
      <c r="M14" s="57"/>
      <c r="N14" s="57"/>
      <c r="O14" s="57"/>
      <c r="P14" s="57"/>
      <c r="Q14" s="57"/>
      <c r="R14" s="57"/>
      <c r="S14" s="57"/>
      <c r="T14" s="57"/>
      <c r="U14" s="57"/>
      <c r="V14" s="57"/>
      <c r="W14" s="57"/>
      <c r="X14" s="57"/>
      <c r="Y14" s="57"/>
      <c r="Z14" s="57"/>
      <c r="AA14" s="57"/>
      <c r="AB14" s="57"/>
    </row>
    <row r="15" ht="225.0" customHeight="1">
      <c r="C15" s="7" t="s">
        <v>21</v>
      </c>
      <c r="D15" s="73" t="s">
        <v>96</v>
      </c>
      <c r="E15" s="84">
        <f>IFERROR(__xludf.DUMMYFUNCTION("COUNTA(SPLIT(D15,"" ""))/COUNTA(SPLIT($B$12,"" ""))"),0.19186046511627908)</f>
        <v>0.1918604651</v>
      </c>
      <c r="F15" s="7">
        <v>5.0</v>
      </c>
      <c r="G15" s="7">
        <v>5.0</v>
      </c>
      <c r="H15" s="7">
        <v>5.0</v>
      </c>
      <c r="I15" s="7">
        <v>5.0</v>
      </c>
      <c r="J15" s="7">
        <v>5.0</v>
      </c>
      <c r="K15" s="57"/>
      <c r="L15" s="57"/>
      <c r="M15" s="57"/>
      <c r="N15" s="57"/>
      <c r="O15" s="57"/>
      <c r="P15" s="57"/>
      <c r="Q15" s="57"/>
      <c r="R15" s="57"/>
      <c r="S15" s="57"/>
      <c r="T15" s="57"/>
      <c r="U15" s="57"/>
      <c r="V15" s="57"/>
      <c r="W15" s="57"/>
      <c r="X15" s="57"/>
      <c r="Y15" s="57"/>
      <c r="Z15" s="57"/>
      <c r="AA15" s="57"/>
      <c r="AB15" s="57"/>
    </row>
    <row r="16">
      <c r="A16" s="57"/>
      <c r="B16" s="57"/>
      <c r="C16" s="59"/>
      <c r="D16" s="77"/>
      <c r="E16" s="61"/>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39</v>
      </c>
      <c r="B17" s="63" t="s">
        <v>40</v>
      </c>
      <c r="C17" s="64" t="s">
        <v>19</v>
      </c>
      <c r="D17" s="78" t="s">
        <v>97</v>
      </c>
      <c r="E17" s="85">
        <f>IFERROR(__xludf.DUMMYFUNCTION("COUNTA(SPLIT(D17,"" ""))/COUNTA(SPLIT($B$17,"" ""))"),0.9948186528497409)</f>
        <v>0.9948186528</v>
      </c>
      <c r="F17" s="7">
        <v>4.0</v>
      </c>
      <c r="G17" s="7">
        <v>5.0</v>
      </c>
      <c r="H17" s="7">
        <v>4.0</v>
      </c>
      <c r="I17" s="7">
        <v>1.0</v>
      </c>
      <c r="J17" s="7">
        <v>5.0</v>
      </c>
      <c r="K17" s="67"/>
      <c r="L17" s="67"/>
      <c r="M17" s="67"/>
      <c r="N17" s="67"/>
      <c r="O17" s="67"/>
      <c r="P17" s="67"/>
      <c r="Q17" s="67"/>
      <c r="R17" s="67"/>
      <c r="S17" s="67"/>
      <c r="T17" s="67"/>
      <c r="U17" s="67"/>
      <c r="V17" s="67"/>
      <c r="W17" s="67"/>
      <c r="X17" s="67"/>
      <c r="Y17" s="67"/>
      <c r="Z17" s="67"/>
      <c r="AA17" s="67"/>
      <c r="AB17" s="67"/>
    </row>
    <row r="18" ht="225.0" customHeight="1">
      <c r="C18" s="7" t="s">
        <v>20</v>
      </c>
      <c r="D18" s="73" t="s">
        <v>98</v>
      </c>
      <c r="E18" s="80">
        <f>IFERROR(__xludf.DUMMYFUNCTION("COUNTA(SPLIT(D18,"" ""))/COUNTA(SPLIT($B$17,"" ""))"),0.3626943005181347)</f>
        <v>0.3626943005</v>
      </c>
      <c r="F18" s="7">
        <v>4.0</v>
      </c>
      <c r="G18" s="7">
        <v>4.0</v>
      </c>
      <c r="H18" s="7">
        <v>4.0</v>
      </c>
      <c r="I18" s="7">
        <v>4.0</v>
      </c>
      <c r="J18" s="7">
        <v>5.0</v>
      </c>
      <c r="K18" s="57"/>
      <c r="L18" s="57"/>
      <c r="M18" s="57"/>
      <c r="N18" s="57"/>
      <c r="O18" s="57"/>
      <c r="P18" s="57"/>
      <c r="Q18" s="57"/>
      <c r="R18" s="57"/>
      <c r="S18" s="57"/>
      <c r="T18" s="57"/>
      <c r="U18" s="57"/>
      <c r="V18" s="57"/>
      <c r="W18" s="57"/>
      <c r="X18" s="57"/>
      <c r="Y18" s="57"/>
      <c r="Z18" s="57"/>
      <c r="AA18" s="57"/>
      <c r="AB18" s="57"/>
    </row>
    <row r="19" ht="225.0" customHeight="1">
      <c r="C19" s="7" t="s">
        <v>8</v>
      </c>
      <c r="D19" s="73" t="s">
        <v>99</v>
      </c>
      <c r="E19" s="86">
        <f>IFERROR(__xludf.DUMMYFUNCTION("COUNTA(SPLIT(D19,"" ""))/COUNTA(SPLIT($B$17,"" ""))"),0.6787564766839378)</f>
        <v>0.6787564767</v>
      </c>
      <c r="F19" s="7">
        <v>3.0</v>
      </c>
      <c r="G19" s="7">
        <v>4.0</v>
      </c>
      <c r="H19" s="7">
        <v>4.0</v>
      </c>
      <c r="I19" s="7">
        <v>4.0</v>
      </c>
      <c r="J19" s="7">
        <v>5.0</v>
      </c>
      <c r="K19" s="57"/>
      <c r="L19" s="57"/>
      <c r="M19" s="57"/>
      <c r="N19" s="57"/>
      <c r="O19" s="57"/>
      <c r="P19" s="57"/>
      <c r="Q19" s="57"/>
      <c r="R19" s="57"/>
      <c r="S19" s="57"/>
      <c r="T19" s="57"/>
      <c r="U19" s="57"/>
      <c r="V19" s="57"/>
      <c r="W19" s="57"/>
      <c r="X19" s="57"/>
      <c r="Y19" s="57"/>
      <c r="Z19" s="57"/>
      <c r="AA19" s="57"/>
      <c r="AB19" s="57"/>
    </row>
    <row r="20" ht="225.0" customHeight="1">
      <c r="C20" s="7" t="s">
        <v>21</v>
      </c>
      <c r="D20" s="73" t="s">
        <v>100</v>
      </c>
      <c r="E20" s="87">
        <f>IFERROR(__xludf.DUMMYFUNCTION("COUNTA(SPLIT(D20,"" ""))/COUNTA(SPLIT($B$17,"" ""))"),0.3471502590673575)</f>
        <v>0.3471502591</v>
      </c>
      <c r="F20" s="7">
        <v>4.0</v>
      </c>
      <c r="G20" s="7">
        <v>5.0</v>
      </c>
      <c r="H20" s="7">
        <v>5.0</v>
      </c>
      <c r="I20" s="7">
        <v>4.0</v>
      </c>
      <c r="J20" s="7">
        <v>5.0</v>
      </c>
      <c r="K20" s="57"/>
      <c r="L20" s="57"/>
      <c r="M20" s="57"/>
      <c r="N20" s="57"/>
      <c r="O20" s="57"/>
      <c r="P20" s="57"/>
      <c r="Q20" s="57"/>
      <c r="R20" s="57"/>
      <c r="S20" s="57"/>
      <c r="T20" s="57"/>
      <c r="U20" s="57"/>
      <c r="V20" s="57"/>
      <c r="W20" s="57"/>
      <c r="X20" s="57"/>
      <c r="Y20" s="57"/>
      <c r="Z20" s="57"/>
      <c r="AA20" s="57"/>
      <c r="AB20" s="57"/>
    </row>
    <row r="21">
      <c r="A21" s="57"/>
      <c r="B21" s="57"/>
      <c r="C21" s="59"/>
      <c r="D21" s="77"/>
      <c r="E21" s="61"/>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42</v>
      </c>
      <c r="B22" s="63" t="s">
        <v>43</v>
      </c>
      <c r="C22" s="64" t="s">
        <v>19</v>
      </c>
      <c r="D22" s="78" t="s">
        <v>101</v>
      </c>
      <c r="E22" s="88">
        <f>IFERROR(__xludf.DUMMYFUNCTION("COUNTA(SPLIT(D22,"" ""))/COUNTA(SPLIT($B$22,"" ""))"),0.35823429541595925)</f>
        <v>0.3582342954</v>
      </c>
      <c r="F22" s="7">
        <v>4.0</v>
      </c>
      <c r="G22" s="7">
        <v>4.0</v>
      </c>
      <c r="H22" s="7">
        <v>4.0</v>
      </c>
      <c r="I22" s="7">
        <v>3.0</v>
      </c>
      <c r="J22" s="7">
        <v>4.0</v>
      </c>
      <c r="K22" s="67"/>
      <c r="L22" s="67"/>
      <c r="M22" s="67"/>
      <c r="N22" s="67"/>
      <c r="O22" s="67"/>
      <c r="P22" s="67"/>
      <c r="Q22" s="67"/>
      <c r="R22" s="67"/>
      <c r="S22" s="67"/>
      <c r="T22" s="67"/>
      <c r="U22" s="67"/>
      <c r="V22" s="67"/>
      <c r="W22" s="67"/>
      <c r="X22" s="67"/>
      <c r="Y22" s="67"/>
      <c r="Z22" s="67"/>
      <c r="AA22" s="67"/>
      <c r="AB22" s="67"/>
    </row>
    <row r="23" ht="225.0" customHeight="1">
      <c r="C23" s="7" t="s">
        <v>20</v>
      </c>
      <c r="D23" s="73" t="s">
        <v>102</v>
      </c>
      <c r="E23" s="82">
        <f>IFERROR(__xludf.DUMMYFUNCTION("COUNTA(SPLIT(D23,"" ""))/COUNTA(SPLIT($B$22,"" ""))"),0.13752122241086587)</f>
        <v>0.1375212224</v>
      </c>
      <c r="F23" s="7">
        <v>4.0</v>
      </c>
      <c r="G23" s="7">
        <v>4.0</v>
      </c>
      <c r="H23" s="7">
        <v>5.0</v>
      </c>
      <c r="I23" s="7">
        <v>4.0</v>
      </c>
      <c r="J23" s="7">
        <v>3.0</v>
      </c>
      <c r="K23" s="57"/>
      <c r="L23" s="57"/>
      <c r="M23" s="57"/>
      <c r="N23" s="57"/>
      <c r="O23" s="57"/>
      <c r="P23" s="57"/>
      <c r="Q23" s="57"/>
      <c r="R23" s="57"/>
      <c r="S23" s="57"/>
      <c r="T23" s="57"/>
      <c r="U23" s="57"/>
      <c r="V23" s="57"/>
      <c r="W23" s="57"/>
      <c r="X23" s="57"/>
      <c r="Y23" s="57"/>
      <c r="Z23" s="57"/>
      <c r="AA23" s="57"/>
      <c r="AB23" s="57"/>
    </row>
    <row r="24" ht="225.0" customHeight="1">
      <c r="C24" s="7" t="s">
        <v>8</v>
      </c>
      <c r="D24" s="73" t="s">
        <v>103</v>
      </c>
      <c r="E24" s="89">
        <f>IFERROR(__xludf.DUMMYFUNCTION("COUNTA(SPLIT(D24,"" ""))/COUNTA(SPLIT($B$22,"" ""))"),0.25127334465195245)</f>
        <v>0.2512733447</v>
      </c>
      <c r="F24" s="7">
        <v>3.0</v>
      </c>
      <c r="G24" s="7">
        <v>3.0</v>
      </c>
      <c r="H24" s="7">
        <v>5.0</v>
      </c>
      <c r="I24" s="7">
        <v>3.0</v>
      </c>
      <c r="J24" s="7">
        <v>4.0</v>
      </c>
      <c r="K24" s="57"/>
      <c r="L24" s="57"/>
      <c r="M24" s="57"/>
      <c r="N24" s="57"/>
      <c r="O24" s="57"/>
      <c r="P24" s="57"/>
      <c r="Q24" s="57"/>
      <c r="R24" s="57"/>
      <c r="S24" s="57"/>
      <c r="T24" s="57"/>
      <c r="U24" s="57"/>
      <c r="V24" s="57"/>
      <c r="W24" s="57"/>
      <c r="X24" s="57"/>
      <c r="Y24" s="57"/>
      <c r="Z24" s="57"/>
      <c r="AA24" s="57"/>
      <c r="AB24" s="57"/>
    </row>
    <row r="25" ht="225.0" customHeight="1">
      <c r="C25" s="7" t="s">
        <v>21</v>
      </c>
      <c r="D25" s="73" t="s">
        <v>104</v>
      </c>
      <c r="E25" s="90">
        <f>IFERROR(__xludf.DUMMYFUNCTION("COUNTA(SPLIT(D25,"" ""))/COUNTA(SPLIT($B$22,"" ""))"),0.11544991511035653)</f>
        <v>0.1154499151</v>
      </c>
      <c r="F25" s="7">
        <v>4.0</v>
      </c>
      <c r="G25" s="7">
        <v>4.0</v>
      </c>
      <c r="H25" s="7">
        <v>5.0</v>
      </c>
      <c r="I25" s="7">
        <v>4.0</v>
      </c>
      <c r="J25" s="7">
        <v>3.0</v>
      </c>
      <c r="K25" s="57"/>
      <c r="L25" s="57"/>
      <c r="M25" s="57"/>
      <c r="N25" s="57"/>
      <c r="O25" s="57"/>
      <c r="P25" s="57"/>
      <c r="Q25" s="57"/>
      <c r="R25" s="57"/>
      <c r="S25" s="57"/>
      <c r="T25" s="57"/>
      <c r="U25" s="57"/>
      <c r="V25" s="57"/>
      <c r="W25" s="57"/>
      <c r="X25" s="57"/>
      <c r="Y25" s="57"/>
      <c r="Z25" s="57"/>
      <c r="AA25" s="57"/>
      <c r="AB25" s="57"/>
    </row>
    <row r="26">
      <c r="A26" s="57"/>
      <c r="B26" s="57"/>
      <c r="C26" s="59"/>
      <c r="D26" s="77"/>
      <c r="E26" s="61"/>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77"/>
      <c r="E27" s="7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77"/>
      <c r="E28" s="7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77"/>
      <c r="E29" s="7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77"/>
      <c r="E30" s="7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77"/>
      <c r="E31" s="7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77"/>
      <c r="E32" s="7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77"/>
      <c r="E33" s="7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77"/>
      <c r="E34" s="7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77"/>
      <c r="E35" s="7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77"/>
      <c r="E36" s="7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77"/>
      <c r="E37" s="7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77"/>
      <c r="E38" s="7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77"/>
      <c r="E39" s="7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77"/>
      <c r="E40" s="7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77"/>
      <c r="E41" s="7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77"/>
      <c r="E42" s="7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77"/>
      <c r="E43" s="7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77"/>
      <c r="E44" s="7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77"/>
      <c r="E45" s="7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77"/>
      <c r="E46" s="7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77"/>
      <c r="E47" s="7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77"/>
      <c r="E48" s="7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77"/>
      <c r="E49" s="7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77"/>
      <c r="E50" s="7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77"/>
      <c r="E51" s="7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77"/>
      <c r="E52" s="7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77"/>
      <c r="E53" s="7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77"/>
      <c r="E54" s="7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77"/>
      <c r="E55" s="7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77"/>
      <c r="E56" s="7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77"/>
      <c r="E57" s="7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77"/>
      <c r="E58" s="7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77"/>
      <c r="E59" s="7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77"/>
      <c r="E60" s="7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77"/>
      <c r="E61" s="7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77"/>
      <c r="E62" s="7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77"/>
      <c r="E63" s="7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77"/>
      <c r="E64" s="7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77"/>
      <c r="E65" s="7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77"/>
      <c r="E66" s="7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77"/>
      <c r="E67" s="7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77"/>
      <c r="E68" s="7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77"/>
      <c r="E69" s="7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77"/>
      <c r="E70" s="7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77"/>
      <c r="E71" s="7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77"/>
      <c r="E72" s="7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77"/>
      <c r="E73" s="7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77"/>
      <c r="E74" s="7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77"/>
      <c r="E75" s="7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77"/>
      <c r="E76" s="7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77"/>
      <c r="E77" s="7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77"/>
      <c r="E78" s="7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77"/>
      <c r="E79" s="7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77"/>
      <c r="E80" s="7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77"/>
      <c r="E81" s="7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77"/>
      <c r="E82" s="7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77"/>
      <c r="E83" s="7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77"/>
      <c r="E84" s="7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77"/>
      <c r="E85" s="7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77"/>
      <c r="E86" s="7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77"/>
      <c r="E87" s="7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77"/>
      <c r="E88" s="7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77"/>
      <c r="E89" s="7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77"/>
      <c r="E90" s="7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77"/>
      <c r="E91" s="7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77"/>
      <c r="E92" s="7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77"/>
      <c r="E93" s="7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77"/>
      <c r="E94" s="7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77"/>
      <c r="E95" s="7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77"/>
      <c r="E96" s="7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77"/>
      <c r="E97" s="7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77"/>
      <c r="E98" s="7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77"/>
      <c r="E99" s="7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77"/>
      <c r="E100" s="7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77"/>
      <c r="E101" s="7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77"/>
      <c r="E102" s="7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77"/>
      <c r="E103" s="7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77"/>
      <c r="E104" s="7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77"/>
      <c r="E105" s="7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77"/>
      <c r="E106" s="7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77"/>
      <c r="E107" s="7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77"/>
      <c r="E108" s="7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77"/>
      <c r="E109" s="7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77"/>
      <c r="E110" s="7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77"/>
      <c r="E111" s="7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77"/>
      <c r="E112" s="7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77"/>
      <c r="E113" s="7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77"/>
      <c r="E114" s="7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77"/>
      <c r="E115" s="7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77"/>
      <c r="E116" s="7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77"/>
      <c r="E117" s="7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77"/>
      <c r="E118" s="7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77"/>
      <c r="E119" s="7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77"/>
      <c r="E120" s="7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77"/>
      <c r="E121" s="7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77"/>
      <c r="E122" s="7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77"/>
      <c r="E123" s="7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77"/>
      <c r="E124" s="7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77"/>
      <c r="E125" s="7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77"/>
      <c r="E126" s="7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77"/>
      <c r="E127" s="7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77"/>
      <c r="E128" s="7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77"/>
      <c r="E129" s="7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77"/>
      <c r="E130" s="7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77"/>
      <c r="E131" s="7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77"/>
      <c r="E132" s="7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77"/>
      <c r="E133" s="7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77"/>
      <c r="E134" s="7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77"/>
      <c r="E135" s="7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77"/>
      <c r="E136" s="7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77"/>
      <c r="E137" s="7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77"/>
      <c r="E138" s="7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77"/>
      <c r="E139" s="7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77"/>
      <c r="E140" s="7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77"/>
      <c r="E141" s="7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77"/>
      <c r="E142" s="7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77"/>
      <c r="E143" s="7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77"/>
      <c r="E144" s="7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77"/>
      <c r="E145" s="7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77"/>
      <c r="E146" s="7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77"/>
      <c r="E147" s="7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77"/>
      <c r="E148" s="7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77"/>
      <c r="E149" s="7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77"/>
      <c r="E150" s="7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77"/>
      <c r="E151" s="7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77"/>
      <c r="E152" s="7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77"/>
      <c r="E153" s="7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77"/>
      <c r="E154" s="7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77"/>
      <c r="E155" s="7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77"/>
      <c r="E156" s="7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77"/>
      <c r="E157" s="7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77"/>
      <c r="E158" s="7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77"/>
      <c r="E159" s="7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77"/>
      <c r="E160" s="7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77"/>
      <c r="E161" s="7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77"/>
      <c r="E162" s="7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77"/>
      <c r="E163" s="7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77"/>
      <c r="E164" s="7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77"/>
      <c r="E165" s="7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77"/>
      <c r="E166" s="7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77"/>
      <c r="E167" s="7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77"/>
      <c r="E168" s="7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77"/>
      <c r="E169" s="7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77"/>
      <c r="E170" s="7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77"/>
      <c r="E171" s="7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77"/>
      <c r="E172" s="7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77"/>
      <c r="E173" s="7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77"/>
      <c r="E174" s="7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77"/>
      <c r="E175" s="7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77"/>
      <c r="E176" s="7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77"/>
      <c r="E177" s="7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77"/>
      <c r="E178" s="7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77"/>
      <c r="E179" s="7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77"/>
      <c r="E180" s="7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77"/>
      <c r="E181" s="7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77"/>
      <c r="E182" s="7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77"/>
      <c r="E183" s="7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77"/>
      <c r="E184" s="7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77"/>
      <c r="E185" s="7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77"/>
      <c r="E186" s="7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77"/>
      <c r="E187" s="7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77"/>
      <c r="E188" s="7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77"/>
      <c r="E189" s="7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77"/>
      <c r="E190" s="7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77"/>
      <c r="E191" s="7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77"/>
      <c r="E192" s="7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77"/>
      <c r="E193" s="7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77"/>
      <c r="E194" s="7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77"/>
      <c r="E195" s="7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77"/>
      <c r="E196" s="7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77"/>
      <c r="E197" s="7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77"/>
      <c r="E198" s="7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77"/>
      <c r="E199" s="7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77"/>
      <c r="E200" s="7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77"/>
      <c r="E201" s="7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77"/>
      <c r="E202" s="7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77"/>
      <c r="E203" s="7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77"/>
      <c r="E204" s="7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77"/>
      <c r="E205" s="7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77"/>
      <c r="E206" s="7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77"/>
      <c r="E207" s="7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77"/>
      <c r="E208" s="7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77"/>
      <c r="E209" s="7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77"/>
      <c r="E210" s="7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77"/>
      <c r="E211" s="7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77"/>
      <c r="E212" s="7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77"/>
      <c r="E213" s="7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77"/>
      <c r="E214" s="7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77"/>
      <c r="E215" s="7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77"/>
      <c r="E216" s="7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77"/>
      <c r="E217" s="7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77"/>
      <c r="E218" s="7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77"/>
      <c r="E219" s="7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77"/>
      <c r="E220" s="7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77"/>
      <c r="E221" s="7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77"/>
      <c r="E222" s="7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77"/>
      <c r="E223" s="7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77"/>
      <c r="E224" s="7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77"/>
      <c r="E225" s="7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77"/>
      <c r="E226" s="7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77"/>
      <c r="E227" s="7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77"/>
      <c r="E228" s="7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77"/>
      <c r="E229" s="7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77"/>
      <c r="E230" s="7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77"/>
      <c r="E231" s="7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77"/>
      <c r="E232" s="7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77"/>
      <c r="E233" s="7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77"/>
      <c r="E234" s="7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77"/>
      <c r="E235" s="7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77"/>
      <c r="E236" s="7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77"/>
      <c r="E237" s="7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77"/>
      <c r="E238" s="7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77"/>
      <c r="E239" s="7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77"/>
      <c r="E240" s="7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77"/>
      <c r="E241" s="7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77"/>
      <c r="E242" s="7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77"/>
      <c r="E243" s="7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77"/>
      <c r="E244" s="7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77"/>
      <c r="E245" s="7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77"/>
      <c r="E246" s="7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77"/>
      <c r="E247" s="7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77"/>
      <c r="E248" s="7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77"/>
      <c r="E249" s="7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77"/>
      <c r="E250" s="7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77"/>
      <c r="E251" s="7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77"/>
      <c r="E252" s="7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77"/>
      <c r="E253" s="7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77"/>
      <c r="E254" s="7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77"/>
      <c r="E255" s="7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77"/>
      <c r="E256" s="7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77"/>
      <c r="E257" s="7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77"/>
      <c r="E258" s="7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77"/>
      <c r="E259" s="7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77"/>
      <c r="E260" s="7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77"/>
      <c r="E261" s="7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77"/>
      <c r="E262" s="7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77"/>
      <c r="E263" s="7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77"/>
      <c r="E264" s="7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77"/>
      <c r="E265" s="7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77"/>
      <c r="E266" s="7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77"/>
      <c r="E267" s="7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77"/>
      <c r="E268" s="7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77"/>
      <c r="E269" s="7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77"/>
      <c r="E270" s="7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77"/>
      <c r="E271" s="7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77"/>
      <c r="E272" s="7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77"/>
      <c r="E273" s="7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77"/>
      <c r="E274" s="7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77"/>
      <c r="E275" s="7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77"/>
      <c r="E276" s="7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77"/>
      <c r="E277" s="7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77"/>
      <c r="E278" s="7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77"/>
      <c r="E279" s="7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77"/>
      <c r="E280" s="7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77"/>
      <c r="E281" s="7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77"/>
      <c r="E282" s="7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77"/>
      <c r="E283" s="7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77"/>
      <c r="E284" s="7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77"/>
      <c r="E285" s="7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77"/>
      <c r="E286" s="7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77"/>
      <c r="E287" s="7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77"/>
      <c r="E288" s="7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77"/>
      <c r="E289" s="7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77"/>
      <c r="E290" s="7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77"/>
      <c r="E291" s="7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77"/>
      <c r="E292" s="7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77"/>
      <c r="E293" s="7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77"/>
      <c r="E294" s="7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77"/>
      <c r="E295" s="7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77"/>
      <c r="E296" s="7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77"/>
      <c r="E297" s="7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77"/>
      <c r="E298" s="7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77"/>
      <c r="E299" s="7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77"/>
      <c r="E300" s="7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77"/>
      <c r="E301" s="7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77"/>
      <c r="E302" s="7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77"/>
      <c r="E303" s="7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77"/>
      <c r="E304" s="7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77"/>
      <c r="E305" s="7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77"/>
      <c r="E306" s="7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77"/>
      <c r="E307" s="7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77"/>
      <c r="E308" s="7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77"/>
      <c r="E309" s="7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77"/>
      <c r="E310" s="7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77"/>
      <c r="E311" s="7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77"/>
      <c r="E312" s="7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77"/>
      <c r="E313" s="7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77"/>
      <c r="E314" s="7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77"/>
      <c r="E315" s="7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77"/>
      <c r="E316" s="7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77"/>
      <c r="E317" s="7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77"/>
      <c r="E318" s="7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77"/>
      <c r="E319" s="7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77"/>
      <c r="E320" s="7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77"/>
      <c r="E321" s="7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77"/>
      <c r="E322" s="7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77"/>
      <c r="E323" s="7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77"/>
      <c r="E324" s="7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77"/>
      <c r="E325" s="7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77"/>
      <c r="E326" s="7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77"/>
      <c r="E327" s="7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77"/>
      <c r="E328" s="7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77"/>
      <c r="E329" s="7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77"/>
      <c r="E330" s="7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77"/>
      <c r="E331" s="7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77"/>
      <c r="E332" s="7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77"/>
      <c r="E333" s="7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77"/>
      <c r="E334" s="7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77"/>
      <c r="E335" s="7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77"/>
      <c r="E336" s="7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77"/>
      <c r="E337" s="7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77"/>
      <c r="E338" s="7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77"/>
      <c r="E339" s="7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77"/>
      <c r="E340" s="7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77"/>
      <c r="E341" s="7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77"/>
      <c r="E342" s="7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77"/>
      <c r="E343" s="7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77"/>
      <c r="E344" s="7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77"/>
      <c r="E345" s="7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77"/>
      <c r="E346" s="7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77"/>
      <c r="E347" s="7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77"/>
      <c r="E348" s="7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77"/>
      <c r="E349" s="7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77"/>
      <c r="E350" s="7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77"/>
      <c r="E351" s="7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77"/>
      <c r="E352" s="7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77"/>
      <c r="E353" s="7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77"/>
      <c r="E354" s="7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77"/>
      <c r="E355" s="7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77"/>
      <c r="E356" s="7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77"/>
      <c r="E357" s="7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77"/>
      <c r="E358" s="7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77"/>
      <c r="E359" s="7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77"/>
      <c r="E360" s="7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77"/>
      <c r="E361" s="7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77"/>
      <c r="E362" s="7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77"/>
      <c r="E363" s="7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77"/>
      <c r="E364" s="7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77"/>
      <c r="E365" s="7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77"/>
      <c r="E366" s="7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77"/>
      <c r="E367" s="7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77"/>
      <c r="E368" s="7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77"/>
      <c r="E369" s="7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77"/>
      <c r="E370" s="7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77"/>
      <c r="E371" s="7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77"/>
      <c r="E372" s="7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77"/>
      <c r="E373" s="7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77"/>
      <c r="E374" s="7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77"/>
      <c r="E375" s="7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77"/>
      <c r="E376" s="7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77"/>
      <c r="E377" s="7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77"/>
      <c r="E378" s="7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77"/>
      <c r="E379" s="7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77"/>
      <c r="E380" s="7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77"/>
      <c r="E381" s="7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77"/>
      <c r="E382" s="7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77"/>
      <c r="E383" s="7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77"/>
      <c r="E384" s="7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77"/>
      <c r="E385" s="7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77"/>
      <c r="E386" s="7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77"/>
      <c r="E387" s="7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77"/>
      <c r="E388" s="7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77"/>
      <c r="E389" s="7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77"/>
      <c r="E390" s="7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77"/>
      <c r="E391" s="7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77"/>
      <c r="E392" s="7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77"/>
      <c r="E393" s="7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77"/>
      <c r="E394" s="7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77"/>
      <c r="E395" s="7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77"/>
      <c r="E396" s="7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77"/>
      <c r="E397" s="7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77"/>
      <c r="E398" s="7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77"/>
      <c r="E399" s="7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77"/>
      <c r="E400" s="7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77"/>
      <c r="E401" s="7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77"/>
      <c r="E402" s="7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77"/>
      <c r="E403" s="7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77"/>
      <c r="E404" s="7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77"/>
      <c r="E405" s="7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77"/>
      <c r="E406" s="7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77"/>
      <c r="E407" s="7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77"/>
      <c r="E408" s="7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77"/>
      <c r="E409" s="7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77"/>
      <c r="E410" s="7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77"/>
      <c r="E411" s="7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77"/>
      <c r="E412" s="7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77"/>
      <c r="E413" s="7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77"/>
      <c r="E414" s="7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77"/>
      <c r="E415" s="7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77"/>
      <c r="E416" s="7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77"/>
      <c r="E417" s="7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77"/>
      <c r="E418" s="7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77"/>
      <c r="E419" s="7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77"/>
      <c r="E420" s="7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77"/>
      <c r="E421" s="7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77"/>
      <c r="E422" s="7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77"/>
      <c r="E423" s="7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77"/>
      <c r="E424" s="7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77"/>
      <c r="E425" s="7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77"/>
      <c r="E426" s="7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77"/>
      <c r="E427" s="7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77"/>
      <c r="E428" s="7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77"/>
      <c r="E429" s="7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77"/>
      <c r="E430" s="7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77"/>
      <c r="E431" s="7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77"/>
      <c r="E432" s="7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77"/>
      <c r="E433" s="7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77"/>
      <c r="E434" s="7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77"/>
      <c r="E435" s="7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77"/>
      <c r="E436" s="7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77"/>
      <c r="E437" s="7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77"/>
      <c r="E438" s="7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77"/>
      <c r="E439" s="7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77"/>
      <c r="E440" s="7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77"/>
      <c r="E441" s="7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77"/>
      <c r="E442" s="7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77"/>
      <c r="E443" s="7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77"/>
      <c r="E444" s="7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77"/>
      <c r="E445" s="7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77"/>
      <c r="E446" s="7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77"/>
      <c r="E447" s="7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77"/>
      <c r="E448" s="7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77"/>
      <c r="E449" s="7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77"/>
      <c r="E450" s="7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77"/>
      <c r="E451" s="7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77"/>
      <c r="E452" s="7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77"/>
      <c r="E453" s="7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77"/>
      <c r="E454" s="7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77"/>
      <c r="E455" s="7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77"/>
      <c r="E456" s="7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77"/>
      <c r="E457" s="7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77"/>
      <c r="E458" s="7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77"/>
      <c r="E459" s="7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77"/>
      <c r="E460" s="7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77"/>
      <c r="E461" s="7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77"/>
      <c r="E462" s="7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77"/>
      <c r="E463" s="7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77"/>
      <c r="E464" s="7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77"/>
      <c r="E465" s="7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77"/>
      <c r="E466" s="7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77"/>
      <c r="E467" s="7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77"/>
      <c r="E468" s="7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77"/>
      <c r="E469" s="7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77"/>
      <c r="E470" s="7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77"/>
      <c r="E471" s="7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77"/>
      <c r="E472" s="7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77"/>
      <c r="E473" s="7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77"/>
      <c r="E474" s="7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77"/>
      <c r="E475" s="7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77"/>
      <c r="E476" s="7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77"/>
      <c r="E477" s="7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77"/>
      <c r="E478" s="7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77"/>
      <c r="E479" s="7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77"/>
      <c r="E480" s="7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77"/>
      <c r="E481" s="7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77"/>
      <c r="E482" s="7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77"/>
      <c r="E483" s="7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77"/>
      <c r="E484" s="7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77"/>
      <c r="E485" s="7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77"/>
      <c r="E486" s="7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77"/>
      <c r="E487" s="7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77"/>
      <c r="E488" s="7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77"/>
      <c r="E489" s="7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77"/>
      <c r="E490" s="7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77"/>
      <c r="E491" s="7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77"/>
      <c r="E492" s="7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77"/>
      <c r="E493" s="7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77"/>
      <c r="E494" s="7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77"/>
      <c r="E495" s="7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77"/>
      <c r="E496" s="7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77"/>
      <c r="E497" s="7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77"/>
      <c r="E498" s="7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77"/>
      <c r="E499" s="7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77"/>
      <c r="E500" s="7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77"/>
      <c r="E501" s="7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77"/>
      <c r="E502" s="7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77"/>
      <c r="E503" s="7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77"/>
      <c r="E504" s="7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77"/>
      <c r="E505" s="7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77"/>
      <c r="E506" s="7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77"/>
      <c r="E507" s="7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77"/>
      <c r="E508" s="7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77"/>
      <c r="E509" s="7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77"/>
      <c r="E510" s="7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77"/>
      <c r="E511" s="7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77"/>
      <c r="E512" s="7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77"/>
      <c r="E513" s="7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77"/>
      <c r="E514" s="7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77"/>
      <c r="E515" s="7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77"/>
      <c r="E516" s="7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77"/>
      <c r="E517" s="7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77"/>
      <c r="E518" s="7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77"/>
      <c r="E519" s="7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77"/>
      <c r="E520" s="7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77"/>
      <c r="E521" s="7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77"/>
      <c r="E522" s="7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77"/>
      <c r="E523" s="7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77"/>
      <c r="E524" s="7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77"/>
      <c r="E525" s="7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77"/>
      <c r="E526" s="7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77"/>
      <c r="E527" s="7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77"/>
      <c r="E528" s="7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77"/>
      <c r="E529" s="7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77"/>
      <c r="E530" s="7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77"/>
      <c r="E531" s="7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77"/>
      <c r="E532" s="7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77"/>
      <c r="E533" s="7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77"/>
      <c r="E534" s="7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77"/>
      <c r="E535" s="7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77"/>
      <c r="E536" s="7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77"/>
      <c r="E537" s="7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77"/>
      <c r="E538" s="7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77"/>
      <c r="E539" s="7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77"/>
      <c r="E540" s="7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77"/>
      <c r="E541" s="7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77"/>
      <c r="E542" s="7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77"/>
      <c r="E543" s="7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77"/>
      <c r="E544" s="7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77"/>
      <c r="E545" s="7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77"/>
      <c r="E546" s="7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77"/>
      <c r="E547" s="7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77"/>
      <c r="E548" s="7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77"/>
      <c r="E549" s="7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77"/>
      <c r="E550" s="7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77"/>
      <c r="E551" s="7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77"/>
      <c r="E552" s="7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77"/>
      <c r="E553" s="7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77"/>
      <c r="E554" s="7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77"/>
      <c r="E555" s="7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77"/>
      <c r="E556" s="7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77"/>
      <c r="E557" s="7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77"/>
      <c r="E558" s="7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77"/>
      <c r="E559" s="7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77"/>
      <c r="E560" s="7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77"/>
      <c r="E561" s="7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77"/>
      <c r="E562" s="7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77"/>
      <c r="E563" s="7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77"/>
      <c r="E564" s="7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77"/>
      <c r="E565" s="7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77"/>
      <c r="E566" s="7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77"/>
      <c r="E567" s="7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77"/>
      <c r="E568" s="7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77"/>
      <c r="E569" s="7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77"/>
      <c r="E570" s="7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77"/>
      <c r="E571" s="7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77"/>
      <c r="E572" s="7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77"/>
      <c r="E573" s="7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77"/>
      <c r="E574" s="7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77"/>
      <c r="E575" s="7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77"/>
      <c r="E576" s="7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77"/>
      <c r="E577" s="7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77"/>
      <c r="E578" s="7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77"/>
      <c r="E579" s="7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77"/>
      <c r="E580" s="7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77"/>
      <c r="E581" s="7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77"/>
      <c r="E582" s="7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77"/>
      <c r="E583" s="7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77"/>
      <c r="E584" s="7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77"/>
      <c r="E585" s="7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77"/>
      <c r="E586" s="7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77"/>
      <c r="E587" s="7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77"/>
      <c r="E588" s="7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77"/>
      <c r="E589" s="7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77"/>
      <c r="E590" s="7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77"/>
      <c r="E591" s="7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77"/>
      <c r="E592" s="7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77"/>
      <c r="E593" s="7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77"/>
      <c r="E594" s="7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77"/>
      <c r="E595" s="7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77"/>
      <c r="E596" s="7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77"/>
      <c r="E597" s="7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77"/>
      <c r="E598" s="7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77"/>
      <c r="E599" s="7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77"/>
      <c r="E600" s="7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77"/>
      <c r="E601" s="7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77"/>
      <c r="E602" s="7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77"/>
      <c r="E603" s="7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77"/>
      <c r="E604" s="7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77"/>
      <c r="E605" s="7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77"/>
      <c r="E606" s="7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77"/>
      <c r="E607" s="7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77"/>
      <c r="E608" s="7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77"/>
      <c r="E609" s="7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77"/>
      <c r="E610" s="7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77"/>
      <c r="E611" s="7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77"/>
      <c r="E612" s="7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77"/>
      <c r="E613" s="7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77"/>
      <c r="E614" s="7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77"/>
      <c r="E615" s="7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77"/>
      <c r="E616" s="7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77"/>
      <c r="E617" s="7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77"/>
      <c r="E618" s="7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77"/>
      <c r="E619" s="7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77"/>
      <c r="E620" s="7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77"/>
      <c r="E621" s="7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77"/>
      <c r="E622" s="7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77"/>
      <c r="E623" s="7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77"/>
      <c r="E624" s="7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77"/>
      <c r="E625" s="7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77"/>
      <c r="E626" s="7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77"/>
      <c r="E627" s="7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77"/>
      <c r="E628" s="7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77"/>
      <c r="E629" s="7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77"/>
      <c r="E630" s="7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77"/>
      <c r="E631" s="7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77"/>
      <c r="E632" s="7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77"/>
      <c r="E633" s="7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77"/>
      <c r="E634" s="7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77"/>
      <c r="E635" s="7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77"/>
      <c r="E636" s="7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77"/>
      <c r="E637" s="7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77"/>
      <c r="E638" s="7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77"/>
      <c r="E639" s="7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77"/>
      <c r="E640" s="7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77"/>
      <c r="E641" s="7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77"/>
      <c r="E642" s="7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77"/>
      <c r="E643" s="7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77"/>
      <c r="E644" s="7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77"/>
      <c r="E645" s="7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77"/>
      <c r="E646" s="7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77"/>
      <c r="E647" s="7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77"/>
      <c r="E648" s="7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77"/>
      <c r="E649" s="7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77"/>
      <c r="E650" s="7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77"/>
      <c r="E651" s="7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77"/>
      <c r="E652" s="7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77"/>
      <c r="E653" s="7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77"/>
      <c r="E654" s="7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77"/>
      <c r="E655" s="7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77"/>
      <c r="E656" s="7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77"/>
      <c r="E657" s="7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77"/>
      <c r="E658" s="7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77"/>
      <c r="E659" s="7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77"/>
      <c r="E660" s="7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77"/>
      <c r="E661" s="7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77"/>
      <c r="E662" s="7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77"/>
      <c r="E663" s="7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77"/>
      <c r="E664" s="7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77"/>
      <c r="E665" s="7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77"/>
      <c r="E666" s="7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77"/>
      <c r="E667" s="7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77"/>
      <c r="E668" s="7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77"/>
      <c r="E669" s="7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77"/>
      <c r="E670" s="7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77"/>
      <c r="E671" s="7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77"/>
      <c r="E672" s="7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77"/>
      <c r="E673" s="7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77"/>
      <c r="E674" s="7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77"/>
      <c r="E675" s="7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77"/>
      <c r="E676" s="7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77"/>
      <c r="E677" s="7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77"/>
      <c r="E678" s="7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77"/>
      <c r="E679" s="7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77"/>
      <c r="E680" s="7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77"/>
      <c r="E681" s="7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77"/>
      <c r="E682" s="7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77"/>
      <c r="E683" s="7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77"/>
      <c r="E684" s="7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77"/>
      <c r="E685" s="7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77"/>
      <c r="E686" s="7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77"/>
      <c r="E687" s="7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77"/>
      <c r="E688" s="7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77"/>
      <c r="E689" s="7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77"/>
      <c r="E690" s="7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77"/>
      <c r="E691" s="7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77"/>
      <c r="E692" s="7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77"/>
      <c r="E693" s="7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77"/>
      <c r="E694" s="7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77"/>
      <c r="E695" s="7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77"/>
      <c r="E696" s="7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77"/>
      <c r="E697" s="7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77"/>
      <c r="E698" s="7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77"/>
      <c r="E699" s="7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77"/>
      <c r="E700" s="7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77"/>
      <c r="E701" s="7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77"/>
      <c r="E702" s="7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77"/>
      <c r="E703" s="7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77"/>
      <c r="E704" s="7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77"/>
      <c r="E705" s="7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77"/>
      <c r="E706" s="7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77"/>
      <c r="E707" s="7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77"/>
      <c r="E708" s="7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77"/>
      <c r="E709" s="7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77"/>
      <c r="E710" s="7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77"/>
      <c r="E711" s="7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77"/>
      <c r="E712" s="7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77"/>
      <c r="E713" s="7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77"/>
      <c r="E714" s="7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77"/>
      <c r="E715" s="7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77"/>
      <c r="E716" s="7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77"/>
      <c r="E717" s="7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77"/>
      <c r="E718" s="7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77"/>
      <c r="E719" s="7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77"/>
      <c r="E720" s="7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77"/>
      <c r="E721" s="7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77"/>
      <c r="E722" s="7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77"/>
      <c r="E723" s="7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77"/>
      <c r="E724" s="7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77"/>
      <c r="E725" s="7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77"/>
      <c r="E726" s="7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77"/>
      <c r="E727" s="7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77"/>
      <c r="E728" s="7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77"/>
      <c r="E729" s="7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77"/>
      <c r="E730" s="7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77"/>
      <c r="E731" s="7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77"/>
      <c r="E732" s="7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77"/>
      <c r="E733" s="7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77"/>
      <c r="E734" s="7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77"/>
      <c r="E735" s="7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77"/>
      <c r="E736" s="7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77"/>
      <c r="E737" s="7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77"/>
      <c r="E738" s="7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77"/>
      <c r="E739" s="7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77"/>
      <c r="E740" s="7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77"/>
      <c r="E741" s="7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77"/>
      <c r="E742" s="7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77"/>
      <c r="E743" s="7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77"/>
      <c r="E744" s="7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77"/>
      <c r="E745" s="7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77"/>
      <c r="E746" s="7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77"/>
      <c r="E747" s="7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77"/>
      <c r="E748" s="7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77"/>
      <c r="E749" s="7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77"/>
      <c r="E750" s="7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77"/>
      <c r="E751" s="7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77"/>
      <c r="E752" s="7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77"/>
      <c r="E753" s="7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77"/>
      <c r="E754" s="7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77"/>
      <c r="E755" s="7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77"/>
      <c r="E756" s="7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77"/>
      <c r="E757" s="7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77"/>
      <c r="E758" s="7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77"/>
      <c r="E759" s="7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77"/>
      <c r="E760" s="7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77"/>
      <c r="E761" s="7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77"/>
      <c r="E762" s="7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77"/>
      <c r="E763" s="7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77"/>
      <c r="E764" s="7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77"/>
      <c r="E765" s="7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77"/>
      <c r="E766" s="7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77"/>
      <c r="E767" s="7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77"/>
      <c r="E768" s="7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77"/>
      <c r="E769" s="7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77"/>
      <c r="E770" s="7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77"/>
      <c r="E771" s="7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77"/>
      <c r="E772" s="7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77"/>
      <c r="E773" s="7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77"/>
      <c r="E774" s="7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77"/>
      <c r="E775" s="7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77"/>
      <c r="E776" s="7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77"/>
      <c r="E777" s="7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77"/>
      <c r="E778" s="7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77"/>
      <c r="E779" s="7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77"/>
      <c r="E780" s="7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77"/>
      <c r="E781" s="7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77"/>
      <c r="E782" s="7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77"/>
      <c r="E783" s="7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77"/>
      <c r="E784" s="7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77"/>
      <c r="E785" s="7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77"/>
      <c r="E786" s="7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77"/>
      <c r="E787" s="7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77"/>
      <c r="E788" s="7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77"/>
      <c r="E789" s="7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77"/>
      <c r="E790" s="7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77"/>
      <c r="E791" s="7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77"/>
      <c r="E792" s="7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77"/>
      <c r="E793" s="7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77"/>
      <c r="E794" s="7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77"/>
      <c r="E795" s="7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77"/>
      <c r="E796" s="7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77"/>
      <c r="E797" s="7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77"/>
      <c r="E798" s="7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77"/>
      <c r="E799" s="7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77"/>
      <c r="E800" s="7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77"/>
      <c r="E801" s="7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77"/>
      <c r="E802" s="7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77"/>
      <c r="E803" s="7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77"/>
      <c r="E804" s="7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77"/>
      <c r="E805" s="7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77"/>
      <c r="E806" s="7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77"/>
      <c r="E807" s="7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77"/>
      <c r="E808" s="7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77"/>
      <c r="E809" s="7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77"/>
      <c r="E810" s="7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77"/>
      <c r="E811" s="7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77"/>
      <c r="E812" s="7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77"/>
      <c r="E813" s="7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77"/>
      <c r="E814" s="7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77"/>
      <c r="E815" s="7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77"/>
      <c r="E816" s="7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77"/>
      <c r="E817" s="7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77"/>
      <c r="E818" s="7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77"/>
      <c r="E819" s="7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77"/>
      <c r="E820" s="7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77"/>
      <c r="E821" s="7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77"/>
      <c r="E822" s="7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77"/>
      <c r="E823" s="7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77"/>
      <c r="E824" s="7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77"/>
      <c r="E825" s="7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77"/>
      <c r="E826" s="7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77"/>
      <c r="E827" s="7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77"/>
      <c r="E828" s="7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77"/>
      <c r="E829" s="7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77"/>
      <c r="E830" s="7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77"/>
      <c r="E831" s="7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77"/>
      <c r="E832" s="7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77"/>
      <c r="E833" s="7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77"/>
      <c r="E834" s="7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77"/>
      <c r="E835" s="7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77"/>
      <c r="E836" s="7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77"/>
      <c r="E837" s="7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77"/>
      <c r="E838" s="7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77"/>
      <c r="E839" s="7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77"/>
      <c r="E840" s="7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77"/>
      <c r="E841" s="7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77"/>
      <c r="E842" s="7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77"/>
      <c r="E843" s="7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77"/>
      <c r="E844" s="7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77"/>
      <c r="E845" s="7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77"/>
      <c r="E846" s="7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77"/>
      <c r="E847" s="7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77"/>
      <c r="E848" s="7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77"/>
      <c r="E849" s="7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77"/>
      <c r="E850" s="7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77"/>
      <c r="E851" s="7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77"/>
      <c r="E852" s="7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77"/>
      <c r="E853" s="7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77"/>
      <c r="E854" s="7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77"/>
      <c r="E855" s="7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77"/>
      <c r="E856" s="7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77"/>
      <c r="E857" s="7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77"/>
      <c r="E858" s="7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77"/>
      <c r="E859" s="7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77"/>
      <c r="E860" s="7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77"/>
      <c r="E861" s="7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77"/>
      <c r="E862" s="7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77"/>
      <c r="E863" s="7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77"/>
      <c r="E864" s="7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77"/>
      <c r="E865" s="7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77"/>
      <c r="E866" s="7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77"/>
      <c r="E867" s="7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77"/>
      <c r="E868" s="7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77"/>
      <c r="E869" s="7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77"/>
      <c r="E870" s="7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77"/>
      <c r="E871" s="7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77"/>
      <c r="E872" s="7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77"/>
      <c r="E873" s="7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77"/>
      <c r="E874" s="7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77"/>
      <c r="E875" s="7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77"/>
      <c r="E876" s="7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77"/>
      <c r="E877" s="7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77"/>
      <c r="E878" s="7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77"/>
      <c r="E879" s="7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77"/>
      <c r="E880" s="7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77"/>
      <c r="E881" s="7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77"/>
      <c r="E882" s="7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77"/>
      <c r="E883" s="7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77"/>
      <c r="E884" s="7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77"/>
      <c r="E885" s="7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77"/>
      <c r="E886" s="7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77"/>
      <c r="E887" s="7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77"/>
      <c r="E888" s="7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77"/>
      <c r="E889" s="7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77"/>
      <c r="E890" s="7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77"/>
      <c r="E891" s="7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77"/>
      <c r="E892" s="7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77"/>
      <c r="E893" s="7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77"/>
      <c r="E894" s="7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77"/>
      <c r="E895" s="7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77"/>
      <c r="E896" s="7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77"/>
      <c r="E897" s="7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77"/>
      <c r="E898" s="7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77"/>
      <c r="E899" s="7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77"/>
      <c r="E900" s="7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77"/>
      <c r="E901" s="7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77"/>
      <c r="E902" s="7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77"/>
      <c r="E903" s="7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77"/>
      <c r="E904" s="7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77"/>
      <c r="E905" s="7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77"/>
      <c r="E906" s="7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77"/>
      <c r="E907" s="7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77"/>
      <c r="E908" s="7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77"/>
      <c r="E909" s="7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77"/>
      <c r="E910" s="7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77"/>
      <c r="E911" s="7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77"/>
      <c r="E912" s="7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77"/>
      <c r="E913" s="7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77"/>
      <c r="E914" s="7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77"/>
      <c r="E915" s="7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77"/>
      <c r="E916" s="7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77"/>
      <c r="E917" s="7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77"/>
      <c r="E918" s="7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77"/>
      <c r="E919" s="7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77"/>
      <c r="E920" s="7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77"/>
      <c r="E921" s="7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77"/>
      <c r="E922" s="7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77"/>
      <c r="E923" s="7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77"/>
      <c r="E924" s="7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77"/>
      <c r="E925" s="7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77"/>
      <c r="E926" s="7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77"/>
      <c r="E927" s="7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77"/>
      <c r="E928" s="7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77"/>
      <c r="E929" s="7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77"/>
      <c r="E930" s="7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77"/>
      <c r="E931" s="7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77"/>
      <c r="E932" s="7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77"/>
      <c r="E933" s="7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77"/>
      <c r="E934" s="7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77"/>
      <c r="E935" s="7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77"/>
      <c r="E936" s="7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77"/>
      <c r="E937" s="7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77"/>
      <c r="E938" s="7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77"/>
      <c r="E939" s="7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77"/>
      <c r="E940" s="7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77"/>
      <c r="E941" s="7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77"/>
      <c r="E942" s="7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77"/>
      <c r="E943" s="7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77"/>
      <c r="E944" s="7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77"/>
      <c r="E945" s="7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77"/>
      <c r="E946" s="7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77"/>
      <c r="E947" s="7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77"/>
      <c r="E948" s="7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77"/>
      <c r="E949" s="7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77"/>
      <c r="E950" s="7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77"/>
      <c r="E951" s="71"/>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sheetData>
  <mergeCells count="10">
    <mergeCell ref="A17:A20"/>
    <mergeCell ref="A22:A25"/>
    <mergeCell ref="B22:B25"/>
    <mergeCell ref="A2:A5"/>
    <mergeCell ref="B2:B5"/>
    <mergeCell ref="A7:A10"/>
    <mergeCell ref="B7:B10"/>
    <mergeCell ref="A12:A15"/>
    <mergeCell ref="B12:B15"/>
    <mergeCell ref="B17:B20"/>
  </mergeCells>
  <conditionalFormatting sqref="E2:E25">
    <cfRule type="colorScale" priority="1">
      <colorScale>
        <cfvo type="formula" val="0"/>
        <cfvo type="formula" val="1"/>
        <color rgb="FFFFFFFF"/>
        <color rgb="FFE67C73"/>
      </colorScale>
    </cfRule>
  </conditionalFormatting>
  <conditionalFormatting sqref="E2:E951">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51">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72"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30</v>
      </c>
      <c r="B2" s="54" t="s">
        <v>31</v>
      </c>
      <c r="C2" s="7" t="s">
        <v>19</v>
      </c>
      <c r="D2" s="73" t="s">
        <v>105</v>
      </c>
      <c r="E2" s="74">
        <f>IFERROR(__xludf.DUMMYFUNCTION("COUNTA(SPLIT(D2,"" ""))/COUNTA(SPLIT($B$2,"" ""))"),1.169811320754717)</f>
        <v>1.169811321</v>
      </c>
      <c r="F2" s="7">
        <v>5.0</v>
      </c>
      <c r="G2" s="7">
        <v>4.0</v>
      </c>
      <c r="H2" s="7">
        <v>4.0</v>
      </c>
      <c r="I2" s="7">
        <v>2.0</v>
      </c>
      <c r="J2" s="7">
        <v>5.0</v>
      </c>
      <c r="K2" s="57"/>
      <c r="L2" s="57"/>
      <c r="M2" s="57"/>
      <c r="N2" s="57"/>
      <c r="O2" s="57"/>
      <c r="P2" s="57"/>
      <c r="Q2" s="57"/>
      <c r="R2" s="57"/>
      <c r="S2" s="57"/>
      <c r="T2" s="57"/>
      <c r="U2" s="57"/>
      <c r="V2" s="57"/>
      <c r="W2" s="57"/>
      <c r="X2" s="57"/>
      <c r="Y2" s="57"/>
      <c r="Z2" s="57"/>
      <c r="AA2" s="57"/>
      <c r="AB2" s="57"/>
    </row>
    <row r="3" ht="225.0" customHeight="1">
      <c r="C3" s="7" t="s">
        <v>20</v>
      </c>
      <c r="D3" s="73" t="s">
        <v>106</v>
      </c>
      <c r="E3" s="75">
        <f>IFERROR(__xludf.DUMMYFUNCTION("COUNTA(SPLIT(D3,"" ""))/COUNTA(SPLIT($B$2,"" ""))"),0.5754716981132075)</f>
        <v>0.5754716981</v>
      </c>
      <c r="F3" s="7">
        <v>5.0</v>
      </c>
      <c r="G3" s="7">
        <v>4.0</v>
      </c>
      <c r="H3" s="7">
        <v>5.0</v>
      </c>
      <c r="I3" s="7">
        <v>3.0</v>
      </c>
      <c r="J3" s="7">
        <v>5.0</v>
      </c>
      <c r="K3" s="57"/>
      <c r="L3" s="57"/>
      <c r="M3" s="57"/>
      <c r="N3" s="57"/>
      <c r="O3" s="57"/>
      <c r="P3" s="57"/>
      <c r="Q3" s="57"/>
      <c r="R3" s="57"/>
      <c r="S3" s="57"/>
      <c r="T3" s="57"/>
      <c r="U3" s="57"/>
      <c r="V3" s="57"/>
      <c r="W3" s="57"/>
      <c r="X3" s="57"/>
      <c r="Y3" s="57"/>
      <c r="Z3" s="57"/>
      <c r="AA3" s="57"/>
      <c r="AB3" s="57"/>
    </row>
    <row r="4" ht="225.0" customHeight="1">
      <c r="C4" s="7" t="s">
        <v>8</v>
      </c>
      <c r="D4" s="73" t="s">
        <v>107</v>
      </c>
      <c r="E4" s="76">
        <f>IFERROR(__xludf.DUMMYFUNCTION("COUNTA(SPLIT(D4,"" ""))/COUNTA(SPLIT($B$2,"" ""))"),0.8301886792452831)</f>
        <v>0.8301886792</v>
      </c>
      <c r="F4" s="7">
        <v>2.0</v>
      </c>
      <c r="G4" s="7">
        <v>3.0</v>
      </c>
      <c r="H4" s="7">
        <v>5.0</v>
      </c>
      <c r="I4" s="7">
        <v>3.0</v>
      </c>
      <c r="J4" s="7">
        <v>5.0</v>
      </c>
      <c r="K4" s="57"/>
      <c r="L4" s="57"/>
      <c r="M4" s="57"/>
      <c r="N4" s="57"/>
      <c r="O4" s="57"/>
      <c r="P4" s="57"/>
      <c r="Q4" s="57"/>
      <c r="R4" s="57"/>
      <c r="S4" s="57"/>
      <c r="T4" s="57"/>
      <c r="U4" s="57"/>
      <c r="V4" s="57"/>
      <c r="W4" s="57"/>
      <c r="X4" s="57"/>
      <c r="Y4" s="57"/>
      <c r="Z4" s="57"/>
      <c r="AA4" s="57"/>
      <c r="AB4" s="57"/>
    </row>
    <row r="5" ht="225.0" customHeight="1">
      <c r="C5" s="7" t="s">
        <v>21</v>
      </c>
      <c r="D5" s="73" t="s">
        <v>108</v>
      </c>
      <c r="E5" s="76">
        <f>IFERROR(__xludf.DUMMYFUNCTION("COUNTA(SPLIT(D5,"" ""))/COUNTA(SPLIT($B$2,"" ""))"),0.5849056603773585)</f>
        <v>0.5849056604</v>
      </c>
      <c r="F5" s="7">
        <v>5.0</v>
      </c>
      <c r="G5" s="7">
        <v>4.0</v>
      </c>
      <c r="H5" s="7">
        <v>4.0</v>
      </c>
      <c r="I5" s="7">
        <v>4.0</v>
      </c>
      <c r="J5" s="7">
        <v>5.0</v>
      </c>
      <c r="K5" s="57"/>
      <c r="L5" s="57"/>
      <c r="M5" s="57"/>
      <c r="N5" s="57"/>
      <c r="O5" s="57"/>
      <c r="P5" s="57"/>
      <c r="Q5" s="57"/>
      <c r="R5" s="57"/>
      <c r="S5" s="57"/>
      <c r="T5" s="57"/>
      <c r="U5" s="57"/>
      <c r="V5" s="57"/>
      <c r="W5" s="57"/>
      <c r="X5" s="57"/>
      <c r="Y5" s="57"/>
      <c r="Z5" s="57"/>
      <c r="AA5" s="57"/>
      <c r="AB5" s="57"/>
    </row>
    <row r="6">
      <c r="A6" s="57"/>
      <c r="B6" s="57"/>
      <c r="C6" s="59"/>
      <c r="D6" s="77"/>
      <c r="E6" s="61"/>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33</v>
      </c>
      <c r="B7" s="63" t="s">
        <v>34</v>
      </c>
      <c r="C7" s="64" t="s">
        <v>19</v>
      </c>
      <c r="D7" s="78" t="s">
        <v>109</v>
      </c>
      <c r="E7" s="79">
        <f>IFERROR(__xludf.DUMMYFUNCTION("COUNTA(SPLIT(D7,"" ""))/COUNTA(SPLIT($B$7,"" ""))"),0.5155963302752293)</f>
        <v>0.5155963303</v>
      </c>
      <c r="F7" s="7">
        <v>4.0</v>
      </c>
      <c r="G7" s="7">
        <v>4.0</v>
      </c>
      <c r="H7" s="7">
        <v>4.0</v>
      </c>
      <c r="I7" s="7">
        <v>2.0</v>
      </c>
      <c r="J7" s="7">
        <v>5.0</v>
      </c>
      <c r="K7" s="67"/>
      <c r="L7" s="67"/>
      <c r="M7" s="67"/>
      <c r="N7" s="67"/>
      <c r="O7" s="67"/>
      <c r="P7" s="67"/>
      <c r="Q7" s="67"/>
      <c r="R7" s="67"/>
      <c r="S7" s="67"/>
      <c r="T7" s="67"/>
      <c r="U7" s="67"/>
      <c r="V7" s="67"/>
      <c r="W7" s="67"/>
      <c r="X7" s="67"/>
      <c r="Y7" s="67"/>
      <c r="Z7" s="67"/>
      <c r="AA7" s="67"/>
      <c r="AB7" s="67"/>
    </row>
    <row r="8" ht="225.0" customHeight="1">
      <c r="C8" s="7" t="s">
        <v>20</v>
      </c>
      <c r="D8" s="73" t="s">
        <v>110</v>
      </c>
      <c r="E8" s="74">
        <f>IFERROR(__xludf.DUMMYFUNCTION("COUNTA(SPLIT(D8,"" ""))/COUNTA(SPLIT($B$7,"" ""))"),0.1577981651376147)</f>
        <v>0.1577981651</v>
      </c>
      <c r="F8" s="7">
        <v>3.0</v>
      </c>
      <c r="G8" s="7">
        <v>5.0</v>
      </c>
      <c r="H8" s="7">
        <v>4.0</v>
      </c>
      <c r="I8" s="7">
        <v>3.0</v>
      </c>
      <c r="J8" s="7">
        <v>4.0</v>
      </c>
      <c r="K8" s="57"/>
      <c r="L8" s="57"/>
      <c r="M8" s="57"/>
      <c r="N8" s="57"/>
      <c r="O8" s="57"/>
      <c r="P8" s="57"/>
      <c r="Q8" s="57"/>
      <c r="R8" s="57"/>
      <c r="S8" s="57"/>
      <c r="T8" s="57"/>
      <c r="U8" s="57"/>
      <c r="V8" s="57"/>
      <c r="W8" s="57"/>
      <c r="X8" s="57"/>
      <c r="Y8" s="57"/>
      <c r="Z8" s="57"/>
      <c r="AA8" s="57"/>
      <c r="AB8" s="57"/>
    </row>
    <row r="9" ht="225.0" customHeight="1">
      <c r="C9" s="7" t="s">
        <v>8</v>
      </c>
      <c r="D9" s="73" t="s">
        <v>111</v>
      </c>
      <c r="E9" s="70">
        <f>IFERROR(__xludf.DUMMYFUNCTION("COUNTA(SPLIT(D9,"" ""))/COUNTA(SPLIT($B$7,"" ""))"),0.13211009174311927)</f>
        <v>0.1321100917</v>
      </c>
      <c r="F9" s="7">
        <v>2.0</v>
      </c>
      <c r="G9" s="7">
        <v>4.0</v>
      </c>
      <c r="H9" s="7">
        <v>4.0</v>
      </c>
      <c r="I9" s="7">
        <v>4.0</v>
      </c>
      <c r="J9" s="7">
        <v>3.0</v>
      </c>
      <c r="K9" s="57"/>
      <c r="L9" s="57"/>
      <c r="M9" s="57"/>
      <c r="N9" s="57"/>
      <c r="O9" s="57"/>
      <c r="P9" s="57"/>
      <c r="Q9" s="57"/>
      <c r="R9" s="57"/>
      <c r="S9" s="57"/>
      <c r="T9" s="57"/>
      <c r="U9" s="57"/>
      <c r="V9" s="57"/>
      <c r="W9" s="57"/>
      <c r="X9" s="57"/>
      <c r="Y9" s="57"/>
      <c r="Z9" s="57"/>
      <c r="AA9" s="57"/>
      <c r="AB9" s="57"/>
    </row>
    <row r="10" ht="225.0" customHeight="1">
      <c r="C10" s="7" t="s">
        <v>21</v>
      </c>
      <c r="D10" s="73" t="s">
        <v>112</v>
      </c>
      <c r="E10" s="80">
        <f>IFERROR(__xludf.DUMMYFUNCTION("COUNTA(SPLIT(D10,"" ""))/COUNTA(SPLIT($B$7,"" ""))"),0.12844036697247707)</f>
        <v>0.128440367</v>
      </c>
      <c r="F10" s="7">
        <v>4.0</v>
      </c>
      <c r="G10" s="7">
        <v>5.0</v>
      </c>
      <c r="H10" s="7">
        <v>4.0</v>
      </c>
      <c r="I10" s="7">
        <v>5.0</v>
      </c>
      <c r="J10" s="7">
        <v>5.0</v>
      </c>
      <c r="K10" s="57"/>
      <c r="L10" s="57"/>
      <c r="M10" s="57"/>
      <c r="N10" s="57"/>
      <c r="O10" s="57"/>
      <c r="P10" s="57"/>
      <c r="Q10" s="57"/>
      <c r="R10" s="57"/>
      <c r="S10" s="57"/>
      <c r="T10" s="57"/>
      <c r="U10" s="57"/>
      <c r="V10" s="57"/>
      <c r="W10" s="57"/>
      <c r="X10" s="57"/>
      <c r="Y10" s="57"/>
      <c r="Z10" s="57"/>
      <c r="AA10" s="57"/>
      <c r="AB10" s="57"/>
    </row>
    <row r="11">
      <c r="A11" s="57"/>
      <c r="B11" s="57"/>
      <c r="C11" s="59"/>
      <c r="D11" s="77"/>
      <c r="E11" s="61"/>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36</v>
      </c>
      <c r="B12" s="63" t="s">
        <v>37</v>
      </c>
      <c r="C12" s="64" t="s">
        <v>19</v>
      </c>
      <c r="D12" s="78" t="s">
        <v>113</v>
      </c>
      <c r="E12" s="81">
        <f>IFERROR(__xludf.DUMMYFUNCTION("COUNTA(SPLIT(D12,"" ""))/COUNTA(SPLIT($B$12,"" ""))"),0.811046511627907)</f>
        <v>0.8110465116</v>
      </c>
      <c r="F12" s="7">
        <v>4.0</v>
      </c>
      <c r="G12" s="7">
        <v>5.0</v>
      </c>
      <c r="H12" s="7">
        <v>4.0</v>
      </c>
      <c r="I12" s="7">
        <v>1.0</v>
      </c>
      <c r="J12" s="7">
        <v>5.0</v>
      </c>
      <c r="K12" s="67"/>
      <c r="L12" s="67"/>
      <c r="M12" s="67"/>
      <c r="N12" s="67"/>
      <c r="O12" s="67"/>
      <c r="P12" s="67"/>
      <c r="Q12" s="67"/>
      <c r="R12" s="67"/>
      <c r="S12" s="67"/>
      <c r="T12" s="67"/>
      <c r="U12" s="67"/>
      <c r="V12" s="67"/>
      <c r="W12" s="67"/>
      <c r="X12" s="67"/>
      <c r="Y12" s="67"/>
      <c r="Z12" s="67"/>
      <c r="AA12" s="67"/>
      <c r="AB12" s="67"/>
    </row>
    <row r="13" ht="225.0" customHeight="1">
      <c r="C13" s="7" t="s">
        <v>20</v>
      </c>
      <c r="D13" s="73" t="s">
        <v>114</v>
      </c>
      <c r="E13" s="82">
        <f>IFERROR(__xludf.DUMMYFUNCTION("COUNTA(SPLIT(D13,"" ""))/COUNTA(SPLIT($B$12,"" ""))"),0.20348837209302326)</f>
        <v>0.2034883721</v>
      </c>
      <c r="F13" s="7">
        <v>4.0</v>
      </c>
      <c r="G13" s="7">
        <v>4.0</v>
      </c>
      <c r="H13" s="7">
        <v>4.0</v>
      </c>
      <c r="I13" s="7">
        <v>3.0</v>
      </c>
      <c r="J13" s="7">
        <v>4.0</v>
      </c>
      <c r="K13" s="57"/>
      <c r="L13" s="57"/>
      <c r="M13" s="57"/>
      <c r="N13" s="57"/>
      <c r="O13" s="57"/>
      <c r="P13" s="57"/>
      <c r="Q13" s="57"/>
      <c r="R13" s="57"/>
      <c r="S13" s="57"/>
      <c r="T13" s="57"/>
      <c r="U13" s="57"/>
      <c r="V13" s="57"/>
      <c r="W13" s="57"/>
      <c r="X13" s="57"/>
      <c r="Y13" s="57"/>
      <c r="Z13" s="57"/>
      <c r="AA13" s="57"/>
      <c r="AB13" s="57"/>
    </row>
    <row r="14" ht="225.0" customHeight="1">
      <c r="C14" s="7" t="s">
        <v>8</v>
      </c>
      <c r="D14" s="73" t="s">
        <v>115</v>
      </c>
      <c r="E14" s="83">
        <f>IFERROR(__xludf.DUMMYFUNCTION("COUNTA(SPLIT(D14,"" ""))/COUNTA(SPLIT($B$12,"" ""))"),0.4331395348837209)</f>
        <v>0.4331395349</v>
      </c>
      <c r="F14" s="7">
        <v>3.0</v>
      </c>
      <c r="G14" s="7">
        <v>3.0</v>
      </c>
      <c r="H14" s="7">
        <v>4.0</v>
      </c>
      <c r="I14" s="7">
        <v>3.0</v>
      </c>
      <c r="J14" s="7">
        <v>5.0</v>
      </c>
      <c r="K14" s="57"/>
      <c r="L14" s="57"/>
      <c r="M14" s="57"/>
      <c r="N14" s="57"/>
      <c r="O14" s="57"/>
      <c r="P14" s="57"/>
      <c r="Q14" s="57"/>
      <c r="R14" s="57"/>
      <c r="S14" s="57"/>
      <c r="T14" s="57"/>
      <c r="U14" s="57"/>
      <c r="V14" s="57"/>
      <c r="W14" s="57"/>
      <c r="X14" s="57"/>
      <c r="Y14" s="57"/>
      <c r="Z14" s="57"/>
      <c r="AA14" s="57"/>
      <c r="AB14" s="57"/>
    </row>
    <row r="15" ht="225.0" customHeight="1">
      <c r="C15" s="7" t="s">
        <v>21</v>
      </c>
      <c r="D15" s="73" t="s">
        <v>116</v>
      </c>
      <c r="E15" s="84">
        <f>IFERROR(__xludf.DUMMYFUNCTION("COUNTA(SPLIT(D15,"" ""))/COUNTA(SPLIT($B$12,"" ""))"),0.19476744186046513)</f>
        <v>0.1947674419</v>
      </c>
      <c r="F15" s="7">
        <v>4.0</v>
      </c>
      <c r="G15" s="7">
        <v>5.0</v>
      </c>
      <c r="H15" s="7">
        <v>3.0</v>
      </c>
      <c r="I15" s="7">
        <v>5.0</v>
      </c>
      <c r="J15" s="7">
        <v>4.0</v>
      </c>
      <c r="K15" s="57"/>
      <c r="L15" s="57"/>
      <c r="M15" s="57"/>
      <c r="N15" s="57"/>
      <c r="O15" s="57"/>
      <c r="P15" s="57"/>
      <c r="Q15" s="57"/>
      <c r="R15" s="57"/>
      <c r="S15" s="57"/>
      <c r="T15" s="57"/>
      <c r="U15" s="57"/>
      <c r="V15" s="57"/>
      <c r="W15" s="57"/>
      <c r="X15" s="57"/>
      <c r="Y15" s="57"/>
      <c r="Z15" s="57"/>
      <c r="AA15" s="57"/>
      <c r="AB15" s="57"/>
    </row>
    <row r="16">
      <c r="A16" s="57"/>
      <c r="B16" s="57"/>
      <c r="C16" s="59"/>
      <c r="D16" s="77"/>
      <c r="E16" s="61"/>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39</v>
      </c>
      <c r="B17" s="63" t="s">
        <v>40</v>
      </c>
      <c r="C17" s="64" t="s">
        <v>19</v>
      </c>
      <c r="D17" s="78" t="s">
        <v>117</v>
      </c>
      <c r="E17" s="85">
        <f>IFERROR(__xludf.DUMMYFUNCTION("COUNTA(SPLIT(D17,"" ""))/COUNTA(SPLIT($B$17,"" ""))"),0.9067357512953368)</f>
        <v>0.9067357513</v>
      </c>
      <c r="F17" s="7">
        <v>4.0</v>
      </c>
      <c r="G17" s="7">
        <v>4.0</v>
      </c>
      <c r="H17" s="7">
        <v>5.0</v>
      </c>
      <c r="I17" s="7">
        <v>1.0</v>
      </c>
      <c r="J17" s="7">
        <v>5.0</v>
      </c>
      <c r="K17" s="67"/>
      <c r="L17" s="67"/>
      <c r="M17" s="67"/>
      <c r="N17" s="67"/>
      <c r="O17" s="67"/>
      <c r="P17" s="67"/>
      <c r="Q17" s="67"/>
      <c r="R17" s="67"/>
      <c r="S17" s="67"/>
      <c r="T17" s="67"/>
      <c r="U17" s="67"/>
      <c r="V17" s="67"/>
      <c r="W17" s="67"/>
      <c r="X17" s="67"/>
      <c r="Y17" s="67"/>
      <c r="Z17" s="67"/>
      <c r="AA17" s="67"/>
      <c r="AB17" s="67"/>
    </row>
    <row r="18" ht="225.0" customHeight="1">
      <c r="C18" s="7" t="s">
        <v>20</v>
      </c>
      <c r="D18" s="73" t="s">
        <v>118</v>
      </c>
      <c r="E18" s="80">
        <f>IFERROR(__xludf.DUMMYFUNCTION("COUNTA(SPLIT(D18,"" ""))/COUNTA(SPLIT($B$17,"" ""))"),0.3316062176165803)</f>
        <v>0.3316062176</v>
      </c>
      <c r="F18" s="7">
        <v>4.0</v>
      </c>
      <c r="G18" s="7">
        <v>4.0</v>
      </c>
      <c r="H18" s="7">
        <v>5.0</v>
      </c>
      <c r="I18" s="7">
        <v>3.0</v>
      </c>
      <c r="J18" s="7">
        <v>3.0</v>
      </c>
      <c r="K18" s="57"/>
      <c r="L18" s="57"/>
      <c r="M18" s="57"/>
      <c r="N18" s="57"/>
      <c r="O18" s="57"/>
      <c r="P18" s="57"/>
      <c r="Q18" s="57"/>
      <c r="R18" s="57"/>
      <c r="S18" s="57"/>
      <c r="T18" s="57"/>
      <c r="U18" s="57"/>
      <c r="V18" s="57"/>
      <c r="W18" s="57"/>
      <c r="X18" s="57"/>
      <c r="Y18" s="57"/>
      <c r="Z18" s="57"/>
      <c r="AA18" s="57"/>
      <c r="AB18" s="57"/>
    </row>
    <row r="19" ht="225.0" customHeight="1">
      <c r="C19" s="7" t="s">
        <v>8</v>
      </c>
      <c r="D19" s="73" t="s">
        <v>119</v>
      </c>
      <c r="E19" s="86">
        <f>IFERROR(__xludf.DUMMYFUNCTION("COUNTA(SPLIT(D19,"" ""))/COUNTA(SPLIT($B$17,"" ""))"),0.6113989637305699)</f>
        <v>0.6113989637</v>
      </c>
      <c r="F19" s="7">
        <v>3.0</v>
      </c>
      <c r="G19" s="7">
        <v>4.0</v>
      </c>
      <c r="H19" s="7">
        <v>5.0</v>
      </c>
      <c r="I19" s="7">
        <v>3.0</v>
      </c>
      <c r="J19" s="7">
        <v>5.0</v>
      </c>
      <c r="K19" s="57"/>
      <c r="L19" s="57"/>
      <c r="M19" s="57"/>
      <c r="N19" s="57"/>
      <c r="O19" s="57"/>
      <c r="P19" s="57"/>
      <c r="Q19" s="57"/>
      <c r="R19" s="57"/>
      <c r="S19" s="57"/>
      <c r="T19" s="57"/>
      <c r="U19" s="57"/>
      <c r="V19" s="57"/>
      <c r="W19" s="57"/>
      <c r="X19" s="57"/>
      <c r="Y19" s="57"/>
      <c r="Z19" s="57"/>
      <c r="AA19" s="57"/>
      <c r="AB19" s="57"/>
    </row>
    <row r="20" ht="225.0" customHeight="1">
      <c r="C20" s="7" t="s">
        <v>21</v>
      </c>
      <c r="D20" s="73" t="s">
        <v>120</v>
      </c>
      <c r="E20" s="87">
        <f>IFERROR(__xludf.DUMMYFUNCTION("COUNTA(SPLIT(D20,"" ""))/COUNTA(SPLIT($B$17,"" ""))"),0.35233160621761656)</f>
        <v>0.3523316062</v>
      </c>
      <c r="F20" s="7">
        <v>4.0</v>
      </c>
      <c r="G20" s="7">
        <v>4.0</v>
      </c>
      <c r="H20" s="7">
        <v>5.0</v>
      </c>
      <c r="I20" s="7">
        <v>4.0</v>
      </c>
      <c r="J20" s="7">
        <v>5.0</v>
      </c>
      <c r="K20" s="57"/>
      <c r="L20" s="57"/>
      <c r="M20" s="57"/>
      <c r="N20" s="57"/>
      <c r="O20" s="57"/>
      <c r="P20" s="57"/>
      <c r="Q20" s="57"/>
      <c r="R20" s="57"/>
      <c r="S20" s="57"/>
      <c r="T20" s="57"/>
      <c r="U20" s="57"/>
      <c r="V20" s="57"/>
      <c r="W20" s="57"/>
      <c r="X20" s="57"/>
      <c r="Y20" s="57"/>
      <c r="Z20" s="57"/>
      <c r="AA20" s="57"/>
      <c r="AB20" s="57"/>
    </row>
    <row r="21">
      <c r="A21" s="57"/>
      <c r="B21" s="57"/>
      <c r="C21" s="59"/>
      <c r="D21" s="77"/>
      <c r="E21" s="61"/>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42</v>
      </c>
      <c r="B22" s="63" t="s">
        <v>43</v>
      </c>
      <c r="C22" s="64" t="s">
        <v>19</v>
      </c>
      <c r="D22" s="78" t="s">
        <v>121</v>
      </c>
      <c r="E22" s="88">
        <f>IFERROR(__xludf.DUMMYFUNCTION("COUNTA(SPLIT(D22,"" ""))/COUNTA(SPLIT($B$22,"" ""))"),0.3463497453310696)</f>
        <v>0.3463497453</v>
      </c>
      <c r="F22" s="7">
        <v>4.0</v>
      </c>
      <c r="G22" s="7">
        <v>4.0</v>
      </c>
      <c r="H22" s="7">
        <v>5.0</v>
      </c>
      <c r="I22" s="7">
        <v>3.0</v>
      </c>
      <c r="J22" s="7">
        <v>5.0</v>
      </c>
      <c r="K22" s="67"/>
      <c r="L22" s="67"/>
      <c r="M22" s="67"/>
      <c r="N22" s="67"/>
      <c r="O22" s="67"/>
      <c r="P22" s="67"/>
      <c r="Q22" s="67"/>
      <c r="R22" s="67"/>
      <c r="S22" s="67"/>
      <c r="T22" s="67"/>
      <c r="U22" s="67"/>
      <c r="V22" s="67"/>
      <c r="W22" s="67"/>
      <c r="X22" s="67"/>
      <c r="Y22" s="67"/>
      <c r="Z22" s="67"/>
      <c r="AA22" s="67"/>
      <c r="AB22" s="67"/>
    </row>
    <row r="23" ht="225.0" customHeight="1">
      <c r="C23" s="7" t="s">
        <v>20</v>
      </c>
      <c r="D23" s="73" t="s">
        <v>122</v>
      </c>
      <c r="E23" s="82">
        <f>IFERROR(__xludf.DUMMYFUNCTION("COUNTA(SPLIT(D23,"" ""))/COUNTA(SPLIT($B$22,"" ""))"),0.15449915110356535)</f>
        <v>0.1544991511</v>
      </c>
      <c r="F23" s="7">
        <v>4.0</v>
      </c>
      <c r="G23" s="7">
        <v>4.0</v>
      </c>
      <c r="H23" s="7">
        <v>5.0</v>
      </c>
      <c r="I23" s="7">
        <v>3.0</v>
      </c>
      <c r="J23" s="7">
        <v>3.0</v>
      </c>
      <c r="K23" s="57"/>
      <c r="L23" s="57"/>
      <c r="M23" s="57"/>
      <c r="N23" s="57"/>
      <c r="O23" s="57"/>
      <c r="P23" s="57"/>
      <c r="Q23" s="57"/>
      <c r="R23" s="57"/>
      <c r="S23" s="57"/>
      <c r="T23" s="57"/>
      <c r="U23" s="57"/>
      <c r="V23" s="57"/>
      <c r="W23" s="57"/>
      <c r="X23" s="57"/>
      <c r="Y23" s="57"/>
      <c r="Z23" s="57"/>
      <c r="AA23" s="57"/>
      <c r="AB23" s="57"/>
    </row>
    <row r="24" ht="225.0" customHeight="1">
      <c r="C24" s="7" t="s">
        <v>8</v>
      </c>
      <c r="D24" s="73" t="s">
        <v>123</v>
      </c>
      <c r="E24" s="89">
        <f>IFERROR(__xludf.DUMMYFUNCTION("COUNTA(SPLIT(D24,"" ""))/COUNTA(SPLIT($B$22,"" ""))"),0.29711375212224106)</f>
        <v>0.2971137521</v>
      </c>
      <c r="F24" s="7">
        <v>3.0</v>
      </c>
      <c r="G24" s="7">
        <v>5.0</v>
      </c>
      <c r="H24" s="7">
        <v>5.0</v>
      </c>
      <c r="I24" s="7">
        <v>3.0</v>
      </c>
      <c r="J24" s="7">
        <v>4.0</v>
      </c>
      <c r="K24" s="57"/>
      <c r="L24" s="57"/>
      <c r="M24" s="57"/>
      <c r="N24" s="57"/>
      <c r="O24" s="57"/>
      <c r="P24" s="57"/>
      <c r="Q24" s="57"/>
      <c r="R24" s="57"/>
      <c r="S24" s="57"/>
      <c r="T24" s="57"/>
      <c r="U24" s="57"/>
      <c r="V24" s="57"/>
      <c r="W24" s="57"/>
      <c r="X24" s="57"/>
      <c r="Y24" s="57"/>
      <c r="Z24" s="57"/>
      <c r="AA24" s="57"/>
      <c r="AB24" s="57"/>
    </row>
    <row r="25" ht="225.0" customHeight="1">
      <c r="C25" s="7" t="s">
        <v>21</v>
      </c>
      <c r="D25" s="73" t="s">
        <v>124</v>
      </c>
      <c r="E25" s="90">
        <f>IFERROR(__xludf.DUMMYFUNCTION("COUNTA(SPLIT(D25,"" ""))/COUNTA(SPLIT($B$22,"" ""))"),0.1460101867572156)</f>
        <v>0.1460101868</v>
      </c>
      <c r="F25" s="7">
        <v>4.0</v>
      </c>
      <c r="G25" s="7">
        <v>5.0</v>
      </c>
      <c r="H25" s="7">
        <v>4.0</v>
      </c>
      <c r="I25" s="7">
        <v>4.0</v>
      </c>
      <c r="J25" s="7">
        <v>3.0</v>
      </c>
      <c r="K25" s="57"/>
      <c r="L25" s="57"/>
      <c r="M25" s="57"/>
      <c r="N25" s="57"/>
      <c r="O25" s="57"/>
      <c r="P25" s="57"/>
      <c r="Q25" s="57"/>
      <c r="R25" s="57"/>
      <c r="S25" s="57"/>
      <c r="T25" s="57"/>
      <c r="U25" s="57"/>
      <c r="V25" s="57"/>
      <c r="W25" s="57"/>
      <c r="X25" s="57"/>
      <c r="Y25" s="57"/>
      <c r="Z25" s="57"/>
      <c r="AA25" s="57"/>
      <c r="AB25" s="57"/>
    </row>
    <row r="26">
      <c r="A26" s="57"/>
      <c r="B26" s="57"/>
      <c r="C26" s="59"/>
      <c r="D26" s="77"/>
      <c r="E26" s="61"/>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77"/>
      <c r="E27" s="7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77"/>
      <c r="E28" s="7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77"/>
      <c r="E29" s="7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77"/>
      <c r="E30" s="7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77"/>
      <c r="E31" s="7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77"/>
      <c r="E32" s="7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77"/>
      <c r="E33" s="7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77"/>
      <c r="E34" s="7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77"/>
      <c r="E35" s="7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77"/>
      <c r="E36" s="7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77"/>
      <c r="E37" s="7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77"/>
      <c r="E38" s="7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77"/>
      <c r="E39" s="7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77"/>
      <c r="E40" s="7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77"/>
      <c r="E41" s="7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77"/>
      <c r="E42" s="7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77"/>
      <c r="E43" s="7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77"/>
      <c r="E44" s="7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77"/>
      <c r="E45" s="7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77"/>
      <c r="E46" s="7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77"/>
      <c r="E47" s="7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77"/>
      <c r="E48" s="7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77"/>
      <c r="E49" s="7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77"/>
      <c r="E50" s="7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77"/>
      <c r="E51" s="7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77"/>
      <c r="E52" s="7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77"/>
      <c r="E53" s="7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77"/>
      <c r="E54" s="7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77"/>
      <c r="E55" s="7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77"/>
      <c r="E56" s="7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77"/>
      <c r="E57" s="7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77"/>
      <c r="E58" s="7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77"/>
      <c r="E59" s="7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77"/>
      <c r="E60" s="7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77"/>
      <c r="E61" s="7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77"/>
      <c r="E62" s="7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77"/>
      <c r="E63" s="7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77"/>
      <c r="E64" s="7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77"/>
      <c r="E65" s="7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77"/>
      <c r="E66" s="7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77"/>
      <c r="E67" s="7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77"/>
      <c r="E68" s="7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77"/>
      <c r="E69" s="7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77"/>
      <c r="E70" s="7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77"/>
      <c r="E71" s="7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77"/>
      <c r="E72" s="7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77"/>
      <c r="E73" s="7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77"/>
      <c r="E74" s="7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77"/>
      <c r="E75" s="7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77"/>
      <c r="E76" s="7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77"/>
      <c r="E77" s="7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77"/>
      <c r="E78" s="7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77"/>
      <c r="E79" s="7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77"/>
      <c r="E80" s="7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77"/>
      <c r="E81" s="7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77"/>
      <c r="E82" s="7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77"/>
      <c r="E83" s="7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77"/>
      <c r="E84" s="7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77"/>
      <c r="E85" s="7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77"/>
      <c r="E86" s="7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77"/>
      <c r="E87" s="7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77"/>
      <c r="E88" s="7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77"/>
      <c r="E89" s="7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77"/>
      <c r="E90" s="7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77"/>
      <c r="E91" s="7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77"/>
      <c r="E92" s="7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77"/>
      <c r="E93" s="7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77"/>
      <c r="E94" s="7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77"/>
      <c r="E95" s="7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77"/>
      <c r="E96" s="7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77"/>
      <c r="E97" s="7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77"/>
      <c r="E98" s="7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77"/>
      <c r="E99" s="7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77"/>
      <c r="E100" s="7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77"/>
      <c r="E101" s="7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77"/>
      <c r="E102" s="7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77"/>
      <c r="E103" s="7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77"/>
      <c r="E104" s="7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77"/>
      <c r="E105" s="7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77"/>
      <c r="E106" s="7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77"/>
      <c r="E107" s="7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77"/>
      <c r="E108" s="7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77"/>
      <c r="E109" s="7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77"/>
      <c r="E110" s="7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77"/>
      <c r="E111" s="7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77"/>
      <c r="E112" s="7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77"/>
      <c r="E113" s="7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77"/>
      <c r="E114" s="7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77"/>
      <c r="E115" s="7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77"/>
      <c r="E116" s="7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77"/>
      <c r="E117" s="7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77"/>
      <c r="E118" s="7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77"/>
      <c r="E119" s="7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77"/>
      <c r="E120" s="7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77"/>
      <c r="E121" s="7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77"/>
      <c r="E122" s="7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77"/>
      <c r="E123" s="7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77"/>
      <c r="E124" s="7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77"/>
      <c r="E125" s="7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77"/>
      <c r="E126" s="7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77"/>
      <c r="E127" s="7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77"/>
      <c r="E128" s="7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77"/>
      <c r="E129" s="7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77"/>
      <c r="E130" s="7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77"/>
      <c r="E131" s="7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77"/>
      <c r="E132" s="7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77"/>
      <c r="E133" s="7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77"/>
      <c r="E134" s="7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77"/>
      <c r="E135" s="7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77"/>
      <c r="E136" s="7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77"/>
      <c r="E137" s="7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77"/>
      <c r="E138" s="7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77"/>
      <c r="E139" s="7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77"/>
      <c r="E140" s="7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77"/>
      <c r="E141" s="7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77"/>
      <c r="E142" s="7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77"/>
      <c r="E143" s="7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77"/>
      <c r="E144" s="7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77"/>
      <c r="E145" s="7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77"/>
      <c r="E146" s="7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77"/>
      <c r="E147" s="7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77"/>
      <c r="E148" s="7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77"/>
      <c r="E149" s="7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77"/>
      <c r="E150" s="7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77"/>
      <c r="E151" s="7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77"/>
      <c r="E152" s="7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77"/>
      <c r="E153" s="7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77"/>
      <c r="E154" s="7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77"/>
      <c r="E155" s="7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77"/>
      <c r="E156" s="7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77"/>
      <c r="E157" s="7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77"/>
      <c r="E158" s="7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77"/>
      <c r="E159" s="7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77"/>
      <c r="E160" s="7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77"/>
      <c r="E161" s="7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77"/>
      <c r="E162" s="7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77"/>
      <c r="E163" s="7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77"/>
      <c r="E164" s="7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77"/>
      <c r="E165" s="7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77"/>
      <c r="E166" s="7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77"/>
      <c r="E167" s="7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77"/>
      <c r="E168" s="7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77"/>
      <c r="E169" s="7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77"/>
      <c r="E170" s="7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77"/>
      <c r="E171" s="7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77"/>
      <c r="E172" s="7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77"/>
      <c r="E173" s="7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77"/>
      <c r="E174" s="7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77"/>
      <c r="E175" s="7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77"/>
      <c r="E176" s="7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77"/>
      <c r="E177" s="7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77"/>
      <c r="E178" s="7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77"/>
      <c r="E179" s="7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77"/>
      <c r="E180" s="7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77"/>
      <c r="E181" s="7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77"/>
      <c r="E182" s="7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77"/>
      <c r="E183" s="7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77"/>
      <c r="E184" s="7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77"/>
      <c r="E185" s="7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77"/>
      <c r="E186" s="7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77"/>
      <c r="E187" s="7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77"/>
      <c r="E188" s="7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77"/>
      <c r="E189" s="7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77"/>
      <c r="E190" s="7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77"/>
      <c r="E191" s="7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77"/>
      <c r="E192" s="7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77"/>
      <c r="E193" s="7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77"/>
      <c r="E194" s="7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77"/>
      <c r="E195" s="7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77"/>
      <c r="E196" s="7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77"/>
      <c r="E197" s="7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77"/>
      <c r="E198" s="7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77"/>
      <c r="E199" s="7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77"/>
      <c r="E200" s="7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77"/>
      <c r="E201" s="7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77"/>
      <c r="E202" s="7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77"/>
      <c r="E203" s="7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77"/>
      <c r="E204" s="7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77"/>
      <c r="E205" s="7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77"/>
      <c r="E206" s="7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77"/>
      <c r="E207" s="7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77"/>
      <c r="E208" s="7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77"/>
      <c r="E209" s="7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77"/>
      <c r="E210" s="7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77"/>
      <c r="E211" s="7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77"/>
      <c r="E212" s="7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77"/>
      <c r="E213" s="7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77"/>
      <c r="E214" s="7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77"/>
      <c r="E215" s="7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77"/>
      <c r="E216" s="7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77"/>
      <c r="E217" s="7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77"/>
      <c r="E218" s="7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77"/>
      <c r="E219" s="7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77"/>
      <c r="E220" s="7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77"/>
      <c r="E221" s="7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77"/>
      <c r="E222" s="7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77"/>
      <c r="E223" s="7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77"/>
      <c r="E224" s="7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77"/>
      <c r="E225" s="7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77"/>
      <c r="E226" s="7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77"/>
      <c r="E227" s="7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77"/>
      <c r="E228" s="7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77"/>
      <c r="E229" s="7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77"/>
      <c r="E230" s="7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77"/>
      <c r="E231" s="7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77"/>
      <c r="E232" s="7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77"/>
      <c r="E233" s="7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77"/>
      <c r="E234" s="7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77"/>
      <c r="E235" s="7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77"/>
      <c r="E236" s="7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77"/>
      <c r="E237" s="7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77"/>
      <c r="E238" s="7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77"/>
      <c r="E239" s="7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77"/>
      <c r="E240" s="7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77"/>
      <c r="E241" s="7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77"/>
      <c r="E242" s="7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77"/>
      <c r="E243" s="7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77"/>
      <c r="E244" s="7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77"/>
      <c r="E245" s="7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77"/>
      <c r="E246" s="7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77"/>
      <c r="E247" s="7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77"/>
      <c r="E248" s="7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77"/>
      <c r="E249" s="7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77"/>
      <c r="E250" s="7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77"/>
      <c r="E251" s="7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77"/>
      <c r="E252" s="7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77"/>
      <c r="E253" s="7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77"/>
      <c r="E254" s="7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77"/>
      <c r="E255" s="7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77"/>
      <c r="E256" s="7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77"/>
      <c r="E257" s="7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77"/>
      <c r="E258" s="7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77"/>
      <c r="E259" s="7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77"/>
      <c r="E260" s="7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77"/>
      <c r="E261" s="7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77"/>
      <c r="E262" s="7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77"/>
      <c r="E263" s="7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77"/>
      <c r="E264" s="7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77"/>
      <c r="E265" s="7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77"/>
      <c r="E266" s="7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77"/>
      <c r="E267" s="7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77"/>
      <c r="E268" s="7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77"/>
      <c r="E269" s="7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77"/>
      <c r="E270" s="7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77"/>
      <c r="E271" s="7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77"/>
      <c r="E272" s="7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77"/>
      <c r="E273" s="7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77"/>
      <c r="E274" s="7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77"/>
      <c r="E275" s="7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77"/>
      <c r="E276" s="7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77"/>
      <c r="E277" s="7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77"/>
      <c r="E278" s="7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77"/>
      <c r="E279" s="7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77"/>
      <c r="E280" s="7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77"/>
      <c r="E281" s="7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77"/>
      <c r="E282" s="7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77"/>
      <c r="E283" s="7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77"/>
      <c r="E284" s="7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77"/>
      <c r="E285" s="7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77"/>
      <c r="E286" s="7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77"/>
      <c r="E287" s="7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77"/>
      <c r="E288" s="7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77"/>
      <c r="E289" s="7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77"/>
      <c r="E290" s="7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77"/>
      <c r="E291" s="7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77"/>
      <c r="E292" s="7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77"/>
      <c r="E293" s="7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77"/>
      <c r="E294" s="7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77"/>
      <c r="E295" s="7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77"/>
      <c r="E296" s="7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77"/>
      <c r="E297" s="7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77"/>
      <c r="E298" s="7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77"/>
      <c r="E299" s="7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77"/>
      <c r="E300" s="7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77"/>
      <c r="E301" s="7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77"/>
      <c r="E302" s="7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77"/>
      <c r="E303" s="7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77"/>
      <c r="E304" s="7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77"/>
      <c r="E305" s="7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77"/>
      <c r="E306" s="7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77"/>
      <c r="E307" s="7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77"/>
      <c r="E308" s="7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77"/>
      <c r="E309" s="7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77"/>
      <c r="E310" s="7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77"/>
      <c r="E311" s="7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77"/>
      <c r="E312" s="7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77"/>
      <c r="E313" s="7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77"/>
      <c r="E314" s="7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77"/>
      <c r="E315" s="7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77"/>
      <c r="E316" s="7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77"/>
      <c r="E317" s="7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77"/>
      <c r="E318" s="7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77"/>
      <c r="E319" s="7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77"/>
      <c r="E320" s="7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77"/>
      <c r="E321" s="7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77"/>
      <c r="E322" s="7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77"/>
      <c r="E323" s="7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77"/>
      <c r="E324" s="7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77"/>
      <c r="E325" s="7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77"/>
      <c r="E326" s="7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77"/>
      <c r="E327" s="7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77"/>
      <c r="E328" s="7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77"/>
      <c r="E329" s="7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77"/>
      <c r="E330" s="7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77"/>
      <c r="E331" s="7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77"/>
      <c r="E332" s="7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77"/>
      <c r="E333" s="7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77"/>
      <c r="E334" s="7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77"/>
      <c r="E335" s="7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77"/>
      <c r="E336" s="7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77"/>
      <c r="E337" s="7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77"/>
      <c r="E338" s="7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77"/>
      <c r="E339" s="7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77"/>
      <c r="E340" s="7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77"/>
      <c r="E341" s="7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77"/>
      <c r="E342" s="7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77"/>
      <c r="E343" s="7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77"/>
      <c r="E344" s="7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77"/>
      <c r="E345" s="7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77"/>
      <c r="E346" s="7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77"/>
      <c r="E347" s="7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77"/>
      <c r="E348" s="7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77"/>
      <c r="E349" s="7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77"/>
      <c r="E350" s="7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77"/>
      <c r="E351" s="7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77"/>
      <c r="E352" s="7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77"/>
      <c r="E353" s="7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77"/>
      <c r="E354" s="7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77"/>
      <c r="E355" s="7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77"/>
      <c r="E356" s="7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77"/>
      <c r="E357" s="7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77"/>
      <c r="E358" s="7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77"/>
      <c r="E359" s="7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77"/>
      <c r="E360" s="7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77"/>
      <c r="E361" s="7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77"/>
      <c r="E362" s="7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77"/>
      <c r="E363" s="7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77"/>
      <c r="E364" s="7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77"/>
      <c r="E365" s="7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77"/>
      <c r="E366" s="7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77"/>
      <c r="E367" s="7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77"/>
      <c r="E368" s="7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77"/>
      <c r="E369" s="7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77"/>
      <c r="E370" s="7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77"/>
      <c r="E371" s="7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77"/>
      <c r="E372" s="7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77"/>
      <c r="E373" s="7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77"/>
      <c r="E374" s="7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77"/>
      <c r="E375" s="7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77"/>
      <c r="E376" s="7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77"/>
      <c r="E377" s="7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77"/>
      <c r="E378" s="7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77"/>
      <c r="E379" s="7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77"/>
      <c r="E380" s="7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77"/>
      <c r="E381" s="7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77"/>
      <c r="E382" s="7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77"/>
      <c r="E383" s="7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77"/>
      <c r="E384" s="7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77"/>
      <c r="E385" s="7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77"/>
      <c r="E386" s="7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77"/>
      <c r="E387" s="7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77"/>
      <c r="E388" s="7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77"/>
      <c r="E389" s="7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77"/>
      <c r="E390" s="7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77"/>
      <c r="E391" s="7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77"/>
      <c r="E392" s="7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77"/>
      <c r="E393" s="7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77"/>
      <c r="E394" s="7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77"/>
      <c r="E395" s="7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77"/>
      <c r="E396" s="7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77"/>
      <c r="E397" s="7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77"/>
      <c r="E398" s="7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77"/>
      <c r="E399" s="7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77"/>
      <c r="E400" s="7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77"/>
      <c r="E401" s="7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77"/>
      <c r="E402" s="7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77"/>
      <c r="E403" s="7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77"/>
      <c r="E404" s="7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77"/>
      <c r="E405" s="7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77"/>
      <c r="E406" s="7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77"/>
      <c r="E407" s="7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77"/>
      <c r="E408" s="7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77"/>
      <c r="E409" s="7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77"/>
      <c r="E410" s="7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77"/>
      <c r="E411" s="7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77"/>
      <c r="E412" s="7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77"/>
      <c r="E413" s="7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77"/>
      <c r="E414" s="7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77"/>
      <c r="E415" s="7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77"/>
      <c r="E416" s="7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77"/>
      <c r="E417" s="7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77"/>
      <c r="E418" s="7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77"/>
      <c r="E419" s="7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77"/>
      <c r="E420" s="7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77"/>
      <c r="E421" s="7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77"/>
      <c r="E422" s="7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77"/>
      <c r="E423" s="7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77"/>
      <c r="E424" s="7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77"/>
      <c r="E425" s="7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77"/>
      <c r="E426" s="7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77"/>
      <c r="E427" s="7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77"/>
      <c r="E428" s="7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77"/>
      <c r="E429" s="7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77"/>
      <c r="E430" s="7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77"/>
      <c r="E431" s="7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77"/>
      <c r="E432" s="7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77"/>
      <c r="E433" s="7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77"/>
      <c r="E434" s="7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77"/>
      <c r="E435" s="7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77"/>
      <c r="E436" s="7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77"/>
      <c r="E437" s="7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77"/>
      <c r="E438" s="7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77"/>
      <c r="E439" s="7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77"/>
      <c r="E440" s="7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77"/>
      <c r="E441" s="7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77"/>
      <c r="E442" s="7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77"/>
      <c r="E443" s="7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77"/>
      <c r="E444" s="7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77"/>
      <c r="E445" s="7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77"/>
      <c r="E446" s="7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77"/>
      <c r="E447" s="7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77"/>
      <c r="E448" s="7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77"/>
      <c r="E449" s="7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77"/>
      <c r="E450" s="7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77"/>
      <c r="E451" s="7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77"/>
      <c r="E452" s="7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77"/>
      <c r="E453" s="7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77"/>
      <c r="E454" s="7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77"/>
      <c r="E455" s="7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77"/>
      <c r="E456" s="7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77"/>
      <c r="E457" s="7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77"/>
      <c r="E458" s="7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77"/>
      <c r="E459" s="7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77"/>
      <c r="E460" s="7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77"/>
      <c r="E461" s="7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77"/>
      <c r="E462" s="7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77"/>
      <c r="E463" s="7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77"/>
      <c r="E464" s="7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77"/>
      <c r="E465" s="7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77"/>
      <c r="E466" s="7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77"/>
      <c r="E467" s="7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77"/>
      <c r="E468" s="7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77"/>
      <c r="E469" s="7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77"/>
      <c r="E470" s="7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77"/>
      <c r="E471" s="7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77"/>
      <c r="E472" s="7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77"/>
      <c r="E473" s="7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77"/>
      <c r="E474" s="7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77"/>
      <c r="E475" s="7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77"/>
      <c r="E476" s="7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77"/>
      <c r="E477" s="7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77"/>
      <c r="E478" s="7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77"/>
      <c r="E479" s="7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77"/>
      <c r="E480" s="7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77"/>
      <c r="E481" s="7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77"/>
      <c r="E482" s="7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77"/>
      <c r="E483" s="7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77"/>
      <c r="E484" s="7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77"/>
      <c r="E485" s="7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77"/>
      <c r="E486" s="7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77"/>
      <c r="E487" s="7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77"/>
      <c r="E488" s="7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77"/>
      <c r="E489" s="7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77"/>
      <c r="E490" s="7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77"/>
      <c r="E491" s="7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77"/>
      <c r="E492" s="7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77"/>
      <c r="E493" s="7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77"/>
      <c r="E494" s="7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77"/>
      <c r="E495" s="7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77"/>
      <c r="E496" s="7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77"/>
      <c r="E497" s="7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77"/>
      <c r="E498" s="7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77"/>
      <c r="E499" s="7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77"/>
      <c r="E500" s="7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77"/>
      <c r="E501" s="7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77"/>
      <c r="E502" s="7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77"/>
      <c r="E503" s="7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77"/>
      <c r="E504" s="7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77"/>
      <c r="E505" s="7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77"/>
      <c r="E506" s="7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77"/>
      <c r="E507" s="7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77"/>
      <c r="E508" s="7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77"/>
      <c r="E509" s="7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77"/>
      <c r="E510" s="7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77"/>
      <c r="E511" s="7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77"/>
      <c r="E512" s="7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77"/>
      <c r="E513" s="7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77"/>
      <c r="E514" s="7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77"/>
      <c r="E515" s="7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77"/>
      <c r="E516" s="7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77"/>
      <c r="E517" s="7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77"/>
      <c r="E518" s="7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77"/>
      <c r="E519" s="7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77"/>
      <c r="E520" s="7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77"/>
      <c r="E521" s="7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77"/>
      <c r="E522" s="7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77"/>
      <c r="E523" s="7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77"/>
      <c r="E524" s="7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77"/>
      <c r="E525" s="7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77"/>
      <c r="E526" s="7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77"/>
      <c r="E527" s="7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77"/>
      <c r="E528" s="7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77"/>
      <c r="E529" s="7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77"/>
      <c r="E530" s="7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77"/>
      <c r="E531" s="7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77"/>
      <c r="E532" s="7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77"/>
      <c r="E533" s="7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77"/>
      <c r="E534" s="7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77"/>
      <c r="E535" s="7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77"/>
      <c r="E536" s="7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77"/>
      <c r="E537" s="7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77"/>
      <c r="E538" s="7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77"/>
      <c r="E539" s="7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77"/>
      <c r="E540" s="7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77"/>
      <c r="E541" s="7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77"/>
      <c r="E542" s="7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77"/>
      <c r="E543" s="7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77"/>
      <c r="E544" s="7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77"/>
      <c r="E545" s="7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77"/>
      <c r="E546" s="7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77"/>
      <c r="E547" s="7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77"/>
      <c r="E548" s="7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77"/>
      <c r="E549" s="7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77"/>
      <c r="E550" s="7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77"/>
      <c r="E551" s="7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77"/>
      <c r="E552" s="7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77"/>
      <c r="E553" s="7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77"/>
      <c r="E554" s="7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77"/>
      <c r="E555" s="7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77"/>
      <c r="E556" s="7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77"/>
      <c r="E557" s="7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77"/>
      <c r="E558" s="7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77"/>
      <c r="E559" s="7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77"/>
      <c r="E560" s="7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77"/>
      <c r="E561" s="7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77"/>
      <c r="E562" s="7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77"/>
      <c r="E563" s="7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77"/>
      <c r="E564" s="7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77"/>
      <c r="E565" s="7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77"/>
      <c r="E566" s="7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77"/>
      <c r="E567" s="7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77"/>
      <c r="E568" s="7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77"/>
      <c r="E569" s="7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77"/>
      <c r="E570" s="7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77"/>
      <c r="E571" s="7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77"/>
      <c r="E572" s="7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77"/>
      <c r="E573" s="7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77"/>
      <c r="E574" s="7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77"/>
      <c r="E575" s="7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77"/>
      <c r="E576" s="7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77"/>
      <c r="E577" s="7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77"/>
      <c r="E578" s="7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77"/>
      <c r="E579" s="7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77"/>
      <c r="E580" s="7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77"/>
      <c r="E581" s="7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77"/>
      <c r="E582" s="7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77"/>
      <c r="E583" s="7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77"/>
      <c r="E584" s="7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77"/>
      <c r="E585" s="7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77"/>
      <c r="E586" s="7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77"/>
      <c r="E587" s="7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77"/>
      <c r="E588" s="7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77"/>
      <c r="E589" s="7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77"/>
      <c r="E590" s="7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77"/>
      <c r="E591" s="7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77"/>
      <c r="E592" s="7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77"/>
      <c r="E593" s="7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77"/>
      <c r="E594" s="7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77"/>
      <c r="E595" s="7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77"/>
      <c r="E596" s="7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77"/>
      <c r="E597" s="7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77"/>
      <c r="E598" s="7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77"/>
      <c r="E599" s="7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77"/>
      <c r="E600" s="7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77"/>
      <c r="E601" s="7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77"/>
      <c r="E602" s="7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77"/>
      <c r="E603" s="7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77"/>
      <c r="E604" s="7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77"/>
      <c r="E605" s="7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77"/>
      <c r="E606" s="7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77"/>
      <c r="E607" s="7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77"/>
      <c r="E608" s="7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77"/>
      <c r="E609" s="7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77"/>
      <c r="E610" s="7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77"/>
      <c r="E611" s="7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77"/>
      <c r="E612" s="7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77"/>
      <c r="E613" s="7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77"/>
      <c r="E614" s="7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77"/>
      <c r="E615" s="7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77"/>
      <c r="E616" s="7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77"/>
      <c r="E617" s="7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77"/>
      <c r="E618" s="7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77"/>
      <c r="E619" s="7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77"/>
      <c r="E620" s="7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77"/>
      <c r="E621" s="7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77"/>
      <c r="E622" s="7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77"/>
      <c r="E623" s="7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77"/>
      <c r="E624" s="7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77"/>
      <c r="E625" s="7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77"/>
      <c r="E626" s="7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77"/>
      <c r="E627" s="7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77"/>
      <c r="E628" s="7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77"/>
      <c r="E629" s="7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77"/>
      <c r="E630" s="7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77"/>
      <c r="E631" s="7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77"/>
      <c r="E632" s="7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77"/>
      <c r="E633" s="7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77"/>
      <c r="E634" s="7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77"/>
      <c r="E635" s="7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77"/>
      <c r="E636" s="7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77"/>
      <c r="E637" s="7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77"/>
      <c r="E638" s="7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77"/>
      <c r="E639" s="7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77"/>
      <c r="E640" s="7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77"/>
      <c r="E641" s="7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77"/>
      <c r="E642" s="7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77"/>
      <c r="E643" s="7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77"/>
      <c r="E644" s="7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77"/>
      <c r="E645" s="7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77"/>
      <c r="E646" s="7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77"/>
      <c r="E647" s="7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77"/>
      <c r="E648" s="7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77"/>
      <c r="E649" s="7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77"/>
      <c r="E650" s="7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77"/>
      <c r="E651" s="7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77"/>
      <c r="E652" s="7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77"/>
      <c r="E653" s="7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77"/>
      <c r="E654" s="7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77"/>
      <c r="E655" s="7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77"/>
      <c r="E656" s="7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77"/>
      <c r="E657" s="7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77"/>
      <c r="E658" s="7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77"/>
      <c r="E659" s="7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77"/>
      <c r="E660" s="7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77"/>
      <c r="E661" s="7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77"/>
      <c r="E662" s="7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77"/>
      <c r="E663" s="7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77"/>
      <c r="E664" s="7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77"/>
      <c r="E665" s="7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77"/>
      <c r="E666" s="7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77"/>
      <c r="E667" s="7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77"/>
      <c r="E668" s="7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77"/>
      <c r="E669" s="7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77"/>
      <c r="E670" s="7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77"/>
      <c r="E671" s="7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77"/>
      <c r="E672" s="7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77"/>
      <c r="E673" s="7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77"/>
      <c r="E674" s="7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77"/>
      <c r="E675" s="7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77"/>
      <c r="E676" s="7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77"/>
      <c r="E677" s="7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77"/>
      <c r="E678" s="7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77"/>
      <c r="E679" s="7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77"/>
      <c r="E680" s="7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77"/>
      <c r="E681" s="7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77"/>
      <c r="E682" s="7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77"/>
      <c r="E683" s="7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77"/>
      <c r="E684" s="7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77"/>
      <c r="E685" s="7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77"/>
      <c r="E686" s="7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77"/>
      <c r="E687" s="7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77"/>
      <c r="E688" s="7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77"/>
      <c r="E689" s="7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77"/>
      <c r="E690" s="7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77"/>
      <c r="E691" s="7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77"/>
      <c r="E692" s="7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77"/>
      <c r="E693" s="7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77"/>
      <c r="E694" s="7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77"/>
      <c r="E695" s="7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77"/>
      <c r="E696" s="7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77"/>
      <c r="E697" s="7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77"/>
      <c r="E698" s="7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77"/>
      <c r="E699" s="7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77"/>
      <c r="E700" s="7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77"/>
      <c r="E701" s="7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77"/>
      <c r="E702" s="7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77"/>
      <c r="E703" s="7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77"/>
      <c r="E704" s="7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77"/>
      <c r="E705" s="7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77"/>
      <c r="E706" s="7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77"/>
      <c r="E707" s="7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77"/>
      <c r="E708" s="7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77"/>
      <c r="E709" s="7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77"/>
      <c r="E710" s="7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77"/>
      <c r="E711" s="7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77"/>
      <c r="E712" s="7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77"/>
      <c r="E713" s="7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77"/>
      <c r="E714" s="7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77"/>
      <c r="E715" s="7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77"/>
      <c r="E716" s="7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77"/>
      <c r="E717" s="7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77"/>
      <c r="E718" s="7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77"/>
      <c r="E719" s="7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77"/>
      <c r="E720" s="7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77"/>
      <c r="E721" s="7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77"/>
      <c r="E722" s="7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77"/>
      <c r="E723" s="7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77"/>
      <c r="E724" s="7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77"/>
      <c r="E725" s="7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77"/>
      <c r="E726" s="7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77"/>
      <c r="E727" s="7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77"/>
      <c r="E728" s="7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77"/>
      <c r="E729" s="7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77"/>
      <c r="E730" s="7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77"/>
      <c r="E731" s="7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77"/>
      <c r="E732" s="7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77"/>
      <c r="E733" s="7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77"/>
      <c r="E734" s="7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77"/>
      <c r="E735" s="7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77"/>
      <c r="E736" s="7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77"/>
      <c r="E737" s="7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77"/>
      <c r="E738" s="7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77"/>
      <c r="E739" s="7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77"/>
      <c r="E740" s="7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77"/>
      <c r="E741" s="7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77"/>
      <c r="E742" s="7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77"/>
      <c r="E743" s="7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77"/>
      <c r="E744" s="7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77"/>
      <c r="E745" s="7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77"/>
      <c r="E746" s="7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77"/>
      <c r="E747" s="7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77"/>
      <c r="E748" s="7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77"/>
      <c r="E749" s="7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77"/>
      <c r="E750" s="7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77"/>
      <c r="E751" s="7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77"/>
      <c r="E752" s="7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77"/>
      <c r="E753" s="7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77"/>
      <c r="E754" s="7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77"/>
      <c r="E755" s="7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77"/>
      <c r="E756" s="7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77"/>
      <c r="E757" s="7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77"/>
      <c r="E758" s="7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77"/>
      <c r="E759" s="7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77"/>
      <c r="E760" s="7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77"/>
      <c r="E761" s="7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77"/>
      <c r="E762" s="7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77"/>
      <c r="E763" s="7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77"/>
      <c r="E764" s="7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77"/>
      <c r="E765" s="7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77"/>
      <c r="E766" s="7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77"/>
      <c r="E767" s="7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77"/>
      <c r="E768" s="7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77"/>
      <c r="E769" s="7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77"/>
      <c r="E770" s="7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77"/>
      <c r="E771" s="7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77"/>
      <c r="E772" s="7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77"/>
      <c r="E773" s="7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77"/>
      <c r="E774" s="7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77"/>
      <c r="E775" s="7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77"/>
      <c r="E776" s="7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77"/>
      <c r="E777" s="7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77"/>
      <c r="E778" s="7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77"/>
      <c r="E779" s="7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77"/>
      <c r="E780" s="7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77"/>
      <c r="E781" s="7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77"/>
      <c r="E782" s="7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77"/>
      <c r="E783" s="7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77"/>
      <c r="E784" s="7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77"/>
      <c r="E785" s="7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77"/>
      <c r="E786" s="7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77"/>
      <c r="E787" s="7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77"/>
      <c r="E788" s="7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77"/>
      <c r="E789" s="7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77"/>
      <c r="E790" s="7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77"/>
      <c r="E791" s="7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77"/>
      <c r="E792" s="7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77"/>
      <c r="E793" s="7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77"/>
      <c r="E794" s="7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77"/>
      <c r="E795" s="7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77"/>
      <c r="E796" s="7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77"/>
      <c r="E797" s="7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77"/>
      <c r="E798" s="7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77"/>
      <c r="E799" s="7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77"/>
      <c r="E800" s="7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77"/>
      <c r="E801" s="7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77"/>
      <c r="E802" s="7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77"/>
      <c r="E803" s="7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77"/>
      <c r="E804" s="7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77"/>
      <c r="E805" s="7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77"/>
      <c r="E806" s="7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77"/>
      <c r="E807" s="7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77"/>
      <c r="E808" s="7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77"/>
      <c r="E809" s="7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77"/>
      <c r="E810" s="7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77"/>
      <c r="E811" s="7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77"/>
      <c r="E812" s="7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77"/>
      <c r="E813" s="7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77"/>
      <c r="E814" s="7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77"/>
      <c r="E815" s="7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77"/>
      <c r="E816" s="7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77"/>
      <c r="E817" s="7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77"/>
      <c r="E818" s="7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77"/>
      <c r="E819" s="7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77"/>
      <c r="E820" s="7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77"/>
      <c r="E821" s="7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77"/>
      <c r="E822" s="7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77"/>
      <c r="E823" s="7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77"/>
      <c r="E824" s="7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77"/>
      <c r="E825" s="7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77"/>
      <c r="E826" s="7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77"/>
      <c r="E827" s="7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77"/>
      <c r="E828" s="7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77"/>
      <c r="E829" s="7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77"/>
      <c r="E830" s="7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77"/>
      <c r="E831" s="7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77"/>
      <c r="E832" s="7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77"/>
      <c r="E833" s="7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77"/>
      <c r="E834" s="7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77"/>
      <c r="E835" s="7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77"/>
      <c r="E836" s="7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77"/>
      <c r="E837" s="7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77"/>
      <c r="E838" s="7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77"/>
      <c r="E839" s="7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77"/>
      <c r="E840" s="7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77"/>
      <c r="E841" s="7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77"/>
      <c r="E842" s="7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77"/>
      <c r="E843" s="7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77"/>
      <c r="E844" s="7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77"/>
      <c r="E845" s="7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77"/>
      <c r="E846" s="7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77"/>
      <c r="E847" s="7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77"/>
      <c r="E848" s="7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77"/>
      <c r="E849" s="7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77"/>
      <c r="E850" s="7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77"/>
      <c r="E851" s="7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77"/>
      <c r="E852" s="7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77"/>
      <c r="E853" s="7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77"/>
      <c r="E854" s="7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77"/>
      <c r="E855" s="7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77"/>
      <c r="E856" s="7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77"/>
      <c r="E857" s="7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77"/>
      <c r="E858" s="7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77"/>
      <c r="E859" s="7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77"/>
      <c r="E860" s="7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77"/>
      <c r="E861" s="7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77"/>
      <c r="E862" s="7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77"/>
      <c r="E863" s="7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77"/>
      <c r="E864" s="7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77"/>
      <c r="E865" s="7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77"/>
      <c r="E866" s="7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77"/>
      <c r="E867" s="7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77"/>
      <c r="E868" s="7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77"/>
      <c r="E869" s="7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77"/>
      <c r="E870" s="7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77"/>
      <c r="E871" s="7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77"/>
      <c r="E872" s="7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77"/>
      <c r="E873" s="7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77"/>
      <c r="E874" s="7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77"/>
      <c r="E875" s="7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77"/>
      <c r="E876" s="7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77"/>
      <c r="E877" s="7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77"/>
      <c r="E878" s="7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77"/>
      <c r="E879" s="7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77"/>
      <c r="E880" s="7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77"/>
      <c r="E881" s="7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77"/>
      <c r="E882" s="7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77"/>
      <c r="E883" s="7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77"/>
      <c r="E884" s="7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77"/>
      <c r="E885" s="7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77"/>
      <c r="E886" s="7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77"/>
      <c r="E887" s="7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77"/>
      <c r="E888" s="7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77"/>
      <c r="E889" s="7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77"/>
      <c r="E890" s="7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77"/>
      <c r="E891" s="7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77"/>
      <c r="E892" s="7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77"/>
      <c r="E893" s="7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77"/>
      <c r="E894" s="7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77"/>
      <c r="E895" s="7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77"/>
      <c r="E896" s="7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77"/>
      <c r="E897" s="7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77"/>
      <c r="E898" s="7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77"/>
      <c r="E899" s="7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77"/>
      <c r="E900" s="7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77"/>
      <c r="E901" s="7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77"/>
      <c r="E902" s="7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77"/>
      <c r="E903" s="7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77"/>
      <c r="E904" s="7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77"/>
      <c r="E905" s="7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77"/>
      <c r="E906" s="7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77"/>
      <c r="E907" s="7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77"/>
      <c r="E908" s="7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77"/>
      <c r="E909" s="7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77"/>
      <c r="E910" s="7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77"/>
      <c r="E911" s="7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77"/>
      <c r="E912" s="7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77"/>
      <c r="E913" s="7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77"/>
      <c r="E914" s="7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77"/>
      <c r="E915" s="7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77"/>
      <c r="E916" s="7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77"/>
      <c r="E917" s="7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77"/>
      <c r="E918" s="7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77"/>
      <c r="E919" s="7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77"/>
      <c r="E920" s="7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77"/>
      <c r="E921" s="7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77"/>
      <c r="E922" s="7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77"/>
      <c r="E923" s="7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77"/>
      <c r="E924" s="7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77"/>
      <c r="E925" s="7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77"/>
      <c r="E926" s="7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77"/>
      <c r="E927" s="7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77"/>
      <c r="E928" s="7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77"/>
      <c r="E929" s="7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77"/>
      <c r="E930" s="7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77"/>
      <c r="E931" s="7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77"/>
      <c r="E932" s="7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77"/>
      <c r="E933" s="7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77"/>
      <c r="E934" s="7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77"/>
      <c r="E935" s="7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77"/>
      <c r="E936" s="7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77"/>
      <c r="E937" s="7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77"/>
      <c r="E938" s="7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77"/>
      <c r="E939" s="7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77"/>
      <c r="E940" s="7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77"/>
      <c r="E941" s="7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77"/>
      <c r="E942" s="7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77"/>
      <c r="E943" s="7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77"/>
      <c r="E944" s="7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77"/>
      <c r="E945" s="7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77"/>
      <c r="E946" s="7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77"/>
      <c r="E947" s="7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77"/>
      <c r="E948" s="7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77"/>
      <c r="E949" s="7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77"/>
      <c r="E950" s="7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77"/>
      <c r="E951" s="71"/>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77"/>
      <c r="E952" s="71"/>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77"/>
      <c r="E953" s="71"/>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77"/>
      <c r="E954" s="71"/>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77"/>
      <c r="E955" s="71"/>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77"/>
      <c r="E956" s="71"/>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77"/>
      <c r="E957" s="71"/>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77"/>
      <c r="E958" s="71"/>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77"/>
      <c r="E959" s="71"/>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77"/>
      <c r="E960" s="71"/>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77"/>
      <c r="E961" s="71"/>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77"/>
      <c r="E962" s="71"/>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77"/>
      <c r="E963" s="71"/>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77"/>
      <c r="E964" s="71"/>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row r="965">
      <c r="A965" s="57"/>
      <c r="B965" s="57"/>
      <c r="C965" s="59"/>
      <c r="D965" s="77"/>
      <c r="E965" s="71"/>
      <c r="F965" s="59"/>
      <c r="G965" s="59"/>
      <c r="H965" s="59"/>
      <c r="I965" s="59"/>
      <c r="J965" s="59"/>
      <c r="K965" s="57"/>
      <c r="L965" s="57"/>
      <c r="M965" s="57"/>
      <c r="N965" s="57"/>
      <c r="O965" s="57"/>
      <c r="P965" s="57"/>
      <c r="Q965" s="57"/>
      <c r="R965" s="57"/>
      <c r="S965" s="57"/>
      <c r="T965" s="57"/>
      <c r="U965" s="57"/>
      <c r="V965" s="57"/>
      <c r="W965" s="57"/>
      <c r="X965" s="57"/>
      <c r="Y965" s="57"/>
      <c r="Z965" s="57"/>
      <c r="AA965" s="57"/>
      <c r="AB965" s="57"/>
    </row>
    <row r="966">
      <c r="A966" s="57"/>
      <c r="B966" s="57"/>
      <c r="C966" s="59"/>
      <c r="D966" s="77"/>
      <c r="E966" s="71"/>
      <c r="F966" s="59"/>
      <c r="G966" s="59"/>
      <c r="H966" s="59"/>
      <c r="I966" s="59"/>
      <c r="J966" s="59"/>
      <c r="K966" s="57"/>
      <c r="L966" s="57"/>
      <c r="M966" s="57"/>
      <c r="N966" s="57"/>
      <c r="O966" s="57"/>
      <c r="P966" s="57"/>
      <c r="Q966" s="57"/>
      <c r="R966" s="57"/>
      <c r="S966" s="57"/>
      <c r="T966" s="57"/>
      <c r="U966" s="57"/>
      <c r="V966" s="57"/>
      <c r="W966" s="57"/>
      <c r="X966" s="57"/>
      <c r="Y966" s="57"/>
      <c r="Z966" s="57"/>
      <c r="AA966" s="57"/>
      <c r="AB966" s="57"/>
    </row>
    <row r="967">
      <c r="A967" s="57"/>
      <c r="B967" s="57"/>
      <c r="C967" s="59"/>
      <c r="D967" s="77"/>
      <c r="E967" s="71"/>
      <c r="F967" s="59"/>
      <c r="G967" s="59"/>
      <c r="H967" s="59"/>
      <c r="I967" s="59"/>
      <c r="J967" s="59"/>
      <c r="K967" s="57"/>
      <c r="L967" s="57"/>
      <c r="M967" s="57"/>
      <c r="N967" s="57"/>
      <c r="O967" s="57"/>
      <c r="P967" s="57"/>
      <c r="Q967" s="57"/>
      <c r="R967" s="57"/>
      <c r="S967" s="57"/>
      <c r="T967" s="57"/>
      <c r="U967" s="57"/>
      <c r="V967" s="57"/>
      <c r="W967" s="57"/>
      <c r="X967" s="57"/>
      <c r="Y967" s="57"/>
      <c r="Z967" s="57"/>
      <c r="AA967" s="57"/>
      <c r="AB967" s="57"/>
    </row>
    <row r="968">
      <c r="A968" s="57"/>
      <c r="B968" s="57"/>
      <c r="C968" s="59"/>
      <c r="D968" s="77"/>
      <c r="E968" s="71"/>
      <c r="F968" s="59"/>
      <c r="G968" s="59"/>
      <c r="H968" s="59"/>
      <c r="I968" s="59"/>
      <c r="J968" s="59"/>
      <c r="K968" s="57"/>
      <c r="L968" s="57"/>
      <c r="M968" s="57"/>
      <c r="N968" s="57"/>
      <c r="O968" s="57"/>
      <c r="P968" s="57"/>
      <c r="Q968" s="57"/>
      <c r="R968" s="57"/>
      <c r="S968" s="57"/>
      <c r="T968" s="57"/>
      <c r="U968" s="57"/>
      <c r="V968" s="57"/>
      <c r="W968" s="57"/>
      <c r="X968" s="57"/>
      <c r="Y968" s="57"/>
      <c r="Z968" s="57"/>
      <c r="AA968" s="57"/>
      <c r="AB968" s="57"/>
    </row>
    <row r="969">
      <c r="A969" s="57"/>
      <c r="B969" s="57"/>
      <c r="C969" s="59"/>
      <c r="D969" s="77"/>
      <c r="E969" s="71"/>
      <c r="F969" s="59"/>
      <c r="G969" s="59"/>
      <c r="H969" s="59"/>
      <c r="I969" s="59"/>
      <c r="J969" s="59"/>
      <c r="K969" s="57"/>
      <c r="L969" s="57"/>
      <c r="M969" s="57"/>
      <c r="N969" s="57"/>
      <c r="O969" s="57"/>
      <c r="P969" s="57"/>
      <c r="Q969" s="57"/>
      <c r="R969" s="57"/>
      <c r="S969" s="57"/>
      <c r="T969" s="57"/>
      <c r="U969" s="57"/>
      <c r="V969" s="57"/>
      <c r="W969" s="57"/>
      <c r="X969" s="57"/>
      <c r="Y969" s="57"/>
      <c r="Z969" s="57"/>
      <c r="AA969" s="57"/>
      <c r="AB969" s="57"/>
    </row>
    <row r="970">
      <c r="A970" s="57"/>
      <c r="B970" s="57"/>
      <c r="C970" s="59"/>
      <c r="D970" s="77"/>
      <c r="E970" s="71"/>
      <c r="F970" s="59"/>
      <c r="G970" s="59"/>
      <c r="H970" s="59"/>
      <c r="I970" s="59"/>
      <c r="J970" s="59"/>
      <c r="K970" s="57"/>
      <c r="L970" s="57"/>
      <c r="M970" s="57"/>
      <c r="N970" s="57"/>
      <c r="O970" s="57"/>
      <c r="P970" s="57"/>
      <c r="Q970" s="57"/>
      <c r="R970" s="57"/>
      <c r="S970" s="57"/>
      <c r="T970" s="57"/>
      <c r="U970" s="57"/>
      <c r="V970" s="57"/>
      <c r="W970" s="57"/>
      <c r="X970" s="57"/>
      <c r="Y970" s="57"/>
      <c r="Z970" s="57"/>
      <c r="AA970" s="57"/>
      <c r="AB970" s="57"/>
    </row>
    <row r="971">
      <c r="A971" s="57"/>
      <c r="B971" s="57"/>
      <c r="C971" s="59"/>
      <c r="D971" s="77"/>
      <c r="E971" s="71"/>
      <c r="F971" s="59"/>
      <c r="G971" s="59"/>
      <c r="H971" s="59"/>
      <c r="I971" s="59"/>
      <c r="J971" s="59"/>
      <c r="K971" s="57"/>
      <c r="L971" s="57"/>
      <c r="M971" s="57"/>
      <c r="N971" s="57"/>
      <c r="O971" s="57"/>
      <c r="P971" s="57"/>
      <c r="Q971" s="57"/>
      <c r="R971" s="57"/>
      <c r="S971" s="57"/>
      <c r="T971" s="57"/>
      <c r="U971" s="57"/>
      <c r="V971" s="57"/>
      <c r="W971" s="57"/>
      <c r="X971" s="57"/>
      <c r="Y971" s="57"/>
      <c r="Z971" s="57"/>
      <c r="AA971" s="57"/>
      <c r="AB971" s="57"/>
    </row>
    <row r="972">
      <c r="A972" s="57"/>
      <c r="B972" s="57"/>
      <c r="C972" s="59"/>
      <c r="D972" s="77"/>
      <c r="E972" s="71"/>
      <c r="F972" s="59"/>
      <c r="G972" s="59"/>
      <c r="H972" s="59"/>
      <c r="I972" s="59"/>
      <c r="J972" s="59"/>
      <c r="K972" s="57"/>
      <c r="L972" s="57"/>
      <c r="M972" s="57"/>
      <c r="N972" s="57"/>
      <c r="O972" s="57"/>
      <c r="P972" s="57"/>
      <c r="Q972" s="57"/>
      <c r="R972" s="57"/>
      <c r="S972" s="57"/>
      <c r="T972" s="57"/>
      <c r="U972" s="57"/>
      <c r="V972" s="57"/>
      <c r="W972" s="57"/>
      <c r="X972" s="57"/>
      <c r="Y972" s="57"/>
      <c r="Z972" s="57"/>
      <c r="AA972" s="57"/>
      <c r="AB972" s="57"/>
    </row>
    <row r="973">
      <c r="A973" s="57"/>
      <c r="B973" s="57"/>
      <c r="C973" s="59"/>
      <c r="D973" s="77"/>
      <c r="E973" s="71"/>
      <c r="F973" s="59"/>
      <c r="G973" s="59"/>
      <c r="H973" s="59"/>
      <c r="I973" s="59"/>
      <c r="J973" s="59"/>
      <c r="K973" s="57"/>
      <c r="L973" s="57"/>
      <c r="M973" s="57"/>
      <c r="N973" s="57"/>
      <c r="O973" s="57"/>
      <c r="P973" s="57"/>
      <c r="Q973" s="57"/>
      <c r="R973" s="57"/>
      <c r="S973" s="57"/>
      <c r="T973" s="57"/>
      <c r="U973" s="57"/>
      <c r="V973" s="57"/>
      <c r="W973" s="57"/>
      <c r="X973" s="57"/>
      <c r="Y973" s="57"/>
      <c r="Z973" s="57"/>
      <c r="AA973" s="57"/>
      <c r="AB973" s="57"/>
    </row>
    <row r="974">
      <c r="A974" s="57"/>
      <c r="B974" s="57"/>
      <c r="C974" s="59"/>
      <c r="D974" s="77"/>
      <c r="E974" s="71"/>
      <c r="F974" s="59"/>
      <c r="G974" s="59"/>
      <c r="H974" s="59"/>
      <c r="I974" s="59"/>
      <c r="J974" s="59"/>
      <c r="K974" s="57"/>
      <c r="L974" s="57"/>
      <c r="M974" s="57"/>
      <c r="N974" s="57"/>
      <c r="O974" s="57"/>
      <c r="P974" s="57"/>
      <c r="Q974" s="57"/>
      <c r="R974" s="57"/>
      <c r="S974" s="57"/>
      <c r="T974" s="57"/>
      <c r="U974" s="57"/>
      <c r="V974" s="57"/>
      <c r="W974" s="57"/>
      <c r="X974" s="57"/>
      <c r="Y974" s="57"/>
      <c r="Z974" s="57"/>
      <c r="AA974" s="57"/>
      <c r="AB974" s="57"/>
    </row>
    <row r="975">
      <c r="A975" s="57"/>
      <c r="B975" s="57"/>
      <c r="C975" s="59"/>
      <c r="D975" s="77"/>
      <c r="E975" s="71"/>
      <c r="F975" s="59"/>
      <c r="G975" s="59"/>
      <c r="H975" s="59"/>
      <c r="I975" s="59"/>
      <c r="J975" s="59"/>
      <c r="K975" s="57"/>
      <c r="L975" s="57"/>
      <c r="M975" s="57"/>
      <c r="N975" s="57"/>
      <c r="O975" s="57"/>
      <c r="P975" s="57"/>
      <c r="Q975" s="57"/>
      <c r="R975" s="57"/>
      <c r="S975" s="57"/>
      <c r="T975" s="57"/>
      <c r="U975" s="57"/>
      <c r="V975" s="57"/>
      <c r="W975" s="57"/>
      <c r="X975" s="57"/>
      <c r="Y975" s="57"/>
      <c r="Z975" s="57"/>
      <c r="AA975" s="57"/>
      <c r="AB975" s="57"/>
    </row>
    <row r="976">
      <c r="A976" s="57"/>
      <c r="B976" s="57"/>
      <c r="C976" s="59"/>
      <c r="D976" s="77"/>
      <c r="E976" s="71"/>
      <c r="F976" s="59"/>
      <c r="G976" s="59"/>
      <c r="H976" s="59"/>
      <c r="I976" s="59"/>
      <c r="J976" s="59"/>
      <c r="K976" s="57"/>
      <c r="L976" s="57"/>
      <c r="M976" s="57"/>
      <c r="N976" s="57"/>
      <c r="O976" s="57"/>
      <c r="P976" s="57"/>
      <c r="Q976" s="57"/>
      <c r="R976" s="57"/>
      <c r="S976" s="57"/>
      <c r="T976" s="57"/>
      <c r="U976" s="57"/>
      <c r="V976" s="57"/>
      <c r="W976" s="57"/>
      <c r="X976" s="57"/>
      <c r="Y976" s="57"/>
      <c r="Z976" s="57"/>
      <c r="AA976" s="57"/>
      <c r="AB976" s="57"/>
    </row>
  </sheetData>
  <mergeCells count="10">
    <mergeCell ref="A17:A20"/>
    <mergeCell ref="A22:A25"/>
    <mergeCell ref="B22:B25"/>
    <mergeCell ref="A2:A5"/>
    <mergeCell ref="B2:B5"/>
    <mergeCell ref="A7:A10"/>
    <mergeCell ref="B7:B10"/>
    <mergeCell ref="A12:A15"/>
    <mergeCell ref="B12:B15"/>
    <mergeCell ref="B17:B20"/>
  </mergeCells>
  <conditionalFormatting sqref="E2:E25">
    <cfRule type="colorScale" priority="1">
      <colorScale>
        <cfvo type="formula" val="0"/>
        <cfvo type="formula" val="1"/>
        <color rgb="FFFFFFFF"/>
        <color rgb="FFE67C73"/>
      </colorScale>
    </cfRule>
  </conditionalFormatting>
  <conditionalFormatting sqref="E2:E976">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6">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72"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30</v>
      </c>
      <c r="B2" s="54" t="s">
        <v>31</v>
      </c>
      <c r="C2" s="7" t="s">
        <v>19</v>
      </c>
      <c r="D2" s="73" t="s">
        <v>125</v>
      </c>
      <c r="E2" s="74">
        <f>IFERROR(__xludf.DUMMYFUNCTION("COUNTA(SPLIT(D2,"" ""))/COUNTA(SPLIT($B$2,"" ""))"),0.19811320754716982)</f>
        <v>0.1981132075</v>
      </c>
      <c r="F2" s="7">
        <v>5.0</v>
      </c>
      <c r="G2" s="7">
        <v>4.0</v>
      </c>
      <c r="H2" s="7">
        <v>5.0</v>
      </c>
      <c r="I2" s="7">
        <v>5.0</v>
      </c>
      <c r="J2" s="7">
        <v>3.0</v>
      </c>
      <c r="K2" s="57"/>
      <c r="L2" s="57"/>
      <c r="M2" s="57"/>
      <c r="N2" s="57"/>
      <c r="O2" s="57"/>
      <c r="P2" s="57"/>
      <c r="Q2" s="57"/>
      <c r="R2" s="57"/>
      <c r="S2" s="57"/>
      <c r="T2" s="57"/>
      <c r="U2" s="57"/>
      <c r="V2" s="57"/>
      <c r="W2" s="57"/>
      <c r="X2" s="57"/>
      <c r="Y2" s="57"/>
      <c r="Z2" s="57"/>
      <c r="AA2" s="57"/>
      <c r="AB2" s="57"/>
    </row>
    <row r="3" ht="225.0" customHeight="1">
      <c r="C3" s="7" t="s">
        <v>20</v>
      </c>
      <c r="D3" s="73" t="s">
        <v>126</v>
      </c>
      <c r="E3" s="75">
        <f>IFERROR(__xludf.DUMMYFUNCTION("COUNTA(SPLIT(D3,"" ""))/COUNTA(SPLIT($B$2,"" ""))"),0.1320754716981132)</f>
        <v>0.1320754717</v>
      </c>
      <c r="F3" s="7">
        <v>5.0</v>
      </c>
      <c r="G3" s="7">
        <v>3.0</v>
      </c>
      <c r="H3" s="7">
        <v>5.0</v>
      </c>
      <c r="I3" s="7">
        <v>5.0</v>
      </c>
      <c r="J3" s="7">
        <v>3.0</v>
      </c>
      <c r="K3" s="57"/>
      <c r="L3" s="57"/>
      <c r="M3" s="57"/>
      <c r="N3" s="57"/>
      <c r="O3" s="57"/>
      <c r="P3" s="57"/>
      <c r="Q3" s="57"/>
      <c r="R3" s="57"/>
      <c r="S3" s="57"/>
      <c r="T3" s="57"/>
      <c r="U3" s="57"/>
      <c r="V3" s="57"/>
      <c r="W3" s="57"/>
      <c r="X3" s="57"/>
      <c r="Y3" s="57"/>
      <c r="Z3" s="57"/>
      <c r="AA3" s="57"/>
      <c r="AB3" s="57"/>
    </row>
    <row r="4" ht="225.0" customHeight="1">
      <c r="C4" s="7" t="s">
        <v>8</v>
      </c>
      <c r="D4" s="73" t="s">
        <v>127</v>
      </c>
      <c r="E4" s="76">
        <f>IFERROR(__xludf.DUMMYFUNCTION("COUNTA(SPLIT(D4,"" ""))/COUNTA(SPLIT($B$2,"" ""))"),0.5471698113207547)</f>
        <v>0.5471698113</v>
      </c>
      <c r="F4" s="7">
        <v>2.0</v>
      </c>
      <c r="G4" s="7">
        <v>4.0</v>
      </c>
      <c r="H4" s="7">
        <v>4.0</v>
      </c>
      <c r="I4" s="7">
        <v>3.0</v>
      </c>
      <c r="J4" s="7">
        <v>3.0</v>
      </c>
      <c r="K4" s="57"/>
      <c r="L4" s="57"/>
      <c r="M4" s="57"/>
      <c r="N4" s="57"/>
      <c r="O4" s="57"/>
      <c r="P4" s="57"/>
      <c r="Q4" s="57"/>
      <c r="R4" s="57"/>
      <c r="S4" s="57"/>
      <c r="T4" s="57"/>
      <c r="U4" s="57"/>
      <c r="V4" s="57"/>
      <c r="W4" s="57"/>
      <c r="X4" s="57"/>
      <c r="Y4" s="57"/>
      <c r="Z4" s="57"/>
      <c r="AA4" s="57"/>
      <c r="AB4" s="57"/>
    </row>
    <row r="5" ht="225.0" customHeight="1">
      <c r="C5" s="7" t="s">
        <v>21</v>
      </c>
      <c r="D5" s="73" t="s">
        <v>128</v>
      </c>
      <c r="E5" s="76">
        <f>IFERROR(__xludf.DUMMYFUNCTION("COUNTA(SPLIT(D5,"" ""))/COUNTA(SPLIT($B$2,"" ""))"),0.22641509433962265)</f>
        <v>0.2264150943</v>
      </c>
      <c r="F5" s="7">
        <v>3.0</v>
      </c>
      <c r="G5" s="7">
        <v>3.0</v>
      </c>
      <c r="H5" s="7">
        <v>5.0</v>
      </c>
      <c r="I5" s="7">
        <v>5.0</v>
      </c>
      <c r="J5" s="7">
        <v>3.0</v>
      </c>
      <c r="K5" s="57"/>
      <c r="L5" s="57"/>
      <c r="M5" s="57"/>
      <c r="N5" s="57"/>
      <c r="O5" s="57"/>
      <c r="P5" s="57"/>
      <c r="Q5" s="57"/>
      <c r="R5" s="57"/>
      <c r="S5" s="57"/>
      <c r="T5" s="57"/>
      <c r="U5" s="57"/>
      <c r="V5" s="57"/>
      <c r="W5" s="57"/>
      <c r="X5" s="57"/>
      <c r="Y5" s="57"/>
      <c r="Z5" s="57"/>
      <c r="AA5" s="57"/>
      <c r="AB5" s="57"/>
    </row>
    <row r="6">
      <c r="A6" s="57"/>
      <c r="B6" s="57"/>
      <c r="C6" s="59"/>
      <c r="D6" s="77"/>
      <c r="E6" s="61"/>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33</v>
      </c>
      <c r="B7" s="63" t="s">
        <v>34</v>
      </c>
      <c r="C7" s="64" t="s">
        <v>19</v>
      </c>
      <c r="D7" s="78" t="s">
        <v>129</v>
      </c>
      <c r="E7" s="79">
        <f>IFERROR(__xludf.DUMMYFUNCTION("COUNTA(SPLIT(D7,"" ""))/COUNTA(SPLIT($B$7,"" ""))"),0.014678899082568808)</f>
        <v>0.01467889908</v>
      </c>
      <c r="F7" s="7">
        <v>5.0</v>
      </c>
      <c r="G7" s="7">
        <v>5.0</v>
      </c>
      <c r="H7" s="7">
        <v>5.0</v>
      </c>
      <c r="I7" s="7">
        <v>5.0</v>
      </c>
      <c r="J7" s="7">
        <v>2.0</v>
      </c>
      <c r="K7" s="67"/>
      <c r="L7" s="67"/>
      <c r="M7" s="67"/>
      <c r="N7" s="67"/>
      <c r="O7" s="67"/>
      <c r="P7" s="67"/>
      <c r="Q7" s="67"/>
      <c r="R7" s="67"/>
      <c r="S7" s="67"/>
      <c r="T7" s="67"/>
      <c r="U7" s="67"/>
      <c r="V7" s="67"/>
      <c r="W7" s="67"/>
      <c r="X7" s="67"/>
      <c r="Y7" s="67"/>
      <c r="Z7" s="67"/>
      <c r="AA7" s="67"/>
      <c r="AB7" s="67"/>
    </row>
    <row r="8" ht="225.0" customHeight="1">
      <c r="C8" s="7" t="s">
        <v>20</v>
      </c>
      <c r="D8" s="73" t="s">
        <v>130</v>
      </c>
      <c r="E8" s="74">
        <f>IFERROR(__xludf.DUMMYFUNCTION("COUNTA(SPLIT(D8,"" ""))/COUNTA(SPLIT($B$7,"" ""))"),0.025688073394495414)</f>
        <v>0.02568807339</v>
      </c>
      <c r="F8" s="7">
        <v>5.0</v>
      </c>
      <c r="G8" s="7">
        <v>5.0</v>
      </c>
      <c r="H8" s="7">
        <v>4.0</v>
      </c>
      <c r="I8" s="7">
        <v>5.0</v>
      </c>
      <c r="J8" s="7">
        <v>2.0</v>
      </c>
      <c r="K8" s="57"/>
      <c r="L8" s="57"/>
      <c r="M8" s="57"/>
      <c r="N8" s="57"/>
      <c r="O8" s="57"/>
      <c r="P8" s="57"/>
      <c r="Q8" s="57"/>
      <c r="R8" s="57"/>
      <c r="S8" s="57"/>
      <c r="T8" s="57"/>
      <c r="U8" s="57"/>
      <c r="V8" s="57"/>
      <c r="W8" s="57"/>
      <c r="X8" s="57"/>
      <c r="Y8" s="57"/>
      <c r="Z8" s="57"/>
      <c r="AA8" s="57"/>
      <c r="AB8" s="57"/>
    </row>
    <row r="9" ht="225.0" customHeight="1">
      <c r="C9" s="7" t="s">
        <v>8</v>
      </c>
      <c r="D9" s="73" t="s">
        <v>131</v>
      </c>
      <c r="E9" s="70">
        <f>IFERROR(__xludf.DUMMYFUNCTION("COUNTA(SPLIT(D9,"" ""))/COUNTA(SPLIT($B$7,"" ""))"),0.2)</f>
        <v>0.2</v>
      </c>
      <c r="F9" s="7">
        <v>2.0</v>
      </c>
      <c r="G9" s="7">
        <v>4.0</v>
      </c>
      <c r="H9" s="7">
        <v>3.0</v>
      </c>
      <c r="I9" s="7">
        <v>3.0</v>
      </c>
      <c r="J9" s="7">
        <v>4.0</v>
      </c>
      <c r="K9" s="57"/>
      <c r="L9" s="57"/>
      <c r="M9" s="57"/>
      <c r="N9" s="57"/>
      <c r="O9" s="57"/>
      <c r="P9" s="57"/>
      <c r="Q9" s="57"/>
      <c r="R9" s="57"/>
      <c r="S9" s="57"/>
      <c r="T9" s="57"/>
      <c r="U9" s="57"/>
      <c r="V9" s="57"/>
      <c r="W9" s="57"/>
      <c r="X9" s="57"/>
      <c r="Y9" s="57"/>
      <c r="Z9" s="57"/>
      <c r="AA9" s="57"/>
      <c r="AB9" s="57"/>
    </row>
    <row r="10" ht="225.0" customHeight="1">
      <c r="C10" s="7" t="s">
        <v>21</v>
      </c>
      <c r="D10" s="73" t="s">
        <v>132</v>
      </c>
      <c r="E10" s="80">
        <f>IFERROR(__xludf.DUMMYFUNCTION("COUNTA(SPLIT(D10,"" ""))/COUNTA(SPLIT($B$7,"" ""))"),0.08073394495412844)</f>
        <v>0.08073394495</v>
      </c>
      <c r="F10" s="7">
        <v>4.0</v>
      </c>
      <c r="G10" s="7">
        <v>4.0</v>
      </c>
      <c r="H10" s="7">
        <v>4.0</v>
      </c>
      <c r="I10" s="7">
        <v>4.0</v>
      </c>
      <c r="J10" s="7">
        <v>3.0</v>
      </c>
      <c r="K10" s="57"/>
      <c r="L10" s="57"/>
      <c r="M10" s="57"/>
      <c r="N10" s="57"/>
      <c r="O10" s="57"/>
      <c r="P10" s="57"/>
      <c r="Q10" s="57"/>
      <c r="R10" s="57"/>
      <c r="S10" s="57"/>
      <c r="T10" s="57"/>
      <c r="U10" s="57"/>
      <c r="V10" s="57"/>
      <c r="W10" s="57"/>
      <c r="X10" s="57"/>
      <c r="Y10" s="57"/>
      <c r="Z10" s="57"/>
      <c r="AA10" s="57"/>
      <c r="AB10" s="57"/>
    </row>
    <row r="11">
      <c r="A11" s="57"/>
      <c r="B11" s="57"/>
      <c r="C11" s="59"/>
      <c r="D11" s="77"/>
      <c r="E11" s="61"/>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36</v>
      </c>
      <c r="B12" s="63" t="s">
        <v>37</v>
      </c>
      <c r="C12" s="64" t="s">
        <v>19</v>
      </c>
      <c r="D12" s="78" t="s">
        <v>133</v>
      </c>
      <c r="E12" s="81">
        <f>IFERROR(__xludf.DUMMYFUNCTION("COUNTA(SPLIT(D12,"" ""))/COUNTA(SPLIT($B$12,"" ""))"),0.1686046511627907)</f>
        <v>0.1686046512</v>
      </c>
      <c r="F12" s="7">
        <v>4.0</v>
      </c>
      <c r="G12" s="7">
        <v>5.0</v>
      </c>
      <c r="H12" s="7">
        <v>4.0</v>
      </c>
      <c r="I12" s="7">
        <v>4.0</v>
      </c>
      <c r="J12" s="7">
        <v>4.0</v>
      </c>
      <c r="K12" s="67"/>
      <c r="L12" s="67"/>
      <c r="M12" s="67"/>
      <c r="N12" s="67"/>
      <c r="O12" s="67"/>
      <c r="P12" s="67"/>
      <c r="Q12" s="67"/>
      <c r="R12" s="67"/>
      <c r="S12" s="67"/>
      <c r="T12" s="67"/>
      <c r="U12" s="67"/>
      <c r="V12" s="67"/>
      <c r="W12" s="67"/>
      <c r="X12" s="67"/>
      <c r="Y12" s="67"/>
      <c r="Z12" s="67"/>
      <c r="AA12" s="67"/>
      <c r="AB12" s="67"/>
    </row>
    <row r="13" ht="225.0" customHeight="1">
      <c r="C13" s="7" t="s">
        <v>20</v>
      </c>
      <c r="D13" s="73" t="s">
        <v>134</v>
      </c>
      <c r="E13" s="82">
        <f>IFERROR(__xludf.DUMMYFUNCTION("COUNTA(SPLIT(D13,"" ""))/COUNTA(SPLIT($B$12,"" ""))"),0.046511627906976744)</f>
        <v>0.04651162791</v>
      </c>
      <c r="F13" s="7">
        <v>5.0</v>
      </c>
      <c r="G13" s="7">
        <v>5.0</v>
      </c>
      <c r="H13" s="7">
        <v>5.0</v>
      </c>
      <c r="I13" s="7">
        <v>4.0</v>
      </c>
      <c r="J13" s="7">
        <v>2.0</v>
      </c>
      <c r="K13" s="57"/>
      <c r="L13" s="57"/>
      <c r="M13" s="57"/>
      <c r="N13" s="57"/>
      <c r="O13" s="57"/>
      <c r="P13" s="57"/>
      <c r="Q13" s="57"/>
      <c r="R13" s="57"/>
      <c r="S13" s="57"/>
      <c r="T13" s="57"/>
      <c r="U13" s="57"/>
      <c r="V13" s="57"/>
      <c r="W13" s="57"/>
      <c r="X13" s="57"/>
      <c r="Y13" s="57"/>
      <c r="Z13" s="57"/>
      <c r="AA13" s="57"/>
      <c r="AB13" s="57"/>
    </row>
    <row r="14" ht="225.0" customHeight="1">
      <c r="C14" s="7" t="s">
        <v>8</v>
      </c>
      <c r="D14" s="73" t="s">
        <v>135</v>
      </c>
      <c r="E14" s="83">
        <f>IFERROR(__xludf.DUMMYFUNCTION("COUNTA(SPLIT(D14,"" ""))/COUNTA(SPLIT($B$12,"" ""))"),0.39244186046511625)</f>
        <v>0.3924418605</v>
      </c>
      <c r="F14" s="7">
        <v>3.0</v>
      </c>
      <c r="G14" s="7">
        <v>5.0</v>
      </c>
      <c r="H14" s="7">
        <v>4.0</v>
      </c>
      <c r="I14" s="7">
        <v>3.0</v>
      </c>
      <c r="J14" s="7">
        <v>5.0</v>
      </c>
      <c r="K14" s="57"/>
      <c r="L14" s="57"/>
      <c r="M14" s="57"/>
      <c r="N14" s="57"/>
      <c r="O14" s="57"/>
      <c r="P14" s="57"/>
      <c r="Q14" s="57"/>
      <c r="R14" s="57"/>
      <c r="S14" s="57"/>
      <c r="T14" s="57"/>
      <c r="U14" s="57"/>
      <c r="V14" s="57"/>
      <c r="W14" s="57"/>
      <c r="X14" s="57"/>
      <c r="Y14" s="57"/>
      <c r="Z14" s="57"/>
      <c r="AA14" s="57"/>
      <c r="AB14" s="57"/>
    </row>
    <row r="15" ht="225.0" customHeight="1">
      <c r="C15" s="7" t="s">
        <v>21</v>
      </c>
      <c r="D15" s="73" t="s">
        <v>136</v>
      </c>
      <c r="E15" s="84">
        <f>IFERROR(__xludf.DUMMYFUNCTION("COUNTA(SPLIT(D15,"" ""))/COUNTA(SPLIT($B$12,"" ""))"),0.06395348837209303)</f>
        <v>0.06395348837</v>
      </c>
      <c r="F15" s="7">
        <v>4.0</v>
      </c>
      <c r="G15" s="7">
        <v>5.0</v>
      </c>
      <c r="H15" s="7">
        <v>5.0</v>
      </c>
      <c r="I15" s="7">
        <v>5.0</v>
      </c>
      <c r="J15" s="7">
        <v>2.0</v>
      </c>
      <c r="K15" s="57"/>
      <c r="L15" s="57"/>
      <c r="M15" s="57"/>
      <c r="N15" s="57"/>
      <c r="O15" s="57"/>
      <c r="P15" s="57"/>
      <c r="Q15" s="57"/>
      <c r="R15" s="57"/>
      <c r="S15" s="57"/>
      <c r="T15" s="57"/>
      <c r="U15" s="57"/>
      <c r="V15" s="57"/>
      <c r="W15" s="57"/>
      <c r="X15" s="57"/>
      <c r="Y15" s="57"/>
      <c r="Z15" s="57"/>
      <c r="AA15" s="57"/>
      <c r="AB15" s="57"/>
    </row>
    <row r="16">
      <c r="A16" s="57"/>
      <c r="B16" s="57"/>
      <c r="C16" s="59"/>
      <c r="D16" s="77"/>
      <c r="E16" s="61"/>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39</v>
      </c>
      <c r="B17" s="63" t="s">
        <v>40</v>
      </c>
      <c r="C17" s="64" t="s">
        <v>19</v>
      </c>
      <c r="D17" s="78" t="s">
        <v>40</v>
      </c>
      <c r="E17" s="85">
        <f>IFERROR(__xludf.DUMMYFUNCTION("COUNTA(SPLIT(D17,"" ""))/COUNTA(SPLIT($B$17,"" ""))"),1.0)</f>
        <v>1</v>
      </c>
      <c r="F17" s="7">
        <v>4.0</v>
      </c>
      <c r="G17" s="7">
        <v>5.0</v>
      </c>
      <c r="H17" s="7">
        <v>5.0</v>
      </c>
      <c r="I17" s="7">
        <v>1.0</v>
      </c>
      <c r="J17" s="7">
        <v>5.0</v>
      </c>
      <c r="K17" s="67"/>
      <c r="L17" s="67"/>
      <c r="M17" s="67"/>
      <c r="N17" s="67"/>
      <c r="O17" s="67"/>
      <c r="P17" s="67"/>
      <c r="Q17" s="67"/>
      <c r="R17" s="67"/>
      <c r="S17" s="67"/>
      <c r="T17" s="67"/>
      <c r="U17" s="67"/>
      <c r="V17" s="67"/>
      <c r="W17" s="67"/>
      <c r="X17" s="67"/>
      <c r="Y17" s="67"/>
      <c r="Z17" s="67"/>
      <c r="AA17" s="67"/>
      <c r="AB17" s="67"/>
    </row>
    <row r="18" ht="225.0" customHeight="1">
      <c r="C18" s="7" t="s">
        <v>20</v>
      </c>
      <c r="D18" s="73" t="s">
        <v>137</v>
      </c>
      <c r="E18" s="80">
        <f>IFERROR(__xludf.DUMMYFUNCTION("COUNTA(SPLIT(D18,"" ""))/COUNTA(SPLIT($B$17,"" ""))"),0.09326424870466321)</f>
        <v>0.0932642487</v>
      </c>
      <c r="F18" s="7">
        <v>5.0</v>
      </c>
      <c r="G18" s="7">
        <v>5.0</v>
      </c>
      <c r="H18" s="7">
        <v>5.0</v>
      </c>
      <c r="I18" s="7">
        <v>5.0</v>
      </c>
      <c r="J18" s="7">
        <v>2.0</v>
      </c>
      <c r="K18" s="57"/>
      <c r="L18" s="57"/>
      <c r="M18" s="57"/>
      <c r="N18" s="57"/>
      <c r="O18" s="57"/>
      <c r="P18" s="57"/>
      <c r="Q18" s="57"/>
      <c r="R18" s="57"/>
      <c r="S18" s="57"/>
      <c r="T18" s="57"/>
      <c r="U18" s="57"/>
      <c r="V18" s="57"/>
      <c r="W18" s="57"/>
      <c r="X18" s="57"/>
      <c r="Y18" s="57"/>
      <c r="Z18" s="57"/>
      <c r="AA18" s="57"/>
      <c r="AB18" s="57"/>
    </row>
    <row r="19" ht="225.0" customHeight="1">
      <c r="C19" s="7" t="s">
        <v>8</v>
      </c>
      <c r="D19" s="73" t="s">
        <v>138</v>
      </c>
      <c r="E19" s="86">
        <f>IFERROR(__xludf.DUMMYFUNCTION("COUNTA(SPLIT(D19,"" ""))/COUNTA(SPLIT($B$17,"" ""))"),0.41968911917098445)</f>
        <v>0.4196891192</v>
      </c>
      <c r="F19" s="7">
        <v>3.0</v>
      </c>
      <c r="G19" s="7">
        <v>4.0</v>
      </c>
      <c r="H19" s="7">
        <v>5.0</v>
      </c>
      <c r="I19" s="7">
        <v>3.0</v>
      </c>
      <c r="J19" s="7">
        <v>3.0</v>
      </c>
      <c r="K19" s="57"/>
      <c r="L19" s="57"/>
      <c r="M19" s="57"/>
      <c r="N19" s="57"/>
      <c r="O19" s="57"/>
      <c r="P19" s="57"/>
      <c r="Q19" s="57"/>
      <c r="R19" s="57"/>
      <c r="S19" s="57"/>
      <c r="T19" s="57"/>
      <c r="U19" s="57"/>
      <c r="V19" s="57"/>
      <c r="W19" s="57"/>
      <c r="X19" s="57"/>
      <c r="Y19" s="57"/>
      <c r="Z19" s="57"/>
      <c r="AA19" s="57"/>
      <c r="AB19" s="57"/>
    </row>
    <row r="20" ht="225.0" customHeight="1">
      <c r="C20" s="7" t="s">
        <v>21</v>
      </c>
      <c r="D20" s="73" t="s">
        <v>139</v>
      </c>
      <c r="E20" s="87">
        <f>IFERROR(__xludf.DUMMYFUNCTION("COUNTA(SPLIT(D20,"" ""))/COUNTA(SPLIT($B$17,"" ""))"),0.08290155440414508)</f>
        <v>0.0829015544</v>
      </c>
      <c r="F20" s="7">
        <v>5.0</v>
      </c>
      <c r="G20" s="7">
        <v>4.0</v>
      </c>
      <c r="H20" s="7">
        <v>5.0</v>
      </c>
      <c r="I20" s="7">
        <v>5.0</v>
      </c>
      <c r="J20" s="7">
        <v>2.0</v>
      </c>
      <c r="K20" s="57"/>
      <c r="L20" s="57"/>
      <c r="M20" s="57"/>
      <c r="N20" s="57"/>
      <c r="O20" s="57"/>
      <c r="P20" s="57"/>
      <c r="Q20" s="57"/>
      <c r="R20" s="57"/>
      <c r="S20" s="57"/>
      <c r="T20" s="57"/>
      <c r="U20" s="57"/>
      <c r="V20" s="57"/>
      <c r="W20" s="57"/>
      <c r="X20" s="57"/>
      <c r="Y20" s="57"/>
      <c r="Z20" s="57"/>
      <c r="AA20" s="57"/>
      <c r="AB20" s="57"/>
    </row>
    <row r="21">
      <c r="A21" s="57"/>
      <c r="B21" s="57"/>
      <c r="C21" s="59"/>
      <c r="D21" s="77"/>
      <c r="E21" s="61"/>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42</v>
      </c>
      <c r="B22" s="63" t="s">
        <v>43</v>
      </c>
      <c r="C22" s="64" t="s">
        <v>19</v>
      </c>
      <c r="D22" s="78" t="s">
        <v>140</v>
      </c>
      <c r="E22" s="88">
        <f>IFERROR(__xludf.DUMMYFUNCTION("COUNTA(SPLIT(D22,"" ""))/COUNTA(SPLIT($B$22,"" ""))"),0.10696095076400679)</f>
        <v>0.1069609508</v>
      </c>
      <c r="F22" s="7">
        <v>4.0</v>
      </c>
      <c r="G22" s="7">
        <v>4.0</v>
      </c>
      <c r="H22" s="7">
        <v>4.0</v>
      </c>
      <c r="I22" s="7">
        <v>4.0</v>
      </c>
      <c r="J22" s="7">
        <v>3.0</v>
      </c>
      <c r="K22" s="67"/>
      <c r="L22" s="67"/>
      <c r="M22" s="67"/>
      <c r="N22" s="67"/>
      <c r="O22" s="67"/>
      <c r="P22" s="67"/>
      <c r="Q22" s="67"/>
      <c r="R22" s="67"/>
      <c r="S22" s="67"/>
      <c r="T22" s="67"/>
      <c r="U22" s="67"/>
      <c r="V22" s="67"/>
      <c r="W22" s="67"/>
      <c r="X22" s="67"/>
      <c r="Y22" s="67"/>
      <c r="Z22" s="67"/>
      <c r="AA22" s="67"/>
      <c r="AB22" s="67"/>
    </row>
    <row r="23" ht="225.0" customHeight="1">
      <c r="C23" s="7" t="s">
        <v>20</v>
      </c>
      <c r="D23" s="73" t="s">
        <v>141</v>
      </c>
      <c r="E23" s="82">
        <f>IFERROR(__xludf.DUMMYFUNCTION("COUNTA(SPLIT(D23,"" ""))/COUNTA(SPLIT($B$22,"" ""))"),0.059422750424448216)</f>
        <v>0.05942275042</v>
      </c>
      <c r="F23" s="7">
        <v>4.0</v>
      </c>
      <c r="G23" s="7">
        <v>4.0</v>
      </c>
      <c r="H23" s="7">
        <v>5.0</v>
      </c>
      <c r="I23" s="7">
        <v>5.0</v>
      </c>
      <c r="J23" s="7">
        <v>2.0</v>
      </c>
      <c r="K23" s="57"/>
      <c r="L23" s="57"/>
      <c r="M23" s="57"/>
      <c r="N23" s="57"/>
      <c r="O23" s="57"/>
      <c r="P23" s="57"/>
      <c r="Q23" s="57"/>
      <c r="R23" s="57"/>
      <c r="S23" s="57"/>
      <c r="T23" s="57"/>
      <c r="U23" s="57"/>
      <c r="V23" s="57"/>
      <c r="W23" s="57"/>
      <c r="X23" s="57"/>
      <c r="Y23" s="57"/>
      <c r="Z23" s="57"/>
      <c r="AA23" s="57"/>
      <c r="AB23" s="57"/>
    </row>
    <row r="24" ht="225.0" customHeight="1">
      <c r="C24" s="7" t="s">
        <v>8</v>
      </c>
      <c r="D24" s="73" t="s">
        <v>142</v>
      </c>
      <c r="E24" s="89">
        <f>IFERROR(__xludf.DUMMYFUNCTION("COUNTA(SPLIT(D24,"" ""))/COUNTA(SPLIT($B$22,"" ""))"),0.15449915110356535)</f>
        <v>0.1544991511</v>
      </c>
      <c r="F24" s="7">
        <v>3.0</v>
      </c>
      <c r="G24" s="7">
        <v>5.0</v>
      </c>
      <c r="H24" s="7">
        <v>5.0</v>
      </c>
      <c r="I24" s="7">
        <v>3.0</v>
      </c>
      <c r="J24" s="7">
        <v>3.0</v>
      </c>
      <c r="K24" s="57"/>
      <c r="L24" s="57"/>
      <c r="M24" s="57"/>
      <c r="N24" s="57"/>
      <c r="O24" s="57"/>
      <c r="P24" s="57"/>
      <c r="Q24" s="57"/>
      <c r="R24" s="57"/>
      <c r="S24" s="57"/>
      <c r="T24" s="57"/>
      <c r="U24" s="57"/>
      <c r="V24" s="57"/>
      <c r="W24" s="57"/>
      <c r="X24" s="57"/>
      <c r="Y24" s="57"/>
      <c r="Z24" s="57"/>
      <c r="AA24" s="57"/>
      <c r="AB24" s="57"/>
    </row>
    <row r="25" ht="225.0" customHeight="1">
      <c r="C25" s="7" t="s">
        <v>21</v>
      </c>
      <c r="D25" s="73" t="s">
        <v>143</v>
      </c>
      <c r="E25" s="90">
        <f>IFERROR(__xludf.DUMMYFUNCTION("COUNTA(SPLIT(D25,"" ""))/COUNTA(SPLIT($B$22,"" ""))"),0.07979626485568761)</f>
        <v>0.07979626486</v>
      </c>
      <c r="F25" s="7">
        <v>4.0</v>
      </c>
      <c r="G25" s="7">
        <v>4.0</v>
      </c>
      <c r="H25" s="7">
        <v>4.0</v>
      </c>
      <c r="I25" s="7">
        <v>4.0</v>
      </c>
      <c r="J25" s="7">
        <v>3.0</v>
      </c>
      <c r="K25" s="57"/>
      <c r="L25" s="57"/>
      <c r="M25" s="57"/>
      <c r="N25" s="57"/>
      <c r="O25" s="57"/>
      <c r="P25" s="57"/>
      <c r="Q25" s="57"/>
      <c r="R25" s="57"/>
      <c r="S25" s="57"/>
      <c r="T25" s="57"/>
      <c r="U25" s="57"/>
      <c r="V25" s="57"/>
      <c r="W25" s="57"/>
      <c r="X25" s="57"/>
      <c r="Y25" s="57"/>
      <c r="Z25" s="57"/>
      <c r="AA25" s="57"/>
      <c r="AB25" s="57"/>
    </row>
    <row r="26">
      <c r="A26" s="57"/>
      <c r="B26" s="57"/>
      <c r="C26" s="59"/>
      <c r="D26" s="77"/>
      <c r="E26" s="61"/>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77"/>
      <c r="E27" s="7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77"/>
      <c r="E28" s="7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77"/>
      <c r="E29" s="7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77"/>
      <c r="E30" s="7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77"/>
      <c r="E31" s="7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77"/>
      <c r="E32" s="7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77"/>
      <c r="E33" s="7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77"/>
      <c r="E34" s="7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77"/>
      <c r="E35" s="7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77"/>
      <c r="E36" s="7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77"/>
      <c r="E37" s="7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77"/>
      <c r="E38" s="7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77"/>
      <c r="E39" s="7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77"/>
      <c r="E40" s="7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77"/>
      <c r="E41" s="7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77"/>
      <c r="E42" s="7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77"/>
      <c r="E43" s="7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77"/>
      <c r="E44" s="7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77"/>
      <c r="E45" s="7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77"/>
      <c r="E46" s="7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77"/>
      <c r="E47" s="7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77"/>
      <c r="E48" s="7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77"/>
      <c r="E49" s="7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77"/>
      <c r="E50" s="7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77"/>
      <c r="E51" s="7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77"/>
      <c r="E52" s="7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77"/>
      <c r="E53" s="7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77"/>
      <c r="E54" s="7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77"/>
      <c r="E55" s="7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77"/>
      <c r="E56" s="7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77"/>
      <c r="E57" s="7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77"/>
      <c r="E58" s="7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77"/>
      <c r="E59" s="7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77"/>
      <c r="E60" s="7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77"/>
      <c r="E61" s="7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77"/>
      <c r="E62" s="7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77"/>
      <c r="E63" s="7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77"/>
      <c r="E64" s="7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77"/>
      <c r="E65" s="7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77"/>
      <c r="E66" s="7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77"/>
      <c r="E67" s="7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77"/>
      <c r="E68" s="7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77"/>
      <c r="E69" s="7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77"/>
      <c r="E70" s="7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77"/>
      <c r="E71" s="7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77"/>
      <c r="E72" s="7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77"/>
      <c r="E73" s="7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77"/>
      <c r="E74" s="7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77"/>
      <c r="E75" s="7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77"/>
      <c r="E76" s="7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77"/>
      <c r="E77" s="7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77"/>
      <c r="E78" s="7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77"/>
      <c r="E79" s="7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77"/>
      <c r="E80" s="7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77"/>
      <c r="E81" s="7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77"/>
      <c r="E82" s="7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77"/>
      <c r="E83" s="7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77"/>
      <c r="E84" s="7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77"/>
      <c r="E85" s="7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77"/>
      <c r="E86" s="7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77"/>
      <c r="E87" s="7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77"/>
      <c r="E88" s="7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77"/>
      <c r="E89" s="7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77"/>
      <c r="E90" s="7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77"/>
      <c r="E91" s="7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77"/>
      <c r="E92" s="7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77"/>
      <c r="E93" s="7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77"/>
      <c r="E94" s="7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77"/>
      <c r="E95" s="7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77"/>
      <c r="E96" s="7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77"/>
      <c r="E97" s="7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77"/>
      <c r="E98" s="7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77"/>
      <c r="E99" s="7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77"/>
      <c r="E100" s="7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77"/>
      <c r="E101" s="7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77"/>
      <c r="E102" s="7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77"/>
      <c r="E103" s="7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77"/>
      <c r="E104" s="7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77"/>
      <c r="E105" s="7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77"/>
      <c r="E106" s="7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77"/>
      <c r="E107" s="7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77"/>
      <c r="E108" s="7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77"/>
      <c r="E109" s="7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77"/>
      <c r="E110" s="7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77"/>
      <c r="E111" s="7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77"/>
      <c r="E112" s="7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77"/>
      <c r="E113" s="7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77"/>
      <c r="E114" s="7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77"/>
      <c r="E115" s="7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77"/>
      <c r="E116" s="7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77"/>
      <c r="E117" s="7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77"/>
      <c r="E118" s="7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77"/>
      <c r="E119" s="7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77"/>
      <c r="E120" s="7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77"/>
      <c r="E121" s="7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77"/>
      <c r="E122" s="7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77"/>
      <c r="E123" s="7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77"/>
      <c r="E124" s="7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77"/>
      <c r="E125" s="7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77"/>
      <c r="E126" s="7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77"/>
      <c r="E127" s="7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77"/>
      <c r="E128" s="7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77"/>
      <c r="E129" s="7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77"/>
      <c r="E130" s="7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77"/>
      <c r="E131" s="7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77"/>
      <c r="E132" s="7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77"/>
      <c r="E133" s="7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77"/>
      <c r="E134" s="7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77"/>
      <c r="E135" s="7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77"/>
      <c r="E136" s="7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77"/>
      <c r="E137" s="7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77"/>
      <c r="E138" s="7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77"/>
      <c r="E139" s="7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77"/>
      <c r="E140" s="7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77"/>
      <c r="E141" s="7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77"/>
      <c r="E142" s="7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77"/>
      <c r="E143" s="7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77"/>
      <c r="E144" s="7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77"/>
      <c r="E145" s="7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77"/>
      <c r="E146" s="7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77"/>
      <c r="E147" s="7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77"/>
      <c r="E148" s="7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77"/>
      <c r="E149" s="7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77"/>
      <c r="E150" s="7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77"/>
      <c r="E151" s="7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77"/>
      <c r="E152" s="7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77"/>
      <c r="E153" s="7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77"/>
      <c r="E154" s="7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77"/>
      <c r="E155" s="7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77"/>
      <c r="E156" s="7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77"/>
      <c r="E157" s="7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77"/>
      <c r="E158" s="7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77"/>
      <c r="E159" s="7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77"/>
      <c r="E160" s="7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77"/>
      <c r="E161" s="7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77"/>
      <c r="E162" s="7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77"/>
      <c r="E163" s="7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77"/>
      <c r="E164" s="7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77"/>
      <c r="E165" s="7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77"/>
      <c r="E166" s="7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77"/>
      <c r="E167" s="7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77"/>
      <c r="E168" s="7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77"/>
      <c r="E169" s="7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77"/>
      <c r="E170" s="7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77"/>
      <c r="E171" s="7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77"/>
      <c r="E172" s="7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77"/>
      <c r="E173" s="7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77"/>
      <c r="E174" s="7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77"/>
      <c r="E175" s="7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77"/>
      <c r="E176" s="7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77"/>
      <c r="E177" s="7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77"/>
      <c r="E178" s="7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77"/>
      <c r="E179" s="7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77"/>
      <c r="E180" s="7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77"/>
      <c r="E181" s="7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77"/>
      <c r="E182" s="7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77"/>
      <c r="E183" s="7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77"/>
      <c r="E184" s="7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77"/>
      <c r="E185" s="7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77"/>
      <c r="E186" s="7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77"/>
      <c r="E187" s="7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77"/>
      <c r="E188" s="7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77"/>
      <c r="E189" s="7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77"/>
      <c r="E190" s="7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77"/>
      <c r="E191" s="7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77"/>
      <c r="E192" s="7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77"/>
      <c r="E193" s="7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77"/>
      <c r="E194" s="7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77"/>
      <c r="E195" s="7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77"/>
      <c r="E196" s="7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77"/>
      <c r="E197" s="7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77"/>
      <c r="E198" s="7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77"/>
      <c r="E199" s="7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77"/>
      <c r="E200" s="7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77"/>
      <c r="E201" s="7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77"/>
      <c r="E202" s="7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77"/>
      <c r="E203" s="7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77"/>
      <c r="E204" s="7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77"/>
      <c r="E205" s="7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77"/>
      <c r="E206" s="7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77"/>
      <c r="E207" s="7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77"/>
      <c r="E208" s="7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77"/>
      <c r="E209" s="7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77"/>
      <c r="E210" s="7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77"/>
      <c r="E211" s="7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77"/>
      <c r="E212" s="7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77"/>
      <c r="E213" s="7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77"/>
      <c r="E214" s="7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77"/>
      <c r="E215" s="7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77"/>
      <c r="E216" s="7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77"/>
      <c r="E217" s="7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77"/>
      <c r="E218" s="7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77"/>
      <c r="E219" s="7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77"/>
      <c r="E220" s="7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77"/>
      <c r="E221" s="7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77"/>
      <c r="E222" s="7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77"/>
      <c r="E223" s="7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77"/>
      <c r="E224" s="7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77"/>
      <c r="E225" s="7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77"/>
      <c r="E226" s="7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77"/>
      <c r="E227" s="7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77"/>
      <c r="E228" s="7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77"/>
      <c r="E229" s="7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77"/>
      <c r="E230" s="7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77"/>
      <c r="E231" s="7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77"/>
      <c r="E232" s="7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77"/>
      <c r="E233" s="7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77"/>
      <c r="E234" s="7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77"/>
      <c r="E235" s="7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77"/>
      <c r="E236" s="7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77"/>
      <c r="E237" s="7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77"/>
      <c r="E238" s="7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77"/>
      <c r="E239" s="7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77"/>
      <c r="E240" s="7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77"/>
      <c r="E241" s="7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77"/>
      <c r="E242" s="7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77"/>
      <c r="E243" s="7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77"/>
      <c r="E244" s="7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77"/>
      <c r="E245" s="7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77"/>
      <c r="E246" s="7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77"/>
      <c r="E247" s="7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77"/>
      <c r="E248" s="7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77"/>
      <c r="E249" s="7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77"/>
      <c r="E250" s="7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77"/>
      <c r="E251" s="7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77"/>
      <c r="E252" s="7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77"/>
      <c r="E253" s="7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77"/>
      <c r="E254" s="7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77"/>
      <c r="E255" s="7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77"/>
      <c r="E256" s="7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77"/>
      <c r="E257" s="7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77"/>
      <c r="E258" s="7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77"/>
      <c r="E259" s="7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77"/>
      <c r="E260" s="7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77"/>
      <c r="E261" s="7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77"/>
      <c r="E262" s="7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77"/>
      <c r="E263" s="7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77"/>
      <c r="E264" s="7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77"/>
      <c r="E265" s="7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77"/>
      <c r="E266" s="7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77"/>
      <c r="E267" s="7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77"/>
      <c r="E268" s="7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77"/>
      <c r="E269" s="7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77"/>
      <c r="E270" s="7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77"/>
      <c r="E271" s="7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77"/>
      <c r="E272" s="7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77"/>
      <c r="E273" s="7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77"/>
      <c r="E274" s="7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77"/>
      <c r="E275" s="7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77"/>
      <c r="E276" s="7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77"/>
      <c r="E277" s="7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77"/>
      <c r="E278" s="7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77"/>
      <c r="E279" s="7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77"/>
      <c r="E280" s="7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77"/>
      <c r="E281" s="7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77"/>
      <c r="E282" s="7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77"/>
      <c r="E283" s="7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77"/>
      <c r="E284" s="7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77"/>
      <c r="E285" s="7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77"/>
      <c r="E286" s="7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77"/>
      <c r="E287" s="7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77"/>
      <c r="E288" s="7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77"/>
      <c r="E289" s="7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77"/>
      <c r="E290" s="7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77"/>
      <c r="E291" s="7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77"/>
      <c r="E292" s="7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77"/>
      <c r="E293" s="7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77"/>
      <c r="E294" s="7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77"/>
      <c r="E295" s="7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77"/>
      <c r="E296" s="7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77"/>
      <c r="E297" s="7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77"/>
      <c r="E298" s="7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77"/>
      <c r="E299" s="7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77"/>
      <c r="E300" s="7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77"/>
      <c r="E301" s="7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77"/>
      <c r="E302" s="7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77"/>
      <c r="E303" s="7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77"/>
      <c r="E304" s="7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77"/>
      <c r="E305" s="7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77"/>
      <c r="E306" s="7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77"/>
      <c r="E307" s="7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77"/>
      <c r="E308" s="7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77"/>
      <c r="E309" s="7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77"/>
      <c r="E310" s="7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77"/>
      <c r="E311" s="7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77"/>
      <c r="E312" s="7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77"/>
      <c r="E313" s="7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77"/>
      <c r="E314" s="7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77"/>
      <c r="E315" s="7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77"/>
      <c r="E316" s="7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77"/>
      <c r="E317" s="7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77"/>
      <c r="E318" s="7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77"/>
      <c r="E319" s="7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77"/>
      <c r="E320" s="7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77"/>
      <c r="E321" s="7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77"/>
      <c r="E322" s="7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77"/>
      <c r="E323" s="7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77"/>
      <c r="E324" s="7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77"/>
      <c r="E325" s="7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77"/>
      <c r="E326" s="7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77"/>
      <c r="E327" s="7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77"/>
      <c r="E328" s="7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77"/>
      <c r="E329" s="7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77"/>
      <c r="E330" s="7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77"/>
      <c r="E331" s="7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77"/>
      <c r="E332" s="7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77"/>
      <c r="E333" s="7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77"/>
      <c r="E334" s="7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77"/>
      <c r="E335" s="7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77"/>
      <c r="E336" s="7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77"/>
      <c r="E337" s="7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77"/>
      <c r="E338" s="7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77"/>
      <c r="E339" s="7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77"/>
      <c r="E340" s="7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77"/>
      <c r="E341" s="7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77"/>
      <c r="E342" s="7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77"/>
      <c r="E343" s="7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77"/>
      <c r="E344" s="7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77"/>
      <c r="E345" s="7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77"/>
      <c r="E346" s="7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77"/>
      <c r="E347" s="7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77"/>
      <c r="E348" s="7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77"/>
      <c r="E349" s="7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77"/>
      <c r="E350" s="7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77"/>
      <c r="E351" s="7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77"/>
      <c r="E352" s="7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77"/>
      <c r="E353" s="7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77"/>
      <c r="E354" s="7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77"/>
      <c r="E355" s="7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77"/>
      <c r="E356" s="7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77"/>
      <c r="E357" s="7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77"/>
      <c r="E358" s="7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77"/>
      <c r="E359" s="7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77"/>
      <c r="E360" s="7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77"/>
      <c r="E361" s="7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77"/>
      <c r="E362" s="7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77"/>
      <c r="E363" s="7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77"/>
      <c r="E364" s="7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77"/>
      <c r="E365" s="7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77"/>
      <c r="E366" s="7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77"/>
      <c r="E367" s="7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77"/>
      <c r="E368" s="7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77"/>
      <c r="E369" s="7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77"/>
      <c r="E370" s="7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77"/>
      <c r="E371" s="7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77"/>
      <c r="E372" s="7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77"/>
      <c r="E373" s="7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77"/>
      <c r="E374" s="7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77"/>
      <c r="E375" s="7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77"/>
      <c r="E376" s="7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77"/>
      <c r="E377" s="7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77"/>
      <c r="E378" s="7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77"/>
      <c r="E379" s="7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77"/>
      <c r="E380" s="7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77"/>
      <c r="E381" s="7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77"/>
      <c r="E382" s="7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77"/>
      <c r="E383" s="7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77"/>
      <c r="E384" s="7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77"/>
      <c r="E385" s="7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77"/>
      <c r="E386" s="7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77"/>
      <c r="E387" s="7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77"/>
      <c r="E388" s="7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77"/>
      <c r="E389" s="7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77"/>
      <c r="E390" s="7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77"/>
      <c r="E391" s="7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77"/>
      <c r="E392" s="7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77"/>
      <c r="E393" s="7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77"/>
      <c r="E394" s="7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77"/>
      <c r="E395" s="7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77"/>
      <c r="E396" s="7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77"/>
      <c r="E397" s="7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77"/>
      <c r="E398" s="7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77"/>
      <c r="E399" s="7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77"/>
      <c r="E400" s="7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77"/>
      <c r="E401" s="7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77"/>
      <c r="E402" s="7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77"/>
      <c r="E403" s="7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77"/>
      <c r="E404" s="7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77"/>
      <c r="E405" s="7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77"/>
      <c r="E406" s="7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77"/>
      <c r="E407" s="7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77"/>
      <c r="E408" s="7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77"/>
      <c r="E409" s="7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77"/>
      <c r="E410" s="7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77"/>
      <c r="E411" s="7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77"/>
      <c r="E412" s="7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77"/>
      <c r="E413" s="7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77"/>
      <c r="E414" s="7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77"/>
      <c r="E415" s="7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77"/>
      <c r="E416" s="7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77"/>
      <c r="E417" s="7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77"/>
      <c r="E418" s="7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77"/>
      <c r="E419" s="7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77"/>
      <c r="E420" s="7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77"/>
      <c r="E421" s="7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77"/>
      <c r="E422" s="7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77"/>
      <c r="E423" s="7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77"/>
      <c r="E424" s="7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77"/>
      <c r="E425" s="7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77"/>
      <c r="E426" s="7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77"/>
      <c r="E427" s="7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77"/>
      <c r="E428" s="7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77"/>
      <c r="E429" s="7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77"/>
      <c r="E430" s="7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77"/>
      <c r="E431" s="7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77"/>
      <c r="E432" s="7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77"/>
      <c r="E433" s="7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77"/>
      <c r="E434" s="7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77"/>
      <c r="E435" s="7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77"/>
      <c r="E436" s="7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77"/>
      <c r="E437" s="7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77"/>
      <c r="E438" s="7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77"/>
      <c r="E439" s="7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77"/>
      <c r="E440" s="7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77"/>
      <c r="E441" s="7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77"/>
      <c r="E442" s="7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77"/>
      <c r="E443" s="7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77"/>
      <c r="E444" s="7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77"/>
      <c r="E445" s="7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77"/>
      <c r="E446" s="7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77"/>
      <c r="E447" s="7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77"/>
      <c r="E448" s="7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77"/>
      <c r="E449" s="7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77"/>
      <c r="E450" s="7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77"/>
      <c r="E451" s="7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77"/>
      <c r="E452" s="7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77"/>
      <c r="E453" s="7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77"/>
      <c r="E454" s="7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77"/>
      <c r="E455" s="7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77"/>
      <c r="E456" s="7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77"/>
      <c r="E457" s="7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77"/>
      <c r="E458" s="7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77"/>
      <c r="E459" s="7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77"/>
      <c r="E460" s="7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77"/>
      <c r="E461" s="7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77"/>
      <c r="E462" s="7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77"/>
      <c r="E463" s="7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77"/>
      <c r="E464" s="7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77"/>
      <c r="E465" s="7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77"/>
      <c r="E466" s="7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77"/>
      <c r="E467" s="7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77"/>
      <c r="E468" s="7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77"/>
      <c r="E469" s="7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77"/>
      <c r="E470" s="7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77"/>
      <c r="E471" s="7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77"/>
      <c r="E472" s="7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77"/>
      <c r="E473" s="7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77"/>
      <c r="E474" s="7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77"/>
      <c r="E475" s="7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77"/>
      <c r="E476" s="7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77"/>
      <c r="E477" s="7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77"/>
      <c r="E478" s="7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77"/>
      <c r="E479" s="7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77"/>
      <c r="E480" s="7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77"/>
      <c r="E481" s="7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77"/>
      <c r="E482" s="7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77"/>
      <c r="E483" s="7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77"/>
      <c r="E484" s="7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77"/>
      <c r="E485" s="7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77"/>
      <c r="E486" s="7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77"/>
      <c r="E487" s="7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77"/>
      <c r="E488" s="7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77"/>
      <c r="E489" s="7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77"/>
      <c r="E490" s="7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77"/>
      <c r="E491" s="7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77"/>
      <c r="E492" s="7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77"/>
      <c r="E493" s="7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77"/>
      <c r="E494" s="7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77"/>
      <c r="E495" s="7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77"/>
      <c r="E496" s="7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77"/>
      <c r="E497" s="7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77"/>
      <c r="E498" s="7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77"/>
      <c r="E499" s="7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77"/>
      <c r="E500" s="7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77"/>
      <c r="E501" s="7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77"/>
      <c r="E502" s="7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77"/>
      <c r="E503" s="7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77"/>
      <c r="E504" s="7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77"/>
      <c r="E505" s="7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77"/>
      <c r="E506" s="7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77"/>
      <c r="E507" s="7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77"/>
      <c r="E508" s="7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77"/>
      <c r="E509" s="7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77"/>
      <c r="E510" s="7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77"/>
      <c r="E511" s="7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77"/>
      <c r="E512" s="7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77"/>
      <c r="E513" s="7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77"/>
      <c r="E514" s="7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77"/>
      <c r="E515" s="7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77"/>
      <c r="E516" s="7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77"/>
      <c r="E517" s="7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77"/>
      <c r="E518" s="7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77"/>
      <c r="E519" s="7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77"/>
      <c r="E520" s="7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77"/>
      <c r="E521" s="7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77"/>
      <c r="E522" s="7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77"/>
      <c r="E523" s="7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77"/>
      <c r="E524" s="7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77"/>
      <c r="E525" s="7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77"/>
      <c r="E526" s="7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77"/>
      <c r="E527" s="7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77"/>
      <c r="E528" s="7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77"/>
      <c r="E529" s="7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77"/>
      <c r="E530" s="7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77"/>
      <c r="E531" s="7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77"/>
      <c r="E532" s="7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77"/>
      <c r="E533" s="7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77"/>
      <c r="E534" s="7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77"/>
      <c r="E535" s="7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77"/>
      <c r="E536" s="7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77"/>
      <c r="E537" s="7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77"/>
      <c r="E538" s="7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77"/>
      <c r="E539" s="7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77"/>
      <c r="E540" s="7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77"/>
      <c r="E541" s="7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77"/>
      <c r="E542" s="7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77"/>
      <c r="E543" s="7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77"/>
      <c r="E544" s="7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77"/>
      <c r="E545" s="7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77"/>
      <c r="E546" s="7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77"/>
      <c r="E547" s="7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77"/>
      <c r="E548" s="7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77"/>
      <c r="E549" s="7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77"/>
      <c r="E550" s="7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77"/>
      <c r="E551" s="7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77"/>
      <c r="E552" s="7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77"/>
      <c r="E553" s="7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77"/>
      <c r="E554" s="7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77"/>
      <c r="E555" s="7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77"/>
      <c r="E556" s="7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77"/>
      <c r="E557" s="7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77"/>
      <c r="E558" s="7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77"/>
      <c r="E559" s="7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77"/>
      <c r="E560" s="7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77"/>
      <c r="E561" s="7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77"/>
      <c r="E562" s="7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77"/>
      <c r="E563" s="7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77"/>
      <c r="E564" s="7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77"/>
      <c r="E565" s="7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77"/>
      <c r="E566" s="7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77"/>
      <c r="E567" s="7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77"/>
      <c r="E568" s="7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77"/>
      <c r="E569" s="7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77"/>
      <c r="E570" s="7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77"/>
      <c r="E571" s="7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77"/>
      <c r="E572" s="7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77"/>
      <c r="E573" s="7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77"/>
      <c r="E574" s="7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77"/>
      <c r="E575" s="7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77"/>
      <c r="E576" s="7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77"/>
      <c r="E577" s="7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77"/>
      <c r="E578" s="7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77"/>
      <c r="E579" s="7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77"/>
      <c r="E580" s="7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77"/>
      <c r="E581" s="7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77"/>
      <c r="E582" s="7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77"/>
      <c r="E583" s="7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77"/>
      <c r="E584" s="7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77"/>
      <c r="E585" s="7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77"/>
      <c r="E586" s="7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77"/>
      <c r="E587" s="7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77"/>
      <c r="E588" s="7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77"/>
      <c r="E589" s="7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77"/>
      <c r="E590" s="7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77"/>
      <c r="E591" s="7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77"/>
      <c r="E592" s="7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77"/>
      <c r="E593" s="7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77"/>
      <c r="E594" s="7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77"/>
      <c r="E595" s="7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77"/>
      <c r="E596" s="7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77"/>
      <c r="E597" s="7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77"/>
      <c r="E598" s="7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77"/>
      <c r="E599" s="7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77"/>
      <c r="E600" s="7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77"/>
      <c r="E601" s="7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77"/>
      <c r="E602" s="7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77"/>
      <c r="E603" s="7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77"/>
      <c r="E604" s="7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77"/>
      <c r="E605" s="7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77"/>
      <c r="E606" s="7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77"/>
      <c r="E607" s="7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77"/>
      <c r="E608" s="7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77"/>
      <c r="E609" s="7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77"/>
      <c r="E610" s="7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77"/>
      <c r="E611" s="7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77"/>
      <c r="E612" s="7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77"/>
      <c r="E613" s="7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77"/>
      <c r="E614" s="7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77"/>
      <c r="E615" s="7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77"/>
      <c r="E616" s="7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77"/>
      <c r="E617" s="7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77"/>
      <c r="E618" s="7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77"/>
      <c r="E619" s="7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77"/>
      <c r="E620" s="7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77"/>
      <c r="E621" s="7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77"/>
      <c r="E622" s="7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77"/>
      <c r="E623" s="7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77"/>
      <c r="E624" s="7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77"/>
      <c r="E625" s="7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77"/>
      <c r="E626" s="7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77"/>
      <c r="E627" s="7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77"/>
      <c r="E628" s="7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77"/>
      <c r="E629" s="7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77"/>
      <c r="E630" s="7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77"/>
      <c r="E631" s="7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77"/>
      <c r="E632" s="7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77"/>
      <c r="E633" s="7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77"/>
      <c r="E634" s="7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77"/>
      <c r="E635" s="7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77"/>
      <c r="E636" s="7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77"/>
      <c r="E637" s="7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77"/>
      <c r="E638" s="7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77"/>
      <c r="E639" s="7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77"/>
      <c r="E640" s="7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77"/>
      <c r="E641" s="7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77"/>
      <c r="E642" s="7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77"/>
      <c r="E643" s="7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77"/>
      <c r="E644" s="7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77"/>
      <c r="E645" s="7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77"/>
      <c r="E646" s="7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77"/>
      <c r="E647" s="7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77"/>
      <c r="E648" s="7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77"/>
      <c r="E649" s="7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77"/>
      <c r="E650" s="7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77"/>
      <c r="E651" s="7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77"/>
      <c r="E652" s="7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77"/>
      <c r="E653" s="7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77"/>
      <c r="E654" s="7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77"/>
      <c r="E655" s="7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77"/>
      <c r="E656" s="7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77"/>
      <c r="E657" s="7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77"/>
      <c r="E658" s="7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77"/>
      <c r="E659" s="7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77"/>
      <c r="E660" s="7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77"/>
      <c r="E661" s="7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77"/>
      <c r="E662" s="7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77"/>
      <c r="E663" s="7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77"/>
      <c r="E664" s="7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77"/>
      <c r="E665" s="7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77"/>
      <c r="E666" s="7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77"/>
      <c r="E667" s="7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77"/>
      <c r="E668" s="7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77"/>
      <c r="E669" s="7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77"/>
      <c r="E670" s="7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77"/>
      <c r="E671" s="7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77"/>
      <c r="E672" s="7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77"/>
      <c r="E673" s="7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77"/>
      <c r="E674" s="7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77"/>
      <c r="E675" s="7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77"/>
      <c r="E676" s="7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77"/>
      <c r="E677" s="7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77"/>
      <c r="E678" s="7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77"/>
      <c r="E679" s="7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77"/>
      <c r="E680" s="7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77"/>
      <c r="E681" s="7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77"/>
      <c r="E682" s="7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77"/>
      <c r="E683" s="7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77"/>
      <c r="E684" s="7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77"/>
      <c r="E685" s="7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77"/>
      <c r="E686" s="7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77"/>
      <c r="E687" s="7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77"/>
      <c r="E688" s="7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77"/>
      <c r="E689" s="7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77"/>
      <c r="E690" s="7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77"/>
      <c r="E691" s="7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77"/>
      <c r="E692" s="7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77"/>
      <c r="E693" s="7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77"/>
      <c r="E694" s="7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77"/>
      <c r="E695" s="7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77"/>
      <c r="E696" s="7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77"/>
      <c r="E697" s="7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77"/>
      <c r="E698" s="7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77"/>
      <c r="E699" s="7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77"/>
      <c r="E700" s="7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77"/>
      <c r="E701" s="7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77"/>
      <c r="E702" s="7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77"/>
      <c r="E703" s="7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77"/>
      <c r="E704" s="7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77"/>
      <c r="E705" s="7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77"/>
      <c r="E706" s="7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77"/>
      <c r="E707" s="7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77"/>
      <c r="E708" s="7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77"/>
      <c r="E709" s="7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77"/>
      <c r="E710" s="7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77"/>
      <c r="E711" s="7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77"/>
      <c r="E712" s="7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77"/>
      <c r="E713" s="7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77"/>
      <c r="E714" s="7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77"/>
      <c r="E715" s="7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77"/>
      <c r="E716" s="7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77"/>
      <c r="E717" s="7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77"/>
      <c r="E718" s="7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77"/>
      <c r="E719" s="7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77"/>
      <c r="E720" s="7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77"/>
      <c r="E721" s="7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77"/>
      <c r="E722" s="7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77"/>
      <c r="E723" s="7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77"/>
      <c r="E724" s="7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77"/>
      <c r="E725" s="7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77"/>
      <c r="E726" s="7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77"/>
      <c r="E727" s="7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77"/>
      <c r="E728" s="7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77"/>
      <c r="E729" s="7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77"/>
      <c r="E730" s="7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77"/>
      <c r="E731" s="7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77"/>
      <c r="E732" s="7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77"/>
      <c r="E733" s="7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77"/>
      <c r="E734" s="7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77"/>
      <c r="E735" s="7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77"/>
      <c r="E736" s="7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77"/>
      <c r="E737" s="7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77"/>
      <c r="E738" s="7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77"/>
      <c r="E739" s="7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77"/>
      <c r="E740" s="7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77"/>
      <c r="E741" s="7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77"/>
      <c r="E742" s="7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77"/>
      <c r="E743" s="7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77"/>
      <c r="E744" s="7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77"/>
      <c r="E745" s="7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77"/>
      <c r="E746" s="7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77"/>
      <c r="E747" s="7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77"/>
      <c r="E748" s="7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77"/>
      <c r="E749" s="7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77"/>
      <c r="E750" s="7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77"/>
      <c r="E751" s="7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77"/>
      <c r="E752" s="7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77"/>
      <c r="E753" s="7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77"/>
      <c r="E754" s="7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77"/>
      <c r="E755" s="7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77"/>
      <c r="E756" s="7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77"/>
      <c r="E757" s="7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77"/>
      <c r="E758" s="7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77"/>
      <c r="E759" s="7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77"/>
      <c r="E760" s="7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77"/>
      <c r="E761" s="7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77"/>
      <c r="E762" s="7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77"/>
      <c r="E763" s="7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77"/>
      <c r="E764" s="7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77"/>
      <c r="E765" s="7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77"/>
      <c r="E766" s="7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77"/>
      <c r="E767" s="7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77"/>
      <c r="E768" s="7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77"/>
      <c r="E769" s="7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77"/>
      <c r="E770" s="7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77"/>
      <c r="E771" s="7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77"/>
      <c r="E772" s="7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77"/>
      <c r="E773" s="7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77"/>
      <c r="E774" s="7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77"/>
      <c r="E775" s="7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77"/>
      <c r="E776" s="7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77"/>
      <c r="E777" s="7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77"/>
      <c r="E778" s="7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77"/>
      <c r="E779" s="7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77"/>
      <c r="E780" s="7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77"/>
      <c r="E781" s="7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77"/>
      <c r="E782" s="7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77"/>
      <c r="E783" s="7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77"/>
      <c r="E784" s="7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77"/>
      <c r="E785" s="7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77"/>
      <c r="E786" s="7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77"/>
      <c r="E787" s="7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77"/>
      <c r="E788" s="7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77"/>
      <c r="E789" s="7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77"/>
      <c r="E790" s="7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77"/>
      <c r="E791" s="7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77"/>
      <c r="E792" s="7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77"/>
      <c r="E793" s="7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77"/>
      <c r="E794" s="7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77"/>
      <c r="E795" s="7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77"/>
      <c r="E796" s="7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77"/>
      <c r="E797" s="7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77"/>
      <c r="E798" s="7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77"/>
      <c r="E799" s="7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77"/>
      <c r="E800" s="7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77"/>
      <c r="E801" s="7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77"/>
      <c r="E802" s="7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77"/>
      <c r="E803" s="7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77"/>
      <c r="E804" s="7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77"/>
      <c r="E805" s="7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77"/>
      <c r="E806" s="7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77"/>
      <c r="E807" s="7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77"/>
      <c r="E808" s="7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77"/>
      <c r="E809" s="7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77"/>
      <c r="E810" s="7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77"/>
      <c r="E811" s="7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77"/>
      <c r="E812" s="7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77"/>
      <c r="E813" s="7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77"/>
      <c r="E814" s="7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77"/>
      <c r="E815" s="7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77"/>
      <c r="E816" s="7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77"/>
      <c r="E817" s="7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77"/>
      <c r="E818" s="7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77"/>
      <c r="E819" s="7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77"/>
      <c r="E820" s="7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77"/>
      <c r="E821" s="7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77"/>
      <c r="E822" s="7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77"/>
      <c r="E823" s="7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77"/>
      <c r="E824" s="7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77"/>
      <c r="E825" s="7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77"/>
      <c r="E826" s="7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77"/>
      <c r="E827" s="7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77"/>
      <c r="E828" s="7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77"/>
      <c r="E829" s="7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77"/>
      <c r="E830" s="7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77"/>
      <c r="E831" s="7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77"/>
      <c r="E832" s="7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77"/>
      <c r="E833" s="7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77"/>
      <c r="E834" s="7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77"/>
      <c r="E835" s="7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77"/>
      <c r="E836" s="7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77"/>
      <c r="E837" s="7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77"/>
      <c r="E838" s="7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77"/>
      <c r="E839" s="7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77"/>
      <c r="E840" s="7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77"/>
      <c r="E841" s="7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77"/>
      <c r="E842" s="7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77"/>
      <c r="E843" s="7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77"/>
      <c r="E844" s="7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77"/>
      <c r="E845" s="7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77"/>
      <c r="E846" s="7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77"/>
      <c r="E847" s="7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77"/>
      <c r="E848" s="7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77"/>
      <c r="E849" s="7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77"/>
      <c r="E850" s="7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77"/>
      <c r="E851" s="7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77"/>
      <c r="E852" s="7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77"/>
      <c r="E853" s="7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77"/>
      <c r="E854" s="7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77"/>
      <c r="E855" s="7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77"/>
      <c r="E856" s="7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77"/>
      <c r="E857" s="7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77"/>
      <c r="E858" s="7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77"/>
      <c r="E859" s="7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77"/>
      <c r="E860" s="7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77"/>
      <c r="E861" s="7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77"/>
      <c r="E862" s="7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77"/>
      <c r="E863" s="7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77"/>
      <c r="E864" s="7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77"/>
      <c r="E865" s="7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77"/>
      <c r="E866" s="7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77"/>
      <c r="E867" s="7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77"/>
      <c r="E868" s="7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77"/>
      <c r="E869" s="7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77"/>
      <c r="E870" s="7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77"/>
      <c r="E871" s="7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77"/>
      <c r="E872" s="7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77"/>
      <c r="E873" s="7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77"/>
      <c r="E874" s="7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77"/>
      <c r="E875" s="7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77"/>
      <c r="E876" s="7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77"/>
      <c r="E877" s="7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77"/>
      <c r="E878" s="7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77"/>
      <c r="E879" s="7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77"/>
      <c r="E880" s="7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77"/>
      <c r="E881" s="7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77"/>
      <c r="E882" s="7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77"/>
      <c r="E883" s="7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77"/>
      <c r="E884" s="7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77"/>
      <c r="E885" s="7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77"/>
      <c r="E886" s="7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77"/>
      <c r="E887" s="7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77"/>
      <c r="E888" s="7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77"/>
      <c r="E889" s="7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77"/>
      <c r="E890" s="7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77"/>
      <c r="E891" s="7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77"/>
      <c r="E892" s="7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77"/>
      <c r="E893" s="7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77"/>
      <c r="E894" s="7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77"/>
      <c r="E895" s="7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77"/>
      <c r="E896" s="7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77"/>
      <c r="E897" s="7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77"/>
      <c r="E898" s="7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77"/>
      <c r="E899" s="7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77"/>
      <c r="E900" s="7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77"/>
      <c r="E901" s="7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77"/>
      <c r="E902" s="7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77"/>
      <c r="E903" s="7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77"/>
      <c r="E904" s="7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77"/>
      <c r="E905" s="7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77"/>
      <c r="E906" s="7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77"/>
      <c r="E907" s="7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77"/>
      <c r="E908" s="7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77"/>
      <c r="E909" s="7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77"/>
      <c r="E910" s="7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77"/>
      <c r="E911" s="7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77"/>
      <c r="E912" s="7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77"/>
      <c r="E913" s="7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77"/>
      <c r="E914" s="7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77"/>
      <c r="E915" s="7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77"/>
      <c r="E916" s="7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77"/>
      <c r="E917" s="7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77"/>
      <c r="E918" s="7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77"/>
      <c r="E919" s="7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77"/>
      <c r="E920" s="7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77"/>
      <c r="E921" s="7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77"/>
      <c r="E922" s="7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77"/>
      <c r="E923" s="7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77"/>
      <c r="E924" s="7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77"/>
      <c r="E925" s="7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77"/>
      <c r="E926" s="7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77"/>
      <c r="E927" s="7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77"/>
      <c r="E928" s="7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77"/>
      <c r="E929" s="7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77"/>
      <c r="E930" s="7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77"/>
      <c r="E931" s="7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77"/>
      <c r="E932" s="7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77"/>
      <c r="E933" s="7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77"/>
      <c r="E934" s="7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77"/>
      <c r="E935" s="7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77"/>
      <c r="E936" s="7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77"/>
      <c r="E937" s="7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77"/>
      <c r="E938" s="7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77"/>
      <c r="E939" s="7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77"/>
      <c r="E940" s="7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77"/>
      <c r="E941" s="7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77"/>
      <c r="E942" s="7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77"/>
      <c r="E943" s="7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77"/>
      <c r="E944" s="7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77"/>
      <c r="E945" s="7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77"/>
      <c r="E946" s="7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77"/>
      <c r="E947" s="7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77"/>
      <c r="E948" s="7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77"/>
      <c r="E949" s="7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77"/>
      <c r="E950" s="7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77"/>
      <c r="E951" s="71"/>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77"/>
      <c r="E952" s="71"/>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77"/>
      <c r="E953" s="71"/>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77"/>
      <c r="E954" s="71"/>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77"/>
      <c r="E955" s="71"/>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77"/>
      <c r="E956" s="71"/>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77"/>
      <c r="E957" s="71"/>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77"/>
      <c r="E958" s="71"/>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77"/>
      <c r="E959" s="71"/>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77"/>
      <c r="E960" s="71"/>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77"/>
      <c r="E961" s="71"/>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77"/>
      <c r="E962" s="71"/>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77"/>
      <c r="E963" s="71"/>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77"/>
      <c r="E964" s="71"/>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row r="965">
      <c r="A965" s="57"/>
      <c r="B965" s="57"/>
      <c r="C965" s="59"/>
      <c r="D965" s="77"/>
      <c r="E965" s="71"/>
      <c r="F965" s="59"/>
      <c r="G965" s="59"/>
      <c r="H965" s="59"/>
      <c r="I965" s="59"/>
      <c r="J965" s="59"/>
      <c r="K965" s="57"/>
      <c r="L965" s="57"/>
      <c r="M965" s="57"/>
      <c r="N965" s="57"/>
      <c r="O965" s="57"/>
      <c r="P965" s="57"/>
      <c r="Q965" s="57"/>
      <c r="R965" s="57"/>
      <c r="S965" s="57"/>
      <c r="T965" s="57"/>
      <c r="U965" s="57"/>
      <c r="V965" s="57"/>
      <c r="W965" s="57"/>
      <c r="X965" s="57"/>
      <c r="Y965" s="57"/>
      <c r="Z965" s="57"/>
      <c r="AA965" s="57"/>
      <c r="AB965" s="57"/>
    </row>
    <row r="966">
      <c r="A966" s="57"/>
      <c r="B966" s="57"/>
      <c r="C966" s="59"/>
      <c r="D966" s="77"/>
      <c r="E966" s="71"/>
      <c r="F966" s="59"/>
      <c r="G966" s="59"/>
      <c r="H966" s="59"/>
      <c r="I966" s="59"/>
      <c r="J966" s="59"/>
      <c r="K966" s="57"/>
      <c r="L966" s="57"/>
      <c r="M966" s="57"/>
      <c r="N966" s="57"/>
      <c r="O966" s="57"/>
      <c r="P966" s="57"/>
      <c r="Q966" s="57"/>
      <c r="R966" s="57"/>
      <c r="S966" s="57"/>
      <c r="T966" s="57"/>
      <c r="U966" s="57"/>
      <c r="V966" s="57"/>
      <c r="W966" s="57"/>
      <c r="X966" s="57"/>
      <c r="Y966" s="57"/>
      <c r="Z966" s="57"/>
      <c r="AA966" s="57"/>
      <c r="AB966" s="57"/>
    </row>
    <row r="967">
      <c r="A967" s="57"/>
      <c r="B967" s="57"/>
      <c r="C967" s="59"/>
      <c r="D967" s="77"/>
      <c r="E967" s="71"/>
      <c r="F967" s="59"/>
      <c r="G967" s="59"/>
      <c r="H967" s="59"/>
      <c r="I967" s="59"/>
      <c r="J967" s="59"/>
      <c r="K967" s="57"/>
      <c r="L967" s="57"/>
      <c r="M967" s="57"/>
      <c r="N967" s="57"/>
      <c r="O967" s="57"/>
      <c r="P967" s="57"/>
      <c r="Q967" s="57"/>
      <c r="R967" s="57"/>
      <c r="S967" s="57"/>
      <c r="T967" s="57"/>
      <c r="U967" s="57"/>
      <c r="V967" s="57"/>
      <c r="W967" s="57"/>
      <c r="X967" s="57"/>
      <c r="Y967" s="57"/>
      <c r="Z967" s="57"/>
      <c r="AA967" s="57"/>
      <c r="AB967" s="57"/>
    </row>
    <row r="968">
      <c r="A968" s="57"/>
      <c r="B968" s="57"/>
      <c r="C968" s="59"/>
      <c r="D968" s="77"/>
      <c r="E968" s="71"/>
      <c r="F968" s="59"/>
      <c r="G968" s="59"/>
      <c r="H968" s="59"/>
      <c r="I968" s="59"/>
      <c r="J968" s="59"/>
      <c r="K968" s="57"/>
      <c r="L968" s="57"/>
      <c r="M968" s="57"/>
      <c r="N968" s="57"/>
      <c r="O968" s="57"/>
      <c r="P968" s="57"/>
      <c r="Q968" s="57"/>
      <c r="R968" s="57"/>
      <c r="S968" s="57"/>
      <c r="T968" s="57"/>
      <c r="U968" s="57"/>
      <c r="V968" s="57"/>
      <c r="W968" s="57"/>
      <c r="X968" s="57"/>
      <c r="Y968" s="57"/>
      <c r="Z968" s="57"/>
      <c r="AA968" s="57"/>
      <c r="AB968" s="57"/>
    </row>
    <row r="969">
      <c r="A969" s="57"/>
      <c r="B969" s="57"/>
      <c r="C969" s="59"/>
      <c r="D969" s="77"/>
      <c r="E969" s="71"/>
      <c r="F969" s="59"/>
      <c r="G969" s="59"/>
      <c r="H969" s="59"/>
      <c r="I969" s="59"/>
      <c r="J969" s="59"/>
      <c r="K969" s="57"/>
      <c r="L969" s="57"/>
      <c r="M969" s="57"/>
      <c r="N969" s="57"/>
      <c r="O969" s="57"/>
      <c r="P969" s="57"/>
      <c r="Q969" s="57"/>
      <c r="R969" s="57"/>
      <c r="S969" s="57"/>
      <c r="T969" s="57"/>
      <c r="U969" s="57"/>
      <c r="V969" s="57"/>
      <c r="W969" s="57"/>
      <c r="X969" s="57"/>
      <c r="Y969" s="57"/>
      <c r="Z969" s="57"/>
      <c r="AA969" s="57"/>
      <c r="AB969" s="57"/>
    </row>
    <row r="970">
      <c r="A970" s="57"/>
      <c r="B970" s="57"/>
      <c r="C970" s="59"/>
      <c r="D970" s="77"/>
      <c r="E970" s="71"/>
      <c r="F970" s="59"/>
      <c r="G970" s="59"/>
      <c r="H970" s="59"/>
      <c r="I970" s="59"/>
      <c r="J970" s="59"/>
      <c r="K970" s="57"/>
      <c r="L970" s="57"/>
      <c r="M970" s="57"/>
      <c r="N970" s="57"/>
      <c r="O970" s="57"/>
      <c r="P970" s="57"/>
      <c r="Q970" s="57"/>
      <c r="R970" s="57"/>
      <c r="S970" s="57"/>
      <c r="T970" s="57"/>
      <c r="U970" s="57"/>
      <c r="V970" s="57"/>
      <c r="W970" s="57"/>
      <c r="X970" s="57"/>
      <c r="Y970" s="57"/>
      <c r="Z970" s="57"/>
      <c r="AA970" s="57"/>
      <c r="AB970" s="57"/>
    </row>
    <row r="971">
      <c r="A971" s="57"/>
      <c r="B971" s="57"/>
      <c r="C971" s="59"/>
      <c r="D971" s="77"/>
      <c r="E971" s="71"/>
      <c r="F971" s="59"/>
      <c r="G971" s="59"/>
      <c r="H971" s="59"/>
      <c r="I971" s="59"/>
      <c r="J971" s="59"/>
      <c r="K971" s="57"/>
      <c r="L971" s="57"/>
      <c r="M971" s="57"/>
      <c r="N971" s="57"/>
      <c r="O971" s="57"/>
      <c r="P971" s="57"/>
      <c r="Q971" s="57"/>
      <c r="R971" s="57"/>
      <c r="S971" s="57"/>
      <c r="T971" s="57"/>
      <c r="U971" s="57"/>
      <c r="V971" s="57"/>
      <c r="W971" s="57"/>
      <c r="X971" s="57"/>
      <c r="Y971" s="57"/>
      <c r="Z971" s="57"/>
      <c r="AA971" s="57"/>
      <c r="AB971" s="57"/>
    </row>
    <row r="972">
      <c r="A972" s="57"/>
      <c r="B972" s="57"/>
      <c r="C972" s="59"/>
      <c r="D972" s="77"/>
      <c r="E972" s="71"/>
      <c r="F972" s="59"/>
      <c r="G972" s="59"/>
      <c r="H972" s="59"/>
      <c r="I972" s="59"/>
      <c r="J972" s="59"/>
      <c r="K972" s="57"/>
      <c r="L972" s="57"/>
      <c r="M972" s="57"/>
      <c r="N972" s="57"/>
      <c r="O972" s="57"/>
      <c r="P972" s="57"/>
      <c r="Q972" s="57"/>
      <c r="R972" s="57"/>
      <c r="S972" s="57"/>
      <c r="T972" s="57"/>
      <c r="U972" s="57"/>
      <c r="V972" s="57"/>
      <c r="W972" s="57"/>
      <c r="X972" s="57"/>
      <c r="Y972" s="57"/>
      <c r="Z972" s="57"/>
      <c r="AA972" s="57"/>
      <c r="AB972" s="57"/>
    </row>
    <row r="973">
      <c r="A973" s="57"/>
      <c r="B973" s="57"/>
      <c r="C973" s="59"/>
      <c r="D973" s="77"/>
      <c r="E973" s="71"/>
      <c r="F973" s="59"/>
      <c r="G973" s="59"/>
      <c r="H973" s="59"/>
      <c r="I973" s="59"/>
      <c r="J973" s="59"/>
      <c r="K973" s="57"/>
      <c r="L973" s="57"/>
      <c r="M973" s="57"/>
      <c r="N973" s="57"/>
      <c r="O973" s="57"/>
      <c r="P973" s="57"/>
      <c r="Q973" s="57"/>
      <c r="R973" s="57"/>
      <c r="S973" s="57"/>
      <c r="T973" s="57"/>
      <c r="U973" s="57"/>
      <c r="V973" s="57"/>
      <c r="W973" s="57"/>
      <c r="X973" s="57"/>
      <c r="Y973" s="57"/>
      <c r="Z973" s="57"/>
      <c r="AA973" s="57"/>
      <c r="AB973" s="57"/>
    </row>
    <row r="974">
      <c r="A974" s="57"/>
      <c r="B974" s="57"/>
      <c r="C974" s="59"/>
      <c r="D974" s="77"/>
      <c r="E974" s="71"/>
      <c r="F974" s="59"/>
      <c r="G974" s="59"/>
      <c r="H974" s="59"/>
      <c r="I974" s="59"/>
      <c r="J974" s="59"/>
      <c r="K974" s="57"/>
      <c r="L974" s="57"/>
      <c r="M974" s="57"/>
      <c r="N974" s="57"/>
      <c r="O974" s="57"/>
      <c r="P974" s="57"/>
      <c r="Q974" s="57"/>
      <c r="R974" s="57"/>
      <c r="S974" s="57"/>
      <c r="T974" s="57"/>
      <c r="U974" s="57"/>
      <c r="V974" s="57"/>
      <c r="W974" s="57"/>
      <c r="X974" s="57"/>
      <c r="Y974" s="57"/>
      <c r="Z974" s="57"/>
      <c r="AA974" s="57"/>
      <c r="AB974" s="57"/>
    </row>
    <row r="975">
      <c r="A975" s="57"/>
      <c r="B975" s="57"/>
      <c r="C975" s="59"/>
      <c r="D975" s="77"/>
      <c r="E975" s="71"/>
      <c r="F975" s="59"/>
      <c r="G975" s="59"/>
      <c r="H975" s="59"/>
      <c r="I975" s="59"/>
      <c r="J975" s="59"/>
      <c r="K975" s="57"/>
      <c r="L975" s="57"/>
      <c r="M975" s="57"/>
      <c r="N975" s="57"/>
      <c r="O975" s="57"/>
      <c r="P975" s="57"/>
      <c r="Q975" s="57"/>
      <c r="R975" s="57"/>
      <c r="S975" s="57"/>
      <c r="T975" s="57"/>
      <c r="U975" s="57"/>
      <c r="V975" s="57"/>
      <c r="W975" s="57"/>
      <c r="X975" s="57"/>
      <c r="Y975" s="57"/>
      <c r="Z975" s="57"/>
      <c r="AA975" s="57"/>
      <c r="AB975" s="57"/>
    </row>
    <row r="976">
      <c r="A976" s="57"/>
      <c r="B976" s="57"/>
      <c r="C976" s="59"/>
      <c r="D976" s="77"/>
      <c r="E976" s="71"/>
      <c r="F976" s="59"/>
      <c r="G976" s="59"/>
      <c r="H976" s="59"/>
      <c r="I976" s="59"/>
      <c r="J976" s="59"/>
      <c r="K976" s="57"/>
      <c r="L976" s="57"/>
      <c r="M976" s="57"/>
      <c r="N976" s="57"/>
      <c r="O976" s="57"/>
      <c r="P976" s="57"/>
      <c r="Q976" s="57"/>
      <c r="R976" s="57"/>
      <c r="S976" s="57"/>
      <c r="T976" s="57"/>
      <c r="U976" s="57"/>
      <c r="V976" s="57"/>
      <c r="W976" s="57"/>
      <c r="X976" s="57"/>
      <c r="Y976" s="57"/>
      <c r="Z976" s="57"/>
      <c r="AA976" s="57"/>
      <c r="AB976" s="57"/>
    </row>
  </sheetData>
  <mergeCells count="10">
    <mergeCell ref="A17:A20"/>
    <mergeCell ref="A22:A25"/>
    <mergeCell ref="B22:B25"/>
    <mergeCell ref="A2:A5"/>
    <mergeCell ref="B2:B5"/>
    <mergeCell ref="A7:A10"/>
    <mergeCell ref="B7:B10"/>
    <mergeCell ref="A12:A15"/>
    <mergeCell ref="B12:B15"/>
    <mergeCell ref="B17:B20"/>
  </mergeCells>
  <conditionalFormatting sqref="E7:E10 E12:E15 E17:E20 E22:E25">
    <cfRule type="colorScale" priority="1">
      <colorScale>
        <cfvo type="formula" val="0"/>
        <cfvo type="formula" val="0.5"/>
        <cfvo type="formula" val="1"/>
        <color rgb="FFFFFFFF"/>
        <color rgb="FFF3BEB9"/>
        <color rgb="FFE67C73"/>
      </colorScale>
    </cfRule>
  </conditionalFormatting>
  <conditionalFormatting sqref="E2:E976">
    <cfRule type="colorScale" priority="2">
      <colorScale>
        <cfvo type="formula" val="0"/>
        <cfvo type="formula" val="1"/>
        <color rgb="FFFFFFFF"/>
        <color rgb="FFE67C73"/>
      </colorScale>
    </cfRule>
  </conditionalFormatting>
  <dataValidations>
    <dataValidation type="list" allowBlank="1" showErrorMessage="1" sqref="F2:J976">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88"/>
    <col hidden="1" min="10" max="11" width="12.63"/>
  </cols>
  <sheetData>
    <row r="1">
      <c r="A1" s="1" t="s">
        <v>0</v>
      </c>
      <c r="B1" s="1" t="s">
        <v>1</v>
      </c>
      <c r="C1" s="1" t="s">
        <v>2</v>
      </c>
      <c r="D1" s="1" t="s">
        <v>3</v>
      </c>
      <c r="E1" s="2" t="s">
        <v>4</v>
      </c>
      <c r="F1" s="2" t="s">
        <v>5</v>
      </c>
      <c r="G1" s="2" t="s">
        <v>6</v>
      </c>
      <c r="H1" s="2" t="s">
        <v>7</v>
      </c>
      <c r="I1" s="2" t="s">
        <v>8</v>
      </c>
      <c r="J1" s="1" t="s">
        <v>144</v>
      </c>
      <c r="K1" s="1" t="s">
        <v>145</v>
      </c>
    </row>
    <row r="2">
      <c r="A2" s="91" t="str">
        <f>'🤖 Claude Sonnet 3.5'!$A$2</f>
        <v>www.berria.eus/euskal-herria/ehunka-herritarrek-etxebarriko-sexu-erasoa-salatu-dute_2126343_102.html</v>
      </c>
      <c r="B2" s="6" t="str">
        <f t="shared" ref="B2:B5" si="1">"Claude Sonnet 3.5"</f>
        <v>Claude Sonnet 3.5</v>
      </c>
      <c r="C2" s="7" t="str">
        <f>'🤖 Claude Sonnet 3.5'!C2</f>
        <v>Base</v>
      </c>
      <c r="D2" s="92">
        <f>'🤖 Claude Sonnet 3.5'!E2</f>
        <v>1.056603774</v>
      </c>
      <c r="E2" s="7">
        <f>'🤖 Claude Sonnet 3.5'!F2</f>
        <v>2</v>
      </c>
      <c r="F2" s="7">
        <f>'🤖 Claude Sonnet 3.5'!G2</f>
        <v>4</v>
      </c>
      <c r="G2" s="7">
        <f>'🤖 Claude Sonnet 3.5'!H2</f>
        <v>5</v>
      </c>
      <c r="H2" s="7">
        <f>'🤖 Claude Sonnet 3.5'!I2</f>
        <v>3</v>
      </c>
      <c r="I2" s="7">
        <f>'🤖 Claude Sonnet 3.5'!J2</f>
        <v>5</v>
      </c>
      <c r="J2" s="11">
        <f>VLOOKUP(B2,'__lookup__'!A:B,2,FALSE)</f>
        <v>1</v>
      </c>
      <c r="K2" s="11">
        <f>VLOOKUP(C2,'__lookup__'!A:B,2,FALSE)</f>
        <v>10</v>
      </c>
      <c r="M2" s="93"/>
      <c r="N2" s="93"/>
      <c r="O2" s="93"/>
      <c r="P2" s="93"/>
      <c r="Q2" s="93"/>
      <c r="R2" s="93"/>
      <c r="S2" s="93"/>
    </row>
    <row r="3">
      <c r="A3" s="91" t="str">
        <f>'🤖 Claude Sonnet 3.5'!$A$2</f>
        <v>www.berria.eus/euskal-herria/ehunka-herritarrek-etxebarriko-sexu-erasoa-salatu-dute_2126343_102.html</v>
      </c>
      <c r="B3" s="6" t="str">
        <f t="shared" si="1"/>
        <v>Claude Sonnet 3.5</v>
      </c>
      <c r="C3" s="7" t="str">
        <f>'🤖 Claude Sonnet 3.5'!C3</f>
        <v>CoT</v>
      </c>
      <c r="D3" s="92">
        <f>'🤖 Claude Sonnet 3.5'!E3</f>
        <v>0.5377358491</v>
      </c>
      <c r="E3" s="7">
        <f>'🤖 Claude Sonnet 3.5'!F3</f>
        <v>4</v>
      </c>
      <c r="F3" s="7">
        <f>'🤖 Claude Sonnet 3.5'!G3</f>
        <v>4</v>
      </c>
      <c r="G3" s="7">
        <f>'🤖 Claude Sonnet 3.5'!H3</f>
        <v>4</v>
      </c>
      <c r="H3" s="7">
        <f>'🤖 Claude Sonnet 3.5'!I3</f>
        <v>3</v>
      </c>
      <c r="I3" s="7">
        <f>'🤖 Claude Sonnet 3.5'!J3</f>
        <v>5</v>
      </c>
    </row>
    <row r="4">
      <c r="A4" s="91" t="str">
        <f>'🤖 Claude Sonnet 3.5'!$A$2</f>
        <v>www.berria.eus/euskal-herria/ehunka-herritarrek-etxebarriko-sexu-erasoa-salatu-dute_2126343_102.html</v>
      </c>
      <c r="B4" s="6" t="str">
        <f t="shared" si="1"/>
        <v>Claude Sonnet 3.5</v>
      </c>
      <c r="C4" s="7" t="str">
        <f>'🤖 Claude Sonnet 3.5'!C4</f>
        <v>5W1H</v>
      </c>
      <c r="D4" s="92">
        <f>'🤖 Claude Sonnet 3.5'!E4</f>
        <v>1.235849057</v>
      </c>
      <c r="E4" s="7">
        <f>'🤖 Claude Sonnet 3.5'!F4</f>
        <v>1</v>
      </c>
      <c r="F4" s="7">
        <f>'🤖 Claude Sonnet 3.5'!G4</f>
        <v>4</v>
      </c>
      <c r="G4" s="7">
        <f>'🤖 Claude Sonnet 3.5'!H4</f>
        <v>4</v>
      </c>
      <c r="H4" s="7">
        <f>'🤖 Claude Sonnet 3.5'!I4</f>
        <v>3</v>
      </c>
      <c r="I4" s="7">
        <f>'🤖 Claude Sonnet 3.5'!J4</f>
        <v>5</v>
      </c>
    </row>
    <row r="5">
      <c r="A5" s="91" t="str">
        <f>'🤖 Claude Sonnet 3.5'!$A$2</f>
        <v>www.berria.eus/euskal-herria/ehunka-herritarrek-etxebarriko-sexu-erasoa-salatu-dute_2126343_102.html</v>
      </c>
      <c r="B5" s="6" t="str">
        <f t="shared" si="1"/>
        <v>Claude Sonnet 3.5</v>
      </c>
      <c r="C5" s="7" t="str">
        <f>'🤖 Claude Sonnet 3.5'!C5</f>
        <v>tldr</v>
      </c>
      <c r="D5" s="92">
        <f>'🤖 Claude Sonnet 3.5'!E5</f>
        <v>0.5754716981</v>
      </c>
      <c r="E5" s="7">
        <f>'🤖 Claude Sonnet 3.5'!F5</f>
        <v>3</v>
      </c>
      <c r="F5" s="7">
        <f>'🤖 Claude Sonnet 3.5'!G5</f>
        <v>4</v>
      </c>
      <c r="G5" s="7">
        <f>'🤖 Claude Sonnet 3.5'!H5</f>
        <v>4</v>
      </c>
      <c r="H5" s="7">
        <f>'🤖 Claude Sonnet 3.5'!I5</f>
        <v>3</v>
      </c>
      <c r="I5" s="7">
        <f>'🤖 Claude Sonnet 3.5'!J5</f>
        <v>5</v>
      </c>
    </row>
    <row r="6">
      <c r="A6" s="25"/>
      <c r="B6" s="6"/>
      <c r="C6" s="7"/>
      <c r="D6" s="3"/>
      <c r="E6" s="7"/>
      <c r="F6" s="7"/>
      <c r="G6" s="7"/>
      <c r="H6" s="7"/>
      <c r="I6" s="7"/>
    </row>
    <row r="7">
      <c r="A7" s="91" t="str">
        <f>'🤖 Claude Sonnet 3.5'!$A$7</f>
        <v>https://www.berria.eus/euskal-herria/erramun-baxok-ohorezko-euskaltzaina-zendu-da_2126101_102.html</v>
      </c>
      <c r="B7" s="6" t="str">
        <f t="shared" ref="B7:B10" si="2">"Claude Sonnet 3.5"</f>
        <v>Claude Sonnet 3.5</v>
      </c>
      <c r="C7" s="7" t="str">
        <f>'🤖 Claude Sonnet 3.5'!C7</f>
        <v>Base</v>
      </c>
      <c r="D7" s="92">
        <f>'🤖 Claude Sonnet 3.5'!E7</f>
        <v>0.2862385321</v>
      </c>
      <c r="E7" s="7">
        <f>'🤖 Claude Sonnet 3.5'!F7</f>
        <v>2</v>
      </c>
      <c r="F7" s="7">
        <f>'🤖 Claude Sonnet 3.5'!G7</f>
        <v>5</v>
      </c>
      <c r="G7" s="7">
        <f>'🤖 Claude Sonnet 3.5'!H7</f>
        <v>5</v>
      </c>
      <c r="H7" s="7">
        <f>'🤖 Claude Sonnet 3.5'!I7</f>
        <v>2</v>
      </c>
      <c r="I7" s="7">
        <f>'🤖 Claude Sonnet 3.5'!J7</f>
        <v>5</v>
      </c>
    </row>
    <row r="8">
      <c r="A8" s="91" t="str">
        <f>'🤖 Claude Sonnet 3.5'!$A$7</f>
        <v>https://www.berria.eus/euskal-herria/erramun-baxok-ohorezko-euskaltzaina-zendu-da_2126101_102.html</v>
      </c>
      <c r="B8" s="6" t="str">
        <f t="shared" si="2"/>
        <v>Claude Sonnet 3.5</v>
      </c>
      <c r="C8" s="7" t="str">
        <f>'🤖 Claude Sonnet 3.5'!C8</f>
        <v>CoT</v>
      </c>
      <c r="D8" s="92">
        <f>'🤖 Claude Sonnet 3.5'!E8</f>
        <v>0.1541284404</v>
      </c>
      <c r="E8" s="7">
        <f>'🤖 Claude Sonnet 3.5'!F8</f>
        <v>4</v>
      </c>
      <c r="F8" s="7">
        <f>'🤖 Claude Sonnet 3.5'!G8</f>
        <v>5</v>
      </c>
      <c r="G8" s="7">
        <f>'🤖 Claude Sonnet 3.5'!H8</f>
        <v>4</v>
      </c>
      <c r="H8" s="7">
        <f>'🤖 Claude Sonnet 3.5'!I8</f>
        <v>5</v>
      </c>
      <c r="I8" s="7">
        <f>'🤖 Claude Sonnet 3.5'!J8</f>
        <v>4</v>
      </c>
    </row>
    <row r="9">
      <c r="A9" s="91" t="str">
        <f>'🤖 Claude Sonnet 3.5'!$A$7</f>
        <v>https://www.berria.eus/euskal-herria/erramun-baxok-ohorezko-euskaltzaina-zendu-da_2126101_102.html</v>
      </c>
      <c r="B9" s="6" t="str">
        <f t="shared" si="2"/>
        <v>Claude Sonnet 3.5</v>
      </c>
      <c r="C9" s="7" t="str">
        <f>'🤖 Claude Sonnet 3.5'!C9</f>
        <v>5W1H</v>
      </c>
      <c r="D9" s="92">
        <f>'🤖 Claude Sonnet 3.5'!E9</f>
        <v>0.2752293578</v>
      </c>
      <c r="E9" s="7">
        <f>'🤖 Claude Sonnet 3.5'!F9</f>
        <v>1</v>
      </c>
      <c r="F9" s="7">
        <f>'🤖 Claude Sonnet 3.5'!G9</f>
        <v>4</v>
      </c>
      <c r="G9" s="7">
        <f>'🤖 Claude Sonnet 3.5'!H9</f>
        <v>5</v>
      </c>
      <c r="H9" s="7">
        <f>'🤖 Claude Sonnet 3.5'!I9</f>
        <v>2</v>
      </c>
      <c r="I9" s="7">
        <f>'🤖 Claude Sonnet 3.5'!J9</f>
        <v>5</v>
      </c>
      <c r="N9" s="93"/>
      <c r="O9" s="93"/>
      <c r="P9" s="93"/>
      <c r="Q9" s="93"/>
      <c r="R9" s="93"/>
      <c r="S9" s="93"/>
      <c r="T9" s="93"/>
    </row>
    <row r="10">
      <c r="A10" s="91" t="str">
        <f>'🤖 Claude Sonnet 3.5'!$A$7</f>
        <v>https://www.berria.eus/euskal-herria/erramun-baxok-ohorezko-euskaltzaina-zendu-da_2126101_102.html</v>
      </c>
      <c r="B10" s="6" t="str">
        <f t="shared" si="2"/>
        <v>Claude Sonnet 3.5</v>
      </c>
      <c r="C10" s="7" t="str">
        <f>'🤖 Claude Sonnet 3.5'!C10</f>
        <v>tldr</v>
      </c>
      <c r="D10" s="92">
        <f>'🤖 Claude Sonnet 3.5'!E10</f>
        <v>0.1853211009</v>
      </c>
      <c r="E10" s="7">
        <f>'🤖 Claude Sonnet 3.5'!F10</f>
        <v>3</v>
      </c>
      <c r="F10" s="7">
        <f>'🤖 Claude Sonnet 3.5'!G10</f>
        <v>5</v>
      </c>
      <c r="G10" s="7">
        <f>'🤖 Claude Sonnet 3.5'!H10</f>
        <v>5</v>
      </c>
      <c r="H10" s="7">
        <f>'🤖 Claude Sonnet 3.5'!I10</f>
        <v>4</v>
      </c>
      <c r="I10" s="7">
        <f>'🤖 Claude Sonnet 3.5'!J10</f>
        <v>5</v>
      </c>
    </row>
    <row r="11">
      <c r="A11" s="25"/>
      <c r="B11" s="6"/>
      <c r="C11" s="7"/>
      <c r="D11" s="3"/>
      <c r="E11" s="7"/>
      <c r="F11" s="7"/>
      <c r="G11" s="7"/>
      <c r="H11" s="7"/>
      <c r="I11" s="7"/>
    </row>
    <row r="12">
      <c r="A12" s="91" t="str">
        <f>'🤖 Claude Sonnet 3.5'!$A$12</f>
        <v>https://www.berria.eus/euskal-herria/etxelekuren-kargugabetzea-kritikatu-dute-errobiko-bederatzi-hautetsik_2125690_102.html</v>
      </c>
      <c r="B12" s="6" t="str">
        <f t="shared" ref="B12:B15" si="3">"Claude Sonnet 3.5"</f>
        <v>Claude Sonnet 3.5</v>
      </c>
      <c r="C12" s="7" t="str">
        <f>'🤖 Claude Sonnet 3.5'!C12</f>
        <v>Base</v>
      </c>
      <c r="D12" s="92">
        <f>'🤖 Claude Sonnet 3.5'!E12</f>
        <v>0.4127906977</v>
      </c>
      <c r="E12" s="7">
        <f>'🤖 Claude Sonnet 3.5'!F12</f>
        <v>3</v>
      </c>
      <c r="F12" s="7">
        <f>'🤖 Claude Sonnet 3.5'!G12</f>
        <v>5</v>
      </c>
      <c r="G12" s="7">
        <f>'🤖 Claude Sonnet 3.5'!H12</f>
        <v>5</v>
      </c>
      <c r="H12" s="7">
        <f>'🤖 Claude Sonnet 3.5'!I12</f>
        <v>3</v>
      </c>
      <c r="I12" s="7">
        <f>'🤖 Claude Sonnet 3.5'!J12</f>
        <v>5</v>
      </c>
    </row>
    <row r="13">
      <c r="A13" s="91" t="str">
        <f>'🤖 Claude Sonnet 3.5'!$A$12</f>
        <v>https://www.berria.eus/euskal-herria/etxelekuren-kargugabetzea-kritikatu-dute-errobiko-bederatzi-hautetsik_2125690_102.html</v>
      </c>
      <c r="B13" s="6" t="str">
        <f t="shared" si="3"/>
        <v>Claude Sonnet 3.5</v>
      </c>
      <c r="C13" s="7" t="str">
        <f>'🤖 Claude Sonnet 3.5'!C13</f>
        <v>CoT</v>
      </c>
      <c r="D13" s="92">
        <f>'🤖 Claude Sonnet 3.5'!E13</f>
        <v>0.1918604651</v>
      </c>
      <c r="E13" s="7">
        <f>'🤖 Claude Sonnet 3.5'!F13</f>
        <v>4</v>
      </c>
      <c r="F13" s="7">
        <f>'🤖 Claude Sonnet 3.5'!G13</f>
        <v>5</v>
      </c>
      <c r="G13" s="7">
        <f>'🤖 Claude Sonnet 3.5'!H13</f>
        <v>5</v>
      </c>
      <c r="H13" s="7">
        <f>'🤖 Claude Sonnet 3.5'!I13</f>
        <v>5</v>
      </c>
      <c r="I13" s="7">
        <f>'🤖 Claude Sonnet 3.5'!J13</f>
        <v>5</v>
      </c>
    </row>
    <row r="14">
      <c r="A14" s="91" t="str">
        <f>'🤖 Claude Sonnet 3.5'!$A$12</f>
        <v>https://www.berria.eus/euskal-herria/etxelekuren-kargugabetzea-kritikatu-dute-errobiko-bederatzi-hautetsik_2125690_102.html</v>
      </c>
      <c r="B14" s="6" t="str">
        <f t="shared" si="3"/>
        <v>Claude Sonnet 3.5</v>
      </c>
      <c r="C14" s="7" t="str">
        <f>'🤖 Claude Sonnet 3.5'!C14</f>
        <v>5W1H</v>
      </c>
      <c r="D14" s="92">
        <f>'🤖 Claude Sonnet 3.5'!E14</f>
        <v>0.4186046512</v>
      </c>
      <c r="E14" s="7">
        <f>'🤖 Claude Sonnet 3.5'!F14</f>
        <v>3</v>
      </c>
      <c r="F14" s="7">
        <f>'🤖 Claude Sonnet 3.5'!G14</f>
        <v>5</v>
      </c>
      <c r="G14" s="7">
        <f>'🤖 Claude Sonnet 3.5'!H14</f>
        <v>5</v>
      </c>
      <c r="H14" s="7">
        <f>'🤖 Claude Sonnet 3.5'!I14</f>
        <v>3</v>
      </c>
      <c r="I14" s="7">
        <f>'🤖 Claude Sonnet 3.5'!J14</f>
        <v>4</v>
      </c>
    </row>
    <row r="15">
      <c r="A15" s="91" t="str">
        <f>'🤖 Claude Sonnet 3.5'!$A$12</f>
        <v>https://www.berria.eus/euskal-herria/etxelekuren-kargugabetzea-kritikatu-dute-errobiko-bederatzi-hautetsik_2125690_102.html</v>
      </c>
      <c r="B15" s="6" t="str">
        <f t="shared" si="3"/>
        <v>Claude Sonnet 3.5</v>
      </c>
      <c r="C15" s="7" t="str">
        <f>'🤖 Claude Sonnet 3.5'!C15</f>
        <v>tldr</v>
      </c>
      <c r="D15" s="92">
        <f>'🤖 Claude Sonnet 3.5'!E15</f>
        <v>0.3023255814</v>
      </c>
      <c r="E15" s="7">
        <f>'🤖 Claude Sonnet 3.5'!F15</f>
        <v>3</v>
      </c>
      <c r="F15" s="7">
        <f>'🤖 Claude Sonnet 3.5'!G15</f>
        <v>5</v>
      </c>
      <c r="G15" s="7">
        <f>'🤖 Claude Sonnet 3.5'!H15</f>
        <v>5</v>
      </c>
      <c r="H15" s="7">
        <f>'🤖 Claude Sonnet 3.5'!I15</f>
        <v>4</v>
      </c>
      <c r="I15" s="7">
        <f>'🤖 Claude Sonnet 3.5'!J15</f>
        <v>5</v>
      </c>
    </row>
    <row r="16">
      <c r="A16" s="25"/>
      <c r="B16" s="6"/>
      <c r="C16" s="7"/>
      <c r="D16" s="3"/>
      <c r="E16" s="7"/>
      <c r="F16" s="7"/>
      <c r="G16" s="7"/>
      <c r="H16" s="7"/>
      <c r="I16" s="7"/>
    </row>
    <row r="17">
      <c r="A17" s="91" t="str">
        <f>'🤖 Claude Sonnet 3.5'!$A$17</f>
        <v>https://www.berria.eus/euskal-herria/itziar-lakari-eman-diote-eusko-ikaskuntzaren-saria_2125317_102.html</v>
      </c>
      <c r="B17" s="6" t="str">
        <f t="shared" ref="B17:B20" si="4">"Claude Sonnet 3.5"</f>
        <v>Claude Sonnet 3.5</v>
      </c>
      <c r="C17" s="7" t="str">
        <f>'🤖 Claude Sonnet 3.5'!C17</f>
        <v>Base</v>
      </c>
      <c r="D17" s="92">
        <f>'🤖 Claude Sonnet 3.5'!E17</f>
        <v>0.6683937824</v>
      </c>
      <c r="E17" s="7">
        <f>'🤖 Claude Sonnet 3.5'!F17</f>
        <v>4</v>
      </c>
      <c r="F17" s="7">
        <f>'🤖 Claude Sonnet 3.5'!G17</f>
        <v>5</v>
      </c>
      <c r="G17" s="7">
        <f>'🤖 Claude Sonnet 3.5'!H17</f>
        <v>5</v>
      </c>
      <c r="H17" s="7">
        <f>'🤖 Claude Sonnet 3.5'!I17</f>
        <v>3</v>
      </c>
      <c r="I17" s="7">
        <f>'🤖 Claude Sonnet 3.5'!J17</f>
        <v>5</v>
      </c>
    </row>
    <row r="18">
      <c r="A18" s="91" t="str">
        <f>'🤖 Claude Sonnet 3.5'!$A$17</f>
        <v>https://www.berria.eus/euskal-herria/itziar-lakari-eman-diote-eusko-ikaskuntzaren-saria_2125317_102.html</v>
      </c>
      <c r="B18" s="6" t="str">
        <f t="shared" si="4"/>
        <v>Claude Sonnet 3.5</v>
      </c>
      <c r="C18" s="7" t="str">
        <f>'🤖 Claude Sonnet 3.5'!C18</f>
        <v>CoT</v>
      </c>
      <c r="D18" s="92">
        <f>'🤖 Claude Sonnet 3.5'!E18</f>
        <v>0.4507772021</v>
      </c>
      <c r="E18" s="7">
        <f>'🤖 Claude Sonnet 3.5'!F18</f>
        <v>4</v>
      </c>
      <c r="F18" s="7">
        <f>'🤖 Claude Sonnet 3.5'!G18</f>
        <v>5</v>
      </c>
      <c r="G18" s="7">
        <f>'🤖 Claude Sonnet 3.5'!H18</f>
        <v>4</v>
      </c>
      <c r="H18" s="7">
        <f>'🤖 Claude Sonnet 3.5'!I18</f>
        <v>4</v>
      </c>
      <c r="I18" s="7">
        <f>'🤖 Claude Sonnet 3.5'!J18</f>
        <v>4</v>
      </c>
    </row>
    <row r="19">
      <c r="A19" s="91" t="str">
        <f>'🤖 Claude Sonnet 3.5'!$A$17</f>
        <v>https://www.berria.eus/euskal-herria/itziar-lakari-eman-diote-eusko-ikaskuntzaren-saria_2125317_102.html</v>
      </c>
      <c r="B19" s="6" t="str">
        <f t="shared" si="4"/>
        <v>Claude Sonnet 3.5</v>
      </c>
      <c r="C19" s="7" t="str">
        <f>'🤖 Claude Sonnet 3.5'!C19</f>
        <v>5W1H</v>
      </c>
      <c r="D19" s="92">
        <f>'🤖 Claude Sonnet 3.5'!E19</f>
        <v>0.8601036269</v>
      </c>
      <c r="E19" s="7">
        <f>'🤖 Claude Sonnet 3.5'!F19</f>
        <v>2</v>
      </c>
      <c r="F19" s="7">
        <f>'🤖 Claude Sonnet 3.5'!G19</f>
        <v>5</v>
      </c>
      <c r="G19" s="7">
        <f>'🤖 Claude Sonnet 3.5'!H19</f>
        <v>5</v>
      </c>
      <c r="H19" s="7">
        <f>'🤖 Claude Sonnet 3.5'!I19</f>
        <v>3</v>
      </c>
      <c r="I19" s="7">
        <f>'🤖 Claude Sonnet 3.5'!J19</f>
        <v>4</v>
      </c>
    </row>
    <row r="20">
      <c r="A20" s="91" t="str">
        <f>'🤖 Claude Sonnet 3.5'!$A$17</f>
        <v>https://www.berria.eus/euskal-herria/itziar-lakari-eman-diote-eusko-ikaskuntzaren-saria_2125317_102.html</v>
      </c>
      <c r="B20" s="6" t="str">
        <f t="shared" si="4"/>
        <v>Claude Sonnet 3.5</v>
      </c>
      <c r="C20" s="7" t="str">
        <f>'🤖 Claude Sonnet 3.5'!C20</f>
        <v>tldr</v>
      </c>
      <c r="D20" s="92">
        <f>'🤖 Claude Sonnet 3.5'!E20</f>
        <v>0.4766839378</v>
      </c>
      <c r="E20" s="7">
        <f>'🤖 Claude Sonnet 3.5'!F20</f>
        <v>3</v>
      </c>
      <c r="F20" s="7">
        <f>'🤖 Claude Sonnet 3.5'!G20</f>
        <v>5</v>
      </c>
      <c r="G20" s="7">
        <f>'🤖 Claude Sonnet 3.5'!H20</f>
        <v>5</v>
      </c>
      <c r="H20" s="7">
        <f>'🤖 Claude Sonnet 3.5'!I20</f>
        <v>3</v>
      </c>
      <c r="I20" s="7">
        <f>'🤖 Claude Sonnet 3.5'!J20</f>
        <v>5</v>
      </c>
    </row>
    <row r="21">
      <c r="A21" s="25"/>
      <c r="B21" s="6"/>
      <c r="C21" s="7"/>
      <c r="D21" s="3"/>
      <c r="E21" s="7"/>
      <c r="F21" s="7"/>
      <c r="G21" s="7"/>
      <c r="H21" s="7"/>
      <c r="I21" s="7"/>
    </row>
    <row r="22">
      <c r="A22" s="91" t="str">
        <f>'🤖 Claude Sonnet 3.5'!$A$22</f>
        <v>https://www.berria.eus/euskal-herria/sexu-indarkeriaren-biktimentzako-zentro-bat-zabaldu-dute-araban_2124914_102.html</v>
      </c>
      <c r="B22" s="6" t="str">
        <f t="shared" ref="B22:B25" si="5">"Claude Sonnet 3.5"</f>
        <v>Claude Sonnet 3.5</v>
      </c>
      <c r="C22" s="7" t="str">
        <f>'🤖 Claude Sonnet 3.5'!C22</f>
        <v>Base</v>
      </c>
      <c r="D22" s="92">
        <f>'🤖 Claude Sonnet 3.5'!E22</f>
        <v>0.273344652</v>
      </c>
      <c r="E22" s="7">
        <f>'🤖 Claude Sonnet 3.5'!F22</f>
        <v>3</v>
      </c>
      <c r="F22" s="7">
        <f>'🤖 Claude Sonnet 3.5'!G22</f>
        <v>5</v>
      </c>
      <c r="G22" s="7">
        <f>'🤖 Claude Sonnet 3.5'!H22</f>
        <v>5</v>
      </c>
      <c r="H22" s="7">
        <f>'🤖 Claude Sonnet 3.5'!I22</f>
        <v>3</v>
      </c>
      <c r="I22" s="7">
        <f>'🤖 Claude Sonnet 3.5'!J22</f>
        <v>4</v>
      </c>
    </row>
    <row r="23">
      <c r="A23" s="91" t="str">
        <f>'🤖 Claude Sonnet 3.5'!$A$22</f>
        <v>https://www.berria.eus/euskal-herria/sexu-indarkeriaren-biktimentzako-zentro-bat-zabaldu-dute-araban_2124914_102.html</v>
      </c>
      <c r="B23" s="6" t="str">
        <f t="shared" si="5"/>
        <v>Claude Sonnet 3.5</v>
      </c>
      <c r="C23" s="7" t="str">
        <f>'🤖 Claude Sonnet 3.5'!C23</f>
        <v>CoT</v>
      </c>
      <c r="D23" s="92">
        <f>'🤖 Claude Sonnet 3.5'!E23</f>
        <v>0.2241086587</v>
      </c>
      <c r="E23" s="7">
        <f>'🤖 Claude Sonnet 3.5'!F23</f>
        <v>4</v>
      </c>
      <c r="F23" s="7">
        <f>'🤖 Claude Sonnet 3.5'!G23</f>
        <v>5</v>
      </c>
      <c r="G23" s="7">
        <f>'🤖 Claude Sonnet 3.5'!H23</f>
        <v>5</v>
      </c>
      <c r="H23" s="7">
        <f>'🤖 Claude Sonnet 3.5'!I23</f>
        <v>3</v>
      </c>
      <c r="I23" s="7">
        <f>'🤖 Claude Sonnet 3.5'!J23</f>
        <v>4</v>
      </c>
    </row>
    <row r="24">
      <c r="A24" s="91" t="str">
        <f>'🤖 Claude Sonnet 3.5'!$A$22</f>
        <v>https://www.berria.eus/euskal-herria/sexu-indarkeriaren-biktimentzako-zentro-bat-zabaldu-dute-araban_2124914_102.html</v>
      </c>
      <c r="B24" s="6" t="str">
        <f t="shared" si="5"/>
        <v>Claude Sonnet 3.5</v>
      </c>
      <c r="C24" s="7" t="str">
        <f>'🤖 Claude Sonnet 3.5'!C24</f>
        <v>5W1H</v>
      </c>
      <c r="D24" s="92">
        <f>'🤖 Claude Sonnet 3.5'!E24</f>
        <v>0.3157894737</v>
      </c>
      <c r="E24" s="7">
        <f>'🤖 Claude Sonnet 3.5'!F24</f>
        <v>3</v>
      </c>
      <c r="F24" s="7">
        <f>'🤖 Claude Sonnet 3.5'!G24</f>
        <v>5</v>
      </c>
      <c r="G24" s="7">
        <f>'🤖 Claude Sonnet 3.5'!H24</f>
        <v>4</v>
      </c>
      <c r="H24" s="7">
        <f>'🤖 Claude Sonnet 3.5'!I24</f>
        <v>3</v>
      </c>
      <c r="I24" s="7">
        <f>'🤖 Claude Sonnet 3.5'!J24</f>
        <v>5</v>
      </c>
    </row>
    <row r="25">
      <c r="A25" s="91" t="str">
        <f>'🤖 Claude Sonnet 3.5'!$A$22</f>
        <v>https://www.berria.eus/euskal-herria/sexu-indarkeriaren-biktimentzako-zentro-bat-zabaldu-dute-araban_2124914_102.html</v>
      </c>
      <c r="B25" s="6" t="str">
        <f t="shared" si="5"/>
        <v>Claude Sonnet 3.5</v>
      </c>
      <c r="C25" s="7" t="str">
        <f>'🤖 Claude Sonnet 3.5'!C25</f>
        <v>tldr</v>
      </c>
      <c r="D25" s="92">
        <f>'🤖 Claude Sonnet 3.5'!E25</f>
        <v>0.2258064516</v>
      </c>
      <c r="E25" s="7">
        <f>'🤖 Claude Sonnet 3.5'!F25</f>
        <v>3</v>
      </c>
      <c r="F25" s="7">
        <f>'🤖 Claude Sonnet 3.5'!G25</f>
        <v>5</v>
      </c>
      <c r="G25" s="7">
        <f>'🤖 Claude Sonnet 3.5'!H25</f>
        <v>5</v>
      </c>
      <c r="H25" s="7">
        <f>'🤖 Claude Sonnet 3.5'!I25</f>
        <v>3</v>
      </c>
      <c r="I25" s="7">
        <f>'🤖 Claude Sonnet 3.5'!J25</f>
        <v>4</v>
      </c>
    </row>
    <row r="26">
      <c r="A26" s="25"/>
      <c r="B26" s="6"/>
      <c r="C26" s="7"/>
      <c r="D26" s="3"/>
      <c r="E26" s="7"/>
      <c r="F26" s="7"/>
      <c r="G26" s="7"/>
      <c r="H26" s="7"/>
      <c r="I26" s="7"/>
    </row>
    <row r="27">
      <c r="A27" s="25"/>
      <c r="B27" s="6"/>
      <c r="C27" s="7"/>
      <c r="D27" s="3"/>
      <c r="E27" s="7"/>
      <c r="F27" s="7"/>
      <c r="G27" s="7"/>
      <c r="H27" s="7"/>
      <c r="I27" s="7"/>
    </row>
    <row r="28">
      <c r="A28" s="25"/>
      <c r="B28" s="6"/>
      <c r="C28" s="7"/>
      <c r="D28" s="3"/>
      <c r="E28" s="7"/>
      <c r="F28" s="7"/>
      <c r="G28" s="7"/>
      <c r="H28" s="7"/>
      <c r="I28" s="7"/>
    </row>
    <row r="29">
      <c r="A29" s="25"/>
      <c r="B29" s="6"/>
      <c r="C29" s="7"/>
      <c r="D29" s="3"/>
      <c r="E29" s="7"/>
      <c r="F29" s="7"/>
      <c r="G29" s="7"/>
      <c r="H29" s="7"/>
      <c r="I29" s="7"/>
    </row>
    <row r="30">
      <c r="A30" s="25"/>
      <c r="B30" s="6"/>
      <c r="C30" s="7"/>
      <c r="D30" s="3"/>
      <c r="E30" s="7"/>
      <c r="F30" s="7"/>
      <c r="G30" s="7"/>
      <c r="H30" s="7"/>
      <c r="I30" s="7"/>
    </row>
    <row r="31">
      <c r="A31" s="25"/>
      <c r="B31" s="6"/>
      <c r="C31" s="7"/>
      <c r="D31" s="3"/>
      <c r="E31" s="7"/>
      <c r="F31" s="7"/>
      <c r="G31" s="7"/>
      <c r="H31" s="7"/>
      <c r="I31" s="7"/>
    </row>
    <row r="32">
      <c r="A32" s="25"/>
      <c r="B32" s="6"/>
      <c r="C32" s="7"/>
      <c r="D32" s="3"/>
      <c r="E32" s="7"/>
      <c r="F32" s="7"/>
      <c r="G32" s="7"/>
      <c r="H32" s="7"/>
      <c r="I32" s="7"/>
    </row>
    <row r="33">
      <c r="A33" s="25"/>
      <c r="B33" s="6"/>
      <c r="C33" s="7"/>
      <c r="D33" s="3"/>
      <c r="E33" s="7"/>
      <c r="F33" s="7"/>
      <c r="G33" s="7"/>
      <c r="H33" s="7"/>
      <c r="I33" s="7"/>
    </row>
    <row r="34">
      <c r="A34" s="25"/>
      <c r="B34" s="6"/>
      <c r="C34" s="7"/>
      <c r="D34" s="3"/>
      <c r="E34" s="7"/>
      <c r="F34" s="7"/>
      <c r="G34" s="7"/>
      <c r="H34" s="7"/>
      <c r="I34" s="7"/>
    </row>
    <row r="35">
      <c r="A35" s="25"/>
      <c r="B35" s="6"/>
      <c r="C35" s="7"/>
      <c r="D35" s="3"/>
      <c r="E35" s="7"/>
      <c r="F35" s="7"/>
      <c r="G35" s="7"/>
      <c r="H35" s="7"/>
      <c r="I35" s="7"/>
    </row>
    <row r="36">
      <c r="A36" s="25"/>
      <c r="B36" s="6"/>
      <c r="C36" s="7"/>
      <c r="D36" s="3"/>
      <c r="E36" s="7"/>
      <c r="F36" s="7"/>
      <c r="G36" s="7"/>
      <c r="H36" s="7"/>
      <c r="I36" s="7"/>
    </row>
    <row r="37">
      <c r="A37" s="25"/>
      <c r="B37" s="6"/>
      <c r="C37" s="7"/>
      <c r="D37" s="3"/>
      <c r="E37" s="7"/>
      <c r="F37" s="7"/>
      <c r="G37" s="7"/>
      <c r="H37" s="7"/>
      <c r="I37" s="7"/>
    </row>
    <row r="38">
      <c r="A38" s="25"/>
      <c r="B38" s="6"/>
      <c r="C38" s="7"/>
      <c r="D38" s="3"/>
      <c r="E38" s="7"/>
      <c r="F38" s="7"/>
      <c r="G38" s="7"/>
      <c r="H38" s="7"/>
      <c r="I38" s="7"/>
    </row>
    <row r="39">
      <c r="A39" s="25"/>
      <c r="B39" s="6"/>
      <c r="C39" s="7"/>
      <c r="D39" s="3"/>
      <c r="E39" s="7"/>
      <c r="F39" s="7"/>
      <c r="G39" s="7"/>
      <c r="H39" s="7"/>
      <c r="I39" s="7"/>
    </row>
    <row r="40">
      <c r="A40" s="25"/>
      <c r="B40" s="6"/>
      <c r="C40" s="7"/>
      <c r="D40" s="3"/>
      <c r="E40" s="7"/>
      <c r="F40" s="7"/>
      <c r="G40" s="7"/>
      <c r="H40" s="7"/>
      <c r="I40" s="7"/>
    </row>
    <row r="41">
      <c r="A41" s="25"/>
      <c r="B41" s="6"/>
      <c r="C41" s="7"/>
      <c r="D41" s="3"/>
      <c r="E41" s="7"/>
      <c r="F41" s="7"/>
      <c r="G41" s="7"/>
      <c r="H41" s="7"/>
      <c r="I41" s="7"/>
    </row>
    <row r="42">
      <c r="A42" s="25"/>
      <c r="B42" s="6"/>
      <c r="C42" s="7"/>
      <c r="D42" s="3"/>
      <c r="E42" s="7"/>
      <c r="F42" s="7"/>
      <c r="G42" s="7"/>
      <c r="H42" s="7"/>
      <c r="I42" s="7"/>
    </row>
    <row r="43">
      <c r="A43" s="25"/>
      <c r="B43" s="6"/>
      <c r="C43" s="7"/>
      <c r="D43" s="3"/>
      <c r="E43" s="7"/>
      <c r="F43" s="7"/>
      <c r="G43" s="7"/>
      <c r="H43" s="7"/>
      <c r="I43" s="7"/>
    </row>
    <row r="44">
      <c r="A44" s="25"/>
      <c r="B44" s="6"/>
      <c r="C44" s="7"/>
      <c r="D44" s="3"/>
      <c r="E44" s="7"/>
      <c r="F44" s="7"/>
      <c r="G44" s="7"/>
      <c r="H44" s="7"/>
      <c r="I44" s="7"/>
    </row>
    <row r="45">
      <c r="A45" s="25"/>
      <c r="B45" s="6"/>
      <c r="C45" s="7"/>
      <c r="D45" s="3"/>
      <c r="E45" s="7"/>
      <c r="F45" s="7"/>
      <c r="G45" s="7"/>
      <c r="H45" s="7"/>
      <c r="I45" s="7"/>
    </row>
    <row r="46">
      <c r="A46" s="25"/>
      <c r="B46" s="6"/>
      <c r="C46" s="7"/>
      <c r="D46" s="3"/>
      <c r="E46" s="7"/>
      <c r="F46" s="7"/>
      <c r="G46" s="7"/>
      <c r="H46" s="7"/>
      <c r="I46" s="7"/>
    </row>
    <row r="47">
      <c r="A47" s="25"/>
      <c r="B47" s="6"/>
      <c r="C47" s="7"/>
      <c r="D47" s="3"/>
      <c r="E47" s="7"/>
      <c r="F47" s="7"/>
      <c r="G47" s="7"/>
      <c r="H47" s="7"/>
      <c r="I47" s="7"/>
    </row>
    <row r="48">
      <c r="A48" s="25"/>
      <c r="B48" s="6"/>
      <c r="C48" s="7"/>
      <c r="D48" s="3"/>
      <c r="E48" s="7"/>
      <c r="F48" s="7"/>
      <c r="G48" s="7"/>
      <c r="H48" s="7"/>
      <c r="I48" s="7"/>
    </row>
    <row r="49">
      <c r="A49" s="25"/>
      <c r="B49" s="6"/>
      <c r="C49" s="7"/>
      <c r="D49" s="3"/>
      <c r="E49" s="7"/>
      <c r="F49" s="7"/>
      <c r="G49" s="7"/>
      <c r="H49" s="7"/>
      <c r="I49" s="7"/>
    </row>
    <row r="50">
      <c r="A50" s="25"/>
      <c r="B50" s="6"/>
      <c r="C50" s="7"/>
      <c r="D50" s="3"/>
      <c r="E50" s="7"/>
      <c r="F50" s="7"/>
      <c r="G50" s="7"/>
      <c r="H50" s="7"/>
      <c r="I50" s="7"/>
    </row>
    <row r="51">
      <c r="A51" s="25"/>
      <c r="B51" s="6"/>
      <c r="C51" s="7"/>
      <c r="D51" s="3"/>
      <c r="E51" s="7"/>
      <c r="F51" s="7"/>
      <c r="G51" s="7"/>
      <c r="H51" s="7"/>
      <c r="I51" s="7"/>
    </row>
    <row r="52">
      <c r="A52" s="91" t="str">
        <f>'🤖 Command R+'!$A$2</f>
        <v>www.berria.eus/euskal-herria/ehunka-herritarrek-etxebarriko-sexu-erasoa-salatu-dute_2126343_102.html</v>
      </c>
      <c r="B52" s="6" t="s">
        <v>22</v>
      </c>
      <c r="C52" s="7" t="str">
        <f>'🤖 Command R+'!C2</f>
        <v>Base</v>
      </c>
      <c r="D52" s="92">
        <f>'🤖 Command R+'!E2</f>
        <v>1.028301887</v>
      </c>
      <c r="E52" s="7">
        <f>'🤖 Command R+'!F2</f>
        <v>3</v>
      </c>
      <c r="F52" s="7">
        <f>'🤖 Command R+'!G2</f>
        <v>3</v>
      </c>
      <c r="G52" s="7">
        <f>'🤖 Command R+'!H2</f>
        <v>2</v>
      </c>
      <c r="H52" s="7">
        <f>'🤖 Command R+'!I2</f>
        <v>3</v>
      </c>
      <c r="I52" s="7">
        <f>'🤖 Command R+'!J2</f>
        <v>5</v>
      </c>
      <c r="J52" s="11">
        <f>VLOOKUP(B52,'__lookup__'!A:B,2,FALSE)</f>
        <v>2</v>
      </c>
      <c r="K52" s="11">
        <f>VLOOKUP(C52,'__lookup__'!A:B,2,FALSE)</f>
        <v>10</v>
      </c>
    </row>
    <row r="53">
      <c r="A53" s="91" t="str">
        <f>'🤖 Command R+'!$A$2</f>
        <v>www.berria.eus/euskal-herria/ehunka-herritarrek-etxebarriko-sexu-erasoa-salatu-dute_2126343_102.html</v>
      </c>
      <c r="B53" s="6" t="s">
        <v>22</v>
      </c>
      <c r="C53" s="7" t="str">
        <f>'🤖 Command R+'!C3</f>
        <v>CoT</v>
      </c>
      <c r="D53" s="92">
        <f>'🤖 Command R+'!E3</f>
        <v>1.028301887</v>
      </c>
      <c r="E53" s="7">
        <f>'🤖 Command R+'!F3</f>
        <v>2</v>
      </c>
      <c r="F53" s="7">
        <f>'🤖 Command R+'!G3</f>
        <v>2</v>
      </c>
      <c r="G53" s="7">
        <f>'🤖 Command R+'!H3</f>
        <v>1</v>
      </c>
      <c r="H53" s="7">
        <f>'🤖 Command R+'!I3</f>
        <v>2</v>
      </c>
      <c r="I53" s="7">
        <f>'🤖 Command R+'!J3</f>
        <v>2</v>
      </c>
    </row>
    <row r="54">
      <c r="A54" s="91" t="str">
        <f>'🤖 Command R+'!$A$2</f>
        <v>www.berria.eus/euskal-herria/ehunka-herritarrek-etxebarriko-sexu-erasoa-salatu-dute_2126343_102.html</v>
      </c>
      <c r="B54" s="6" t="s">
        <v>22</v>
      </c>
      <c r="C54" s="7" t="str">
        <f>'🤖 Command R+'!C4</f>
        <v>5W1H</v>
      </c>
      <c r="D54" s="92">
        <f>'🤖 Command R+'!E4</f>
        <v>0.5</v>
      </c>
      <c r="E54" s="7">
        <f>'🤖 Command R+'!F4</f>
        <v>1</v>
      </c>
      <c r="F54" s="7">
        <f>'🤖 Command R+'!G4</f>
        <v>3</v>
      </c>
      <c r="G54" s="7">
        <f>'🤖 Command R+'!H4</f>
        <v>5</v>
      </c>
      <c r="H54" s="7">
        <f>'🤖 Command R+'!I4</f>
        <v>5</v>
      </c>
      <c r="I54" s="7">
        <f>'🤖 Command R+'!J4</f>
        <v>4</v>
      </c>
    </row>
    <row r="55">
      <c r="A55" s="91" t="str">
        <f>'🤖 Command R+'!$A$2</f>
        <v>www.berria.eus/euskal-herria/ehunka-herritarrek-etxebarriko-sexu-erasoa-salatu-dute_2126343_102.html</v>
      </c>
      <c r="B55" s="6" t="s">
        <v>22</v>
      </c>
      <c r="C55" s="7" t="str">
        <f>'🤖 Command R+'!C5</f>
        <v>tldr</v>
      </c>
      <c r="D55" s="92">
        <f>'🤖 Command R+'!E5</f>
        <v>0.6037735849</v>
      </c>
      <c r="E55" s="7">
        <f>'🤖 Command R+'!F5</f>
        <v>4</v>
      </c>
      <c r="F55" s="7">
        <f>'🤖 Command R+'!G5</f>
        <v>5</v>
      </c>
      <c r="G55" s="7">
        <f>'🤖 Command R+'!H5</f>
        <v>1</v>
      </c>
      <c r="H55" s="7">
        <f>'🤖 Command R+'!I5</f>
        <v>4</v>
      </c>
      <c r="I55" s="7">
        <f>'🤖 Command R+'!J5</f>
        <v>5</v>
      </c>
    </row>
    <row r="56">
      <c r="A56" s="25"/>
      <c r="B56" s="6"/>
      <c r="C56" s="7"/>
      <c r="D56" s="3"/>
      <c r="E56" s="7"/>
      <c r="F56" s="7"/>
      <c r="G56" s="7"/>
      <c r="H56" s="7"/>
      <c r="I56" s="7"/>
    </row>
    <row r="57">
      <c r="A57" s="91" t="str">
        <f>'🤖 Command R+'!$A$7</f>
        <v>https://www.berria.eus/euskal-herria/erramun-baxok-ohorezko-euskaltzaina-zendu-da_2126101_102.html</v>
      </c>
      <c r="B57" s="6" t="s">
        <v>22</v>
      </c>
      <c r="C57" s="7" t="str">
        <f>'🤖 Command R+'!C7</f>
        <v>Base</v>
      </c>
      <c r="D57" s="92">
        <f>'🤖 Command R+'!E7</f>
        <v>0.5155963303</v>
      </c>
      <c r="E57" s="7">
        <f>'🤖 Command R+'!F7</f>
        <v>4</v>
      </c>
      <c r="F57" s="7">
        <f>'🤖 Command R+'!G7</f>
        <v>3</v>
      </c>
      <c r="G57" s="7">
        <f>'🤖 Command R+'!H7</f>
        <v>4</v>
      </c>
      <c r="H57" s="7">
        <f>'🤖 Command R+'!I7</f>
        <v>2</v>
      </c>
      <c r="I57" s="7">
        <f>'🤖 Command R+'!J7</f>
        <v>5</v>
      </c>
    </row>
    <row r="58">
      <c r="A58" s="91" t="str">
        <f>'🤖 Command R+'!$A$7</f>
        <v>https://www.berria.eus/euskal-herria/erramun-baxok-ohorezko-euskaltzaina-zendu-da_2126101_102.html</v>
      </c>
      <c r="B58" s="6" t="s">
        <v>22</v>
      </c>
      <c r="C58" s="7" t="str">
        <f>'🤖 Command R+'!C8</f>
        <v>CoT</v>
      </c>
      <c r="D58" s="92">
        <f>'🤖 Command R+'!E8</f>
        <v>0.2073394495</v>
      </c>
      <c r="E58" s="7">
        <f>'🤖 Command R+'!F8</f>
        <v>3</v>
      </c>
      <c r="F58" s="7">
        <f>'🤖 Command R+'!G8</f>
        <v>5</v>
      </c>
      <c r="G58" s="7">
        <f>'🤖 Command R+'!H8</f>
        <v>3</v>
      </c>
      <c r="H58" s="7">
        <f>'🤖 Command R+'!I8</f>
        <v>3</v>
      </c>
      <c r="I58" s="7">
        <f>'🤖 Command R+'!J8</f>
        <v>4</v>
      </c>
    </row>
    <row r="59">
      <c r="A59" s="91" t="str">
        <f>'🤖 Command R+'!$A$7</f>
        <v>https://www.berria.eus/euskal-herria/erramun-baxok-ohorezko-euskaltzaina-zendu-da_2126101_102.html</v>
      </c>
      <c r="B59" s="6" t="s">
        <v>22</v>
      </c>
      <c r="C59" s="7" t="str">
        <f>'🤖 Command R+'!C9</f>
        <v>5W1H</v>
      </c>
      <c r="D59" s="92">
        <f>'🤖 Command R+'!E9</f>
        <v>0.1633027523</v>
      </c>
      <c r="E59" s="7">
        <f>'🤖 Command R+'!F9</f>
        <v>2</v>
      </c>
      <c r="F59" s="7">
        <f>'🤖 Command R+'!G9</f>
        <v>4</v>
      </c>
      <c r="G59" s="7">
        <f>'🤖 Command R+'!H9</f>
        <v>2</v>
      </c>
      <c r="H59" s="7">
        <f>'🤖 Command R+'!I9</f>
        <v>4</v>
      </c>
      <c r="I59" s="7">
        <f>'🤖 Command R+'!J9</f>
        <v>3</v>
      </c>
    </row>
    <row r="60">
      <c r="A60" s="91" t="str">
        <f>'🤖 Command R+'!$A$7</f>
        <v>https://www.berria.eus/euskal-herria/erramun-baxok-ohorezko-euskaltzaina-zendu-da_2126101_102.html</v>
      </c>
      <c r="B60" s="6" t="s">
        <v>22</v>
      </c>
      <c r="C60" s="7" t="str">
        <f>'🤖 Command R+'!C10</f>
        <v>tldr</v>
      </c>
      <c r="D60" s="92">
        <f>'🤖 Command R+'!E10</f>
        <v>0.1541284404</v>
      </c>
      <c r="E60" s="7">
        <f>'🤖 Command R+'!F10</f>
        <v>3</v>
      </c>
      <c r="F60" s="7">
        <f>'🤖 Command R+'!G10</f>
        <v>4</v>
      </c>
      <c r="G60" s="7">
        <f>'🤖 Command R+'!H10</f>
        <v>3</v>
      </c>
      <c r="H60" s="7">
        <f>'🤖 Command R+'!I10</f>
        <v>4</v>
      </c>
      <c r="I60" s="7">
        <f>'🤖 Command R+'!J10</f>
        <v>3</v>
      </c>
    </row>
    <row r="61">
      <c r="A61" s="25"/>
      <c r="B61" s="6"/>
      <c r="C61" s="7"/>
      <c r="D61" s="3"/>
      <c r="E61" s="7"/>
      <c r="F61" s="7"/>
      <c r="G61" s="7"/>
      <c r="H61" s="7"/>
      <c r="I61" s="7"/>
    </row>
    <row r="62">
      <c r="A62" s="91" t="str">
        <f>'🤖 Command R+'!$A$12</f>
        <v>https://www.berria.eus/euskal-herria/etxelekuren-kargugabetzea-kritikatu-dute-errobiko-bederatzi-hautetsik_2125690_102.html</v>
      </c>
      <c r="B62" s="6" t="s">
        <v>22</v>
      </c>
      <c r="C62" s="7" t="str">
        <f>'🤖 Command R+'!C12</f>
        <v>Base</v>
      </c>
      <c r="D62" s="92">
        <f>'🤖 Command R+'!E12</f>
        <v>0.5843023256</v>
      </c>
      <c r="E62" s="7">
        <f>'🤖 Command R+'!F12</f>
        <v>2</v>
      </c>
      <c r="F62" s="7">
        <f>'🤖 Command R+'!G12</f>
        <v>3</v>
      </c>
      <c r="G62" s="7">
        <f>'🤖 Command R+'!H12</f>
        <v>2</v>
      </c>
      <c r="H62" s="7">
        <f>'🤖 Command R+'!I12</f>
        <v>2</v>
      </c>
      <c r="I62" s="7">
        <f>'🤖 Command R+'!J12</f>
        <v>4</v>
      </c>
    </row>
    <row r="63">
      <c r="A63" s="91" t="str">
        <f>'🤖 Command R+'!$A$12</f>
        <v>https://www.berria.eus/euskal-herria/etxelekuren-kargugabetzea-kritikatu-dute-errobiko-bederatzi-hautetsik_2125690_102.html</v>
      </c>
      <c r="B63" s="6" t="s">
        <v>22</v>
      </c>
      <c r="C63" s="7" t="str">
        <f>'🤖 Command R+'!C13</f>
        <v>CoT</v>
      </c>
      <c r="D63" s="92">
        <f>'🤖 Command R+'!E13</f>
        <v>0.7151162791</v>
      </c>
      <c r="E63" s="7">
        <f>'🤖 Command R+'!F13</f>
        <v>2</v>
      </c>
      <c r="F63" s="7">
        <f>'🤖 Command R+'!G13</f>
        <v>2</v>
      </c>
      <c r="G63" s="7">
        <f>'🤖 Command R+'!H13</f>
        <v>2</v>
      </c>
      <c r="H63" s="7">
        <f>'🤖 Command R+'!I13</f>
        <v>2</v>
      </c>
      <c r="I63" s="7">
        <f>'🤖 Command R+'!J13</f>
        <v>3</v>
      </c>
    </row>
    <row r="64">
      <c r="A64" s="91" t="str">
        <f>'🤖 Command R+'!$A$12</f>
        <v>https://www.berria.eus/euskal-herria/etxelekuren-kargugabetzea-kritikatu-dute-errobiko-bederatzi-hautetsik_2125690_102.html</v>
      </c>
      <c r="B64" s="6" t="s">
        <v>22</v>
      </c>
      <c r="C64" s="7" t="str">
        <f>'🤖 Command R+'!C14</f>
        <v>5W1H</v>
      </c>
      <c r="D64" s="92">
        <f>'🤖 Command R+'!E14</f>
        <v>0.2470930233</v>
      </c>
      <c r="E64" s="7">
        <f>'🤖 Command R+'!F14</f>
        <v>2</v>
      </c>
      <c r="F64" s="7">
        <f>'🤖 Command R+'!G14</f>
        <v>3</v>
      </c>
      <c r="G64" s="7">
        <f>'🤖 Command R+'!H14</f>
        <v>3</v>
      </c>
      <c r="H64" s="7">
        <f>'🤖 Command R+'!I14</f>
        <v>4</v>
      </c>
      <c r="I64" s="7">
        <f>'🤖 Command R+'!J14</f>
        <v>4</v>
      </c>
    </row>
    <row r="65">
      <c r="A65" s="91" t="str">
        <f>'🤖 Command R+'!$A$12</f>
        <v>https://www.berria.eus/euskal-herria/etxelekuren-kargugabetzea-kritikatu-dute-errobiko-bederatzi-hautetsik_2125690_102.html</v>
      </c>
      <c r="B65" s="6" t="s">
        <v>22</v>
      </c>
      <c r="C65" s="7" t="str">
        <f>'🤖 Command R+'!C15</f>
        <v>tldr</v>
      </c>
      <c r="D65" s="92">
        <f>'🤖 Command R+'!E15</f>
        <v>0.4244186047</v>
      </c>
      <c r="E65" s="7">
        <f>'🤖 Command R+'!F15</f>
        <v>4</v>
      </c>
      <c r="F65" s="7">
        <f>'🤖 Command R+'!G15</f>
        <v>3</v>
      </c>
      <c r="G65" s="7">
        <f>'🤖 Command R+'!H15</f>
        <v>3</v>
      </c>
      <c r="H65" s="7">
        <f>'🤖 Command R+'!I15</f>
        <v>3</v>
      </c>
      <c r="I65" s="7">
        <f>'🤖 Command R+'!J15</f>
        <v>4</v>
      </c>
    </row>
    <row r="66">
      <c r="A66" s="25"/>
      <c r="B66" s="6"/>
      <c r="C66" s="7"/>
      <c r="D66" s="3"/>
      <c r="E66" s="7"/>
      <c r="F66" s="7"/>
      <c r="G66" s="7"/>
      <c r="H66" s="7"/>
      <c r="I66" s="7"/>
    </row>
    <row r="67">
      <c r="A67" s="91" t="str">
        <f>'🤖 Command R+'!$A$17</f>
        <v>https://www.berria.eus/euskal-herria/itziar-lakari-eman-diote-eusko-ikaskuntzaren-saria_2125317_102.html</v>
      </c>
      <c r="B67" s="6" t="s">
        <v>22</v>
      </c>
      <c r="C67" s="7" t="str">
        <f>'🤖 Command R+'!C17</f>
        <v>Base</v>
      </c>
      <c r="D67" s="92">
        <f>'🤖 Command R+'!E17</f>
        <v>0.7616580311</v>
      </c>
      <c r="E67" s="7">
        <f>'🤖 Command R+'!F17</f>
        <v>3</v>
      </c>
      <c r="F67" s="7">
        <f>'🤖 Command R+'!G17</f>
        <v>3</v>
      </c>
      <c r="G67" s="7">
        <f>'🤖 Command R+'!H17</f>
        <v>2</v>
      </c>
      <c r="H67" s="7">
        <f>'🤖 Command R+'!I17</f>
        <v>3</v>
      </c>
      <c r="I67" s="7">
        <f>'🤖 Command R+'!J17</f>
        <v>4</v>
      </c>
    </row>
    <row r="68">
      <c r="A68" s="91" t="str">
        <f>'🤖 Command R+'!$A$17</f>
        <v>https://www.berria.eus/euskal-herria/itziar-lakari-eman-diote-eusko-ikaskuntzaren-saria_2125317_102.html</v>
      </c>
      <c r="B68" s="6" t="s">
        <v>22</v>
      </c>
      <c r="C68" s="7" t="str">
        <f>'🤖 Command R+'!C18</f>
        <v>CoT</v>
      </c>
      <c r="D68" s="92">
        <f>'🤖 Command R+'!E18</f>
        <v>0.5025906736</v>
      </c>
      <c r="E68" s="7">
        <f>'🤖 Command R+'!F18</f>
        <v>2</v>
      </c>
      <c r="F68" s="7">
        <f>'🤖 Command R+'!G18</f>
        <v>4</v>
      </c>
      <c r="G68" s="7">
        <f>'🤖 Command R+'!H18</f>
        <v>2</v>
      </c>
      <c r="H68" s="7">
        <f>'🤖 Command R+'!I18</f>
        <v>2</v>
      </c>
      <c r="I68" s="7">
        <f>'🤖 Command R+'!J18</f>
        <v>2</v>
      </c>
    </row>
    <row r="69">
      <c r="A69" s="91" t="str">
        <f>'🤖 Command R+'!$A$17</f>
        <v>https://www.berria.eus/euskal-herria/itziar-lakari-eman-diote-eusko-ikaskuntzaren-saria_2125317_102.html</v>
      </c>
      <c r="B69" s="6" t="s">
        <v>22</v>
      </c>
      <c r="C69" s="7" t="str">
        <f>'🤖 Command R+'!C19</f>
        <v>5W1H</v>
      </c>
      <c r="D69" s="92">
        <f>'🤖 Command R+'!E19</f>
        <v>0.7564766839</v>
      </c>
      <c r="E69" s="7">
        <f>'🤖 Command R+'!F19</f>
        <v>3</v>
      </c>
      <c r="F69" s="7">
        <f>'🤖 Command R+'!G19</f>
        <v>4</v>
      </c>
      <c r="G69" s="7">
        <f>'🤖 Command R+'!H19</f>
        <v>2</v>
      </c>
      <c r="H69" s="7">
        <f>'🤖 Command R+'!I19</f>
        <v>3</v>
      </c>
      <c r="I69" s="7">
        <f>'🤖 Command R+'!J19</f>
        <v>4</v>
      </c>
    </row>
    <row r="70">
      <c r="A70" s="91" t="str">
        <f>'🤖 Command R+'!$A$17</f>
        <v>https://www.berria.eus/euskal-herria/itziar-lakari-eman-diote-eusko-ikaskuntzaren-saria_2125317_102.html</v>
      </c>
      <c r="B70" s="6" t="s">
        <v>22</v>
      </c>
      <c r="C70" s="7" t="str">
        <f>'🤖 Command R+'!C20</f>
        <v>tldr</v>
      </c>
      <c r="D70" s="92">
        <f>'🤖 Command R+'!E20</f>
        <v>0.7564766839</v>
      </c>
      <c r="E70" s="7">
        <f>'🤖 Command R+'!F20</f>
        <v>3</v>
      </c>
      <c r="F70" s="7">
        <f>'🤖 Command R+'!G20</f>
        <v>4</v>
      </c>
      <c r="G70" s="7">
        <f>'🤖 Command R+'!H20</f>
        <v>2</v>
      </c>
      <c r="H70" s="7">
        <f>'🤖 Command R+'!I20</f>
        <v>3</v>
      </c>
      <c r="I70" s="7">
        <f>'🤖 Command R+'!J20</f>
        <v>5</v>
      </c>
    </row>
    <row r="71">
      <c r="A71" s="25"/>
      <c r="B71" s="6"/>
      <c r="C71" s="7"/>
      <c r="D71" s="3"/>
      <c r="E71" s="7"/>
      <c r="F71" s="7"/>
      <c r="G71" s="7"/>
      <c r="H71" s="7"/>
      <c r="I71" s="7"/>
    </row>
    <row r="72">
      <c r="A72" s="91" t="str">
        <f>'🤖 Command R+'!$A$22</f>
        <v>https://www.berria.eus/euskal-herria/sexu-indarkeriaren-biktimentzako-zentro-bat-zabaldu-dute-araban_2124914_102.html</v>
      </c>
      <c r="B72" s="6" t="s">
        <v>22</v>
      </c>
      <c r="C72" s="7" t="str">
        <f>'🤖 Command R+'!C22</f>
        <v>Base</v>
      </c>
      <c r="D72" s="92">
        <f>'🤖 Command R+'!E22</f>
        <v>0.6655348048</v>
      </c>
      <c r="E72" s="7">
        <f>'🤖 Command R+'!F22</f>
        <v>2</v>
      </c>
      <c r="F72" s="7">
        <f>'🤖 Command R+'!G22</f>
        <v>3</v>
      </c>
      <c r="G72" s="7">
        <f>'🤖 Command R+'!H22</f>
        <v>3</v>
      </c>
      <c r="H72" s="7">
        <f>'🤖 Command R+'!I22</f>
        <v>2</v>
      </c>
      <c r="I72" s="7">
        <f>'🤖 Command R+'!J22</f>
        <v>2</v>
      </c>
    </row>
    <row r="73">
      <c r="A73" s="91" t="str">
        <f>'🤖 Command R+'!$A$22</f>
        <v>https://www.berria.eus/euskal-herria/sexu-indarkeriaren-biktimentzako-zentro-bat-zabaldu-dute-araban_2124914_102.html</v>
      </c>
      <c r="B73" s="6" t="s">
        <v>22</v>
      </c>
      <c r="C73" s="7" t="str">
        <f>'🤖 Command R+'!C23</f>
        <v>CoT</v>
      </c>
      <c r="D73" s="92">
        <f>'🤖 Command R+'!E23</f>
        <v>0.4210526316</v>
      </c>
      <c r="E73" s="7">
        <f>'🤖 Command R+'!F23</f>
        <v>2</v>
      </c>
      <c r="F73" s="7">
        <f>'🤖 Command R+'!G23</f>
        <v>5</v>
      </c>
      <c r="G73" s="7">
        <f>'🤖 Command R+'!H23</f>
        <v>3</v>
      </c>
      <c r="H73" s="7">
        <f>'🤖 Command R+'!I23</f>
        <v>2</v>
      </c>
      <c r="I73" s="7">
        <f>'🤖 Command R+'!J23</f>
        <v>3</v>
      </c>
    </row>
    <row r="74">
      <c r="A74" s="91" t="str">
        <f>'🤖 Command R+'!$A$22</f>
        <v>https://www.berria.eus/euskal-herria/sexu-indarkeriaren-biktimentzako-zentro-bat-zabaldu-dute-araban_2124914_102.html</v>
      </c>
      <c r="B74" s="6" t="s">
        <v>22</v>
      </c>
      <c r="C74" s="7" t="str">
        <f>'🤖 Command R+'!C24</f>
        <v>5W1H</v>
      </c>
      <c r="D74" s="92">
        <f>'🤖 Command R+'!E24</f>
        <v>0.1901528014</v>
      </c>
      <c r="E74" s="7">
        <f>'🤖 Command R+'!F24</f>
        <v>3</v>
      </c>
      <c r="F74" s="7">
        <f>'🤖 Command R+'!G24</f>
        <v>4</v>
      </c>
      <c r="G74" s="7">
        <f>'🤖 Command R+'!H24</f>
        <v>3</v>
      </c>
      <c r="H74" s="7">
        <f>'🤖 Command R+'!I24</f>
        <v>3</v>
      </c>
      <c r="I74" s="7">
        <f>'🤖 Command R+'!J24</f>
        <v>3</v>
      </c>
    </row>
    <row r="75">
      <c r="A75" s="91" t="str">
        <f>'🤖 Command R+'!$A$22</f>
        <v>https://www.berria.eus/euskal-herria/sexu-indarkeriaren-biktimentzako-zentro-bat-zabaldu-dute-araban_2124914_102.html</v>
      </c>
      <c r="B75" s="6" t="s">
        <v>22</v>
      </c>
      <c r="C75" s="7" t="str">
        <f>'🤖 Command R+'!C25</f>
        <v>tldr</v>
      </c>
      <c r="D75" s="92">
        <f>'🤖 Command R+'!E25</f>
        <v>0.4176570458</v>
      </c>
      <c r="E75" s="7">
        <f>'🤖 Command R+'!F25</f>
        <v>4</v>
      </c>
      <c r="F75" s="7">
        <f>'🤖 Command R+'!G25</f>
        <v>4</v>
      </c>
      <c r="G75" s="7">
        <f>'🤖 Command R+'!H25</f>
        <v>3</v>
      </c>
      <c r="H75" s="7">
        <f>'🤖 Command R+'!I25</f>
        <v>3</v>
      </c>
      <c r="I75" s="7">
        <f>'🤖 Command R+'!J25</f>
        <v>4</v>
      </c>
    </row>
    <row r="76">
      <c r="A76" s="25"/>
      <c r="B76" s="6"/>
      <c r="C76" s="7"/>
      <c r="D76" s="3"/>
      <c r="E76" s="7"/>
      <c r="F76" s="7"/>
      <c r="G76" s="7"/>
      <c r="H76" s="7"/>
      <c r="I76" s="7"/>
    </row>
    <row r="77">
      <c r="A77" s="25"/>
      <c r="B77" s="6"/>
      <c r="C77" s="7"/>
      <c r="D77" s="3"/>
      <c r="E77" s="7"/>
      <c r="F77" s="7"/>
      <c r="G77" s="7"/>
      <c r="H77" s="7"/>
      <c r="I77" s="7"/>
    </row>
    <row r="78">
      <c r="A78" s="25"/>
      <c r="B78" s="6"/>
      <c r="C78" s="7"/>
      <c r="D78" s="3"/>
      <c r="E78" s="7"/>
      <c r="F78" s="7"/>
      <c r="G78" s="7"/>
      <c r="H78" s="7"/>
      <c r="I78" s="7"/>
    </row>
    <row r="79">
      <c r="A79" s="25"/>
      <c r="B79" s="6"/>
      <c r="C79" s="7"/>
      <c r="D79" s="3"/>
      <c r="E79" s="7"/>
      <c r="F79" s="7"/>
      <c r="G79" s="7"/>
      <c r="H79" s="7"/>
      <c r="I79" s="7"/>
    </row>
    <row r="80">
      <c r="A80" s="25"/>
      <c r="B80" s="6"/>
      <c r="C80" s="7"/>
      <c r="D80" s="3"/>
      <c r="E80" s="7"/>
      <c r="F80" s="7"/>
      <c r="G80" s="7"/>
      <c r="H80" s="7"/>
      <c r="I80" s="7"/>
    </row>
    <row r="81">
      <c r="A81" s="25"/>
      <c r="B81" s="6"/>
      <c r="C81" s="7"/>
      <c r="D81" s="3"/>
      <c r="E81" s="7"/>
      <c r="F81" s="7"/>
      <c r="G81" s="7"/>
      <c r="H81" s="7"/>
      <c r="I81" s="7"/>
    </row>
    <row r="82">
      <c r="A82" s="25"/>
      <c r="B82" s="6"/>
      <c r="C82" s="7"/>
      <c r="D82" s="3"/>
      <c r="E82" s="7"/>
      <c r="F82" s="7"/>
      <c r="G82" s="7"/>
      <c r="H82" s="7"/>
      <c r="I82" s="7"/>
    </row>
    <row r="83">
      <c r="A83" s="25"/>
      <c r="B83" s="6"/>
      <c r="C83" s="7"/>
      <c r="D83" s="3"/>
      <c r="E83" s="7"/>
      <c r="F83" s="7"/>
      <c r="G83" s="7"/>
      <c r="H83" s="7"/>
      <c r="I83" s="7"/>
    </row>
    <row r="84">
      <c r="A84" s="25"/>
      <c r="B84" s="6"/>
      <c r="C84" s="7"/>
      <c r="D84" s="3"/>
      <c r="E84" s="7"/>
      <c r="F84" s="7"/>
      <c r="G84" s="7"/>
      <c r="H84" s="7"/>
      <c r="I84" s="7"/>
    </row>
    <row r="85">
      <c r="A85" s="25"/>
      <c r="B85" s="6"/>
      <c r="C85" s="7"/>
      <c r="D85" s="3"/>
      <c r="E85" s="7"/>
      <c r="F85" s="7"/>
      <c r="G85" s="7"/>
      <c r="H85" s="7"/>
      <c r="I85" s="7"/>
    </row>
    <row r="86">
      <c r="A86" s="25"/>
      <c r="B86" s="6"/>
      <c r="C86" s="7"/>
      <c r="D86" s="3"/>
      <c r="E86" s="7"/>
      <c r="F86" s="7"/>
      <c r="G86" s="7"/>
      <c r="H86" s="7"/>
      <c r="I86" s="7"/>
    </row>
    <row r="87">
      <c r="A87" s="25"/>
      <c r="B87" s="6"/>
      <c r="C87" s="7"/>
      <c r="D87" s="3"/>
      <c r="E87" s="7"/>
      <c r="F87" s="7"/>
      <c r="G87" s="7"/>
      <c r="H87" s="7"/>
      <c r="I87" s="7"/>
    </row>
    <row r="88">
      <c r="A88" s="25"/>
      <c r="B88" s="6"/>
      <c r="C88" s="7"/>
      <c r="D88" s="3"/>
      <c r="E88" s="7"/>
      <c r="F88" s="7"/>
      <c r="G88" s="7"/>
      <c r="H88" s="7"/>
      <c r="I88" s="7"/>
    </row>
    <row r="89">
      <c r="A89" s="25"/>
      <c r="B89" s="6"/>
      <c r="C89" s="7"/>
      <c r="D89" s="3"/>
      <c r="E89" s="7"/>
      <c r="F89" s="7"/>
      <c r="G89" s="7"/>
      <c r="H89" s="7"/>
      <c r="I89" s="7"/>
    </row>
    <row r="90">
      <c r="A90" s="25"/>
      <c r="B90" s="6"/>
      <c r="C90" s="7"/>
      <c r="D90" s="3"/>
      <c r="E90" s="7"/>
      <c r="F90" s="7"/>
      <c r="G90" s="7"/>
      <c r="H90" s="7"/>
      <c r="I90" s="7"/>
    </row>
    <row r="91">
      <c r="A91" s="25"/>
      <c r="B91" s="6"/>
      <c r="C91" s="7"/>
      <c r="D91" s="3"/>
      <c r="E91" s="7"/>
      <c r="F91" s="7"/>
      <c r="G91" s="7"/>
      <c r="H91" s="7"/>
      <c r="I91" s="7"/>
    </row>
    <row r="92">
      <c r="A92" s="25"/>
      <c r="B92" s="6"/>
      <c r="C92" s="7"/>
      <c r="D92" s="3"/>
      <c r="E92" s="7"/>
      <c r="F92" s="7"/>
      <c r="G92" s="7"/>
      <c r="H92" s="7"/>
      <c r="I92" s="7"/>
    </row>
    <row r="93">
      <c r="A93" s="25"/>
      <c r="B93" s="6"/>
      <c r="C93" s="7"/>
      <c r="D93" s="3"/>
      <c r="E93" s="7"/>
      <c r="F93" s="7"/>
      <c r="G93" s="7"/>
      <c r="H93" s="7"/>
      <c r="I93" s="7"/>
    </row>
    <row r="94">
      <c r="A94" s="25"/>
      <c r="B94" s="6"/>
      <c r="C94" s="7"/>
      <c r="D94" s="3"/>
      <c r="E94" s="7"/>
      <c r="F94" s="7"/>
      <c r="G94" s="7"/>
      <c r="H94" s="7"/>
      <c r="I94" s="7"/>
    </row>
    <row r="95">
      <c r="A95" s="25"/>
      <c r="B95" s="6"/>
      <c r="C95" s="7"/>
      <c r="D95" s="3"/>
      <c r="E95" s="7"/>
      <c r="F95" s="7"/>
      <c r="G95" s="7"/>
      <c r="H95" s="7"/>
      <c r="I95" s="7"/>
    </row>
    <row r="96">
      <c r="A96" s="25"/>
      <c r="B96" s="6"/>
      <c r="C96" s="7"/>
      <c r="D96" s="3"/>
      <c r="E96" s="7"/>
      <c r="F96" s="7"/>
      <c r="G96" s="7"/>
      <c r="H96" s="7"/>
      <c r="I96" s="7"/>
    </row>
    <row r="97">
      <c r="A97" s="25"/>
      <c r="B97" s="6"/>
      <c r="C97" s="7"/>
      <c r="D97" s="3"/>
      <c r="E97" s="7"/>
      <c r="F97" s="7"/>
      <c r="G97" s="7"/>
      <c r="H97" s="7"/>
      <c r="I97" s="7"/>
    </row>
    <row r="98">
      <c r="A98" s="25"/>
      <c r="B98" s="6"/>
      <c r="C98" s="7"/>
      <c r="D98" s="3"/>
      <c r="E98" s="7"/>
      <c r="F98" s="7"/>
      <c r="G98" s="7"/>
      <c r="H98" s="7"/>
      <c r="I98" s="7"/>
    </row>
    <row r="99">
      <c r="A99" s="25"/>
      <c r="B99" s="6"/>
      <c r="C99" s="7"/>
      <c r="D99" s="3"/>
      <c r="E99" s="7"/>
      <c r="F99" s="7"/>
      <c r="G99" s="7"/>
      <c r="H99" s="7"/>
      <c r="I99" s="7"/>
    </row>
    <row r="100">
      <c r="A100" s="25"/>
      <c r="B100" s="6"/>
      <c r="C100" s="7"/>
      <c r="D100" s="3"/>
      <c r="E100" s="7"/>
      <c r="F100" s="7"/>
      <c r="G100" s="7"/>
      <c r="H100" s="7"/>
      <c r="I100" s="7"/>
    </row>
    <row r="101">
      <c r="A101" s="25"/>
      <c r="B101" s="6"/>
      <c r="C101" s="7"/>
      <c r="D101" s="3"/>
      <c r="E101" s="7"/>
      <c r="F101" s="7"/>
      <c r="G101" s="7"/>
      <c r="H101" s="7"/>
      <c r="I101" s="7"/>
    </row>
    <row r="102">
      <c r="A102" s="91" t="str">
        <f>'🤖 GPT 4o'!$A$2</f>
        <v>www.berria.eus/euskal-herria/ehunka-herritarrek-etxebarriko-sexu-erasoa-salatu-dute_2126343_102.html</v>
      </c>
      <c r="B102" s="6" t="s">
        <v>23</v>
      </c>
      <c r="C102" s="7" t="str">
        <f>'🤖 GPT 4o'!C2</f>
        <v>Base</v>
      </c>
      <c r="D102" s="92">
        <f>'🤖 GPT 4o'!E2</f>
        <v>0.7735849057</v>
      </c>
      <c r="E102" s="7">
        <f>'🤖 GPT 4o'!F2</f>
        <v>5</v>
      </c>
      <c r="F102" s="7">
        <f>'🤖 GPT 4o'!G2</f>
        <v>4</v>
      </c>
      <c r="G102" s="7">
        <f>'🤖 GPT 4o'!H2</f>
        <v>4</v>
      </c>
      <c r="H102" s="7">
        <f>'🤖 GPT 4o'!I2</f>
        <v>4</v>
      </c>
      <c r="I102" s="7">
        <f>'🤖 GPT 4o'!J2</f>
        <v>5</v>
      </c>
      <c r="J102" s="11">
        <f>VLOOKUP(B102,'__lookup__'!A:B,2,FALSE)</f>
        <v>3</v>
      </c>
      <c r="K102" s="11">
        <f>VLOOKUP(C102,'__lookup__'!A:B,2,FALSE)</f>
        <v>10</v>
      </c>
    </row>
    <row r="103">
      <c r="A103" s="91" t="str">
        <f>'🤖 GPT 4o'!$A$2</f>
        <v>www.berria.eus/euskal-herria/ehunka-herritarrek-etxebarriko-sexu-erasoa-salatu-dute_2126343_102.html</v>
      </c>
      <c r="B103" s="6" t="s">
        <v>23</v>
      </c>
      <c r="C103" s="7" t="str">
        <f>'🤖 GPT 4o'!C3</f>
        <v>CoT</v>
      </c>
      <c r="D103" s="92">
        <f>'🤖 GPT 4o'!E3</f>
        <v>0.5094339623</v>
      </c>
      <c r="E103" s="7">
        <f>'🤖 GPT 4o'!F3</f>
        <v>4</v>
      </c>
      <c r="F103" s="7">
        <f>'🤖 GPT 4o'!G3</f>
        <v>4</v>
      </c>
      <c r="G103" s="7">
        <f>'🤖 GPT 4o'!H3</f>
        <v>5</v>
      </c>
      <c r="H103" s="7">
        <f>'🤖 GPT 4o'!I3</f>
        <v>4</v>
      </c>
      <c r="I103" s="7">
        <f>'🤖 GPT 4o'!J3</f>
        <v>5</v>
      </c>
    </row>
    <row r="104">
      <c r="A104" s="91" t="str">
        <f>'🤖 GPT 4o'!$A$2</f>
        <v>www.berria.eus/euskal-herria/ehunka-herritarrek-etxebarriko-sexu-erasoa-salatu-dute_2126343_102.html</v>
      </c>
      <c r="B104" s="6" t="s">
        <v>23</v>
      </c>
      <c r="C104" s="7" t="str">
        <f>'🤖 GPT 4o'!C4</f>
        <v>5W1H</v>
      </c>
      <c r="D104" s="92">
        <f>'🤖 GPT 4o'!E4</f>
        <v>0.7169811321</v>
      </c>
      <c r="E104" s="7">
        <f>'🤖 GPT 4o'!F4</f>
        <v>2</v>
      </c>
      <c r="F104" s="7">
        <f>'🤖 GPT 4o'!G4</f>
        <v>4</v>
      </c>
      <c r="G104" s="7">
        <f>'🤖 GPT 4o'!H4</f>
        <v>3</v>
      </c>
      <c r="H104" s="7">
        <f>'🤖 GPT 4o'!I4</f>
        <v>3</v>
      </c>
      <c r="I104" s="7">
        <f>'🤖 GPT 4o'!J4</f>
        <v>4</v>
      </c>
    </row>
    <row r="105">
      <c r="A105" s="91" t="str">
        <f>'🤖 GPT 4o'!$A$2</f>
        <v>www.berria.eus/euskal-herria/ehunka-herritarrek-etxebarriko-sexu-erasoa-salatu-dute_2126343_102.html</v>
      </c>
      <c r="B105" s="6" t="s">
        <v>23</v>
      </c>
      <c r="C105" s="7" t="str">
        <f>'🤖 GPT 4o'!C5</f>
        <v>tldr</v>
      </c>
      <c r="D105" s="92">
        <f>'🤖 GPT 4o'!E5</f>
        <v>0.4716981132</v>
      </c>
      <c r="E105" s="7">
        <f>'🤖 GPT 4o'!F5</f>
        <v>4</v>
      </c>
      <c r="F105" s="7">
        <f>'🤖 GPT 4o'!G5</f>
        <v>5</v>
      </c>
      <c r="G105" s="7">
        <f>'🤖 GPT 4o'!H5</f>
        <v>5</v>
      </c>
      <c r="H105" s="7">
        <f>'🤖 GPT 4o'!I5</f>
        <v>3</v>
      </c>
      <c r="I105" s="7">
        <f>'🤖 GPT 4o'!J5</f>
        <v>5</v>
      </c>
    </row>
    <row r="106">
      <c r="A106" s="25"/>
      <c r="B106" s="6"/>
      <c r="C106" s="7"/>
      <c r="D106" s="3"/>
      <c r="E106" s="7"/>
      <c r="F106" s="7"/>
      <c r="G106" s="7"/>
      <c r="H106" s="7"/>
      <c r="I106" s="7"/>
    </row>
    <row r="107">
      <c r="A107" s="91" t="str">
        <f>'🤖 GPT 4o'!$A$7</f>
        <v>https://www.berria.eus/euskal-herria/erramun-baxok-ohorezko-euskaltzaina-zendu-da_2126101_102.html</v>
      </c>
      <c r="B107" s="6" t="s">
        <v>23</v>
      </c>
      <c r="C107" s="7" t="str">
        <f>'🤖 GPT 4o'!C7</f>
        <v>Base</v>
      </c>
      <c r="D107" s="92">
        <f>'🤖 GPT 4o'!E7</f>
        <v>0.5926605505</v>
      </c>
      <c r="E107" s="7">
        <f>'🤖 GPT 4o'!F7</f>
        <v>3</v>
      </c>
      <c r="F107" s="7">
        <f>'🤖 GPT 4o'!G7</f>
        <v>4</v>
      </c>
      <c r="G107" s="7">
        <f>'🤖 GPT 4o'!H7</f>
        <v>4</v>
      </c>
      <c r="H107" s="7">
        <f>'🤖 GPT 4o'!I7</f>
        <v>2</v>
      </c>
      <c r="I107" s="7">
        <f>'🤖 GPT 4o'!J7</f>
        <v>5</v>
      </c>
    </row>
    <row r="108">
      <c r="A108" s="91" t="str">
        <f>'🤖 GPT 4o'!$A$7</f>
        <v>https://www.berria.eus/euskal-herria/erramun-baxok-ohorezko-euskaltzaina-zendu-da_2126101_102.html</v>
      </c>
      <c r="B108" s="6" t="s">
        <v>23</v>
      </c>
      <c r="C108" s="7" t="str">
        <f>'🤖 GPT 4o'!C8</f>
        <v>CoT</v>
      </c>
      <c r="D108" s="92">
        <f>'🤖 GPT 4o'!E8</f>
        <v>0.1467889908</v>
      </c>
      <c r="E108" s="7">
        <f>'🤖 GPT 4o'!F8</f>
        <v>4</v>
      </c>
      <c r="F108" s="7">
        <f>'🤖 GPT 4o'!G8</f>
        <v>4</v>
      </c>
      <c r="G108" s="7">
        <f>'🤖 GPT 4o'!H8</f>
        <v>5</v>
      </c>
      <c r="H108" s="7">
        <f>'🤖 GPT 4o'!I8</f>
        <v>5</v>
      </c>
      <c r="I108" s="7">
        <f>'🤖 GPT 4o'!J8</f>
        <v>5</v>
      </c>
    </row>
    <row r="109">
      <c r="A109" s="91" t="str">
        <f>'🤖 GPT 4o'!$A$7</f>
        <v>https://www.berria.eus/euskal-herria/erramun-baxok-ohorezko-euskaltzaina-zendu-da_2126101_102.html</v>
      </c>
      <c r="B109" s="6" t="s">
        <v>23</v>
      </c>
      <c r="C109" s="7" t="str">
        <f>'🤖 GPT 4o'!C9</f>
        <v>5W1H</v>
      </c>
      <c r="D109" s="92">
        <f>'🤖 GPT 4o'!E9</f>
        <v>0.3394495413</v>
      </c>
      <c r="E109" s="7">
        <f>'🤖 GPT 4o'!F9</f>
        <v>3</v>
      </c>
      <c r="F109" s="7">
        <f>'🤖 GPT 4o'!G9</f>
        <v>5</v>
      </c>
      <c r="G109" s="7">
        <f>'🤖 GPT 4o'!H9</f>
        <v>4</v>
      </c>
      <c r="H109" s="7">
        <f>'🤖 GPT 4o'!I9</f>
        <v>3</v>
      </c>
      <c r="I109" s="7">
        <f>'🤖 GPT 4o'!J9</f>
        <v>4</v>
      </c>
    </row>
    <row r="110">
      <c r="A110" s="91" t="str">
        <f>'🤖 GPT 4o'!$A$7</f>
        <v>https://www.berria.eus/euskal-herria/erramun-baxok-ohorezko-euskaltzaina-zendu-da_2126101_102.html</v>
      </c>
      <c r="B110" s="6" t="s">
        <v>23</v>
      </c>
      <c r="C110" s="7" t="str">
        <f>'🤖 GPT 4o'!C10</f>
        <v>tldr</v>
      </c>
      <c r="D110" s="92">
        <f>'🤖 GPT 4o'!E10</f>
        <v>0.1321100917</v>
      </c>
      <c r="E110" s="7">
        <f>'🤖 GPT 4o'!F10</f>
        <v>4</v>
      </c>
      <c r="F110" s="7">
        <f>'🤖 GPT 4o'!G10</f>
        <v>5</v>
      </c>
      <c r="G110" s="7">
        <f>'🤖 GPT 4o'!H10</f>
        <v>4</v>
      </c>
      <c r="H110" s="7">
        <f>'🤖 GPT 4o'!I10</f>
        <v>5</v>
      </c>
      <c r="I110" s="7">
        <f>'🤖 GPT 4o'!J10</f>
        <v>5</v>
      </c>
    </row>
    <row r="111">
      <c r="A111" s="25"/>
      <c r="B111" s="6"/>
      <c r="C111" s="7"/>
      <c r="D111" s="3"/>
      <c r="E111" s="7"/>
      <c r="F111" s="7"/>
      <c r="G111" s="7"/>
      <c r="H111" s="7"/>
      <c r="I111" s="7"/>
    </row>
    <row r="112">
      <c r="A112" s="91" t="str">
        <f>'🤖 GPT 4o'!$A$12</f>
        <v>https://www.berria.eus/euskal-herria/etxelekuren-kargugabetzea-kritikatu-dute-errobiko-bederatzi-hautetsik_2125690_102.html</v>
      </c>
      <c r="B112" s="6" t="s">
        <v>23</v>
      </c>
      <c r="C112" s="7" t="str">
        <f>'🤖 GPT 4o'!C12</f>
        <v>Base</v>
      </c>
      <c r="D112" s="92">
        <f>'🤖 GPT 4o'!E12</f>
        <v>0.8401162791</v>
      </c>
      <c r="E112" s="7">
        <f>'🤖 GPT 4o'!F12</f>
        <v>4</v>
      </c>
      <c r="F112" s="7">
        <f>'🤖 GPT 4o'!G12</f>
        <v>5</v>
      </c>
      <c r="G112" s="7">
        <f>'🤖 GPT 4o'!H12</f>
        <v>5</v>
      </c>
      <c r="H112" s="7">
        <f>'🤖 GPT 4o'!I12</f>
        <v>1</v>
      </c>
      <c r="I112" s="7">
        <f>'🤖 GPT 4o'!J12</f>
        <v>5</v>
      </c>
    </row>
    <row r="113">
      <c r="A113" s="91" t="str">
        <f>'🤖 GPT 4o'!$A$12</f>
        <v>https://www.berria.eus/euskal-herria/etxelekuren-kargugabetzea-kritikatu-dute-errobiko-bederatzi-hautetsik_2125690_102.html</v>
      </c>
      <c r="B113" s="6" t="s">
        <v>23</v>
      </c>
      <c r="C113" s="7" t="str">
        <f>'🤖 GPT 4o'!C13</f>
        <v>CoT</v>
      </c>
      <c r="D113" s="92">
        <f>'🤖 GPT 4o'!E13</f>
        <v>0.1598837209</v>
      </c>
      <c r="E113" s="7">
        <f>'🤖 GPT 4o'!F13</f>
        <v>4</v>
      </c>
      <c r="F113" s="7">
        <f>'🤖 GPT 4o'!G13</f>
        <v>5</v>
      </c>
      <c r="G113" s="7">
        <f>'🤖 GPT 4o'!H13</f>
        <v>4</v>
      </c>
      <c r="H113" s="7">
        <f>'🤖 GPT 4o'!I13</f>
        <v>4</v>
      </c>
      <c r="I113" s="7">
        <f>'🤖 GPT 4o'!J13</f>
        <v>5</v>
      </c>
    </row>
    <row r="114">
      <c r="A114" s="91" t="str">
        <f>'🤖 GPT 4o'!$A$12</f>
        <v>https://www.berria.eus/euskal-herria/etxelekuren-kargugabetzea-kritikatu-dute-errobiko-bederatzi-hautetsik_2125690_102.html</v>
      </c>
      <c r="B114" s="6" t="s">
        <v>23</v>
      </c>
      <c r="C114" s="7" t="str">
        <f>'🤖 GPT 4o'!C14</f>
        <v>5W1H</v>
      </c>
      <c r="D114" s="92">
        <f>'🤖 GPT 4o'!E14</f>
        <v>0.4970930233</v>
      </c>
      <c r="E114" s="7">
        <f>'🤖 GPT 4o'!F14</f>
        <v>3</v>
      </c>
      <c r="F114" s="7">
        <f>'🤖 GPT 4o'!G14</f>
        <v>4</v>
      </c>
      <c r="G114" s="7">
        <f>'🤖 GPT 4o'!H14</f>
        <v>4</v>
      </c>
      <c r="H114" s="7">
        <f>'🤖 GPT 4o'!I14</f>
        <v>3</v>
      </c>
      <c r="I114" s="7">
        <f>'🤖 GPT 4o'!J14</f>
        <v>5</v>
      </c>
    </row>
    <row r="115">
      <c r="A115" s="91" t="str">
        <f>'🤖 GPT 4o'!$A$12</f>
        <v>https://www.berria.eus/euskal-herria/etxelekuren-kargugabetzea-kritikatu-dute-errobiko-bederatzi-hautetsik_2125690_102.html</v>
      </c>
      <c r="B115" s="6" t="s">
        <v>23</v>
      </c>
      <c r="C115" s="7" t="str">
        <f>'🤖 GPT 4o'!C15</f>
        <v>tldr</v>
      </c>
      <c r="D115" s="92">
        <f>'🤖 GPT 4o'!E15</f>
        <v>0.1918604651</v>
      </c>
      <c r="E115" s="7">
        <f>'🤖 GPT 4o'!F15</f>
        <v>5</v>
      </c>
      <c r="F115" s="7">
        <f>'🤖 GPT 4o'!G15</f>
        <v>5</v>
      </c>
      <c r="G115" s="7">
        <f>'🤖 GPT 4o'!H15</f>
        <v>5</v>
      </c>
      <c r="H115" s="7">
        <f>'🤖 GPT 4o'!I15</f>
        <v>5</v>
      </c>
      <c r="I115" s="7">
        <f>'🤖 GPT 4o'!J15</f>
        <v>5</v>
      </c>
    </row>
    <row r="116">
      <c r="A116" s="25"/>
      <c r="B116" s="6"/>
      <c r="C116" s="7"/>
      <c r="D116" s="3"/>
      <c r="E116" s="7"/>
      <c r="F116" s="7"/>
      <c r="G116" s="7"/>
      <c r="H116" s="7"/>
      <c r="I116" s="7"/>
    </row>
    <row r="117">
      <c r="A117" s="91" t="str">
        <f>'🤖 GPT 4o'!$A$17</f>
        <v>https://www.berria.eus/euskal-herria/itziar-lakari-eman-diote-eusko-ikaskuntzaren-saria_2125317_102.html</v>
      </c>
      <c r="B117" s="6" t="s">
        <v>23</v>
      </c>
      <c r="C117" s="7" t="str">
        <f>'🤖 GPT 4o'!C17</f>
        <v>Base</v>
      </c>
      <c r="D117" s="92">
        <f>'🤖 GPT 4o'!E17</f>
        <v>0.9948186528</v>
      </c>
      <c r="E117" s="7">
        <f>'🤖 GPT 4o'!F17</f>
        <v>4</v>
      </c>
      <c r="F117" s="7">
        <f>'🤖 GPT 4o'!G17</f>
        <v>5</v>
      </c>
      <c r="G117" s="7">
        <f>'🤖 GPT 4o'!H17</f>
        <v>4</v>
      </c>
      <c r="H117" s="7">
        <f>'🤖 GPT 4o'!I17</f>
        <v>1</v>
      </c>
      <c r="I117" s="7">
        <f>'🤖 GPT 4o'!J17</f>
        <v>5</v>
      </c>
    </row>
    <row r="118">
      <c r="A118" s="91" t="str">
        <f>'🤖 GPT 4o'!$A$17</f>
        <v>https://www.berria.eus/euskal-herria/itziar-lakari-eman-diote-eusko-ikaskuntzaren-saria_2125317_102.html</v>
      </c>
      <c r="B118" s="6" t="s">
        <v>23</v>
      </c>
      <c r="C118" s="7" t="str">
        <f>'🤖 GPT 4o'!C18</f>
        <v>CoT</v>
      </c>
      <c r="D118" s="92">
        <f>'🤖 GPT 4o'!E18</f>
        <v>0.3626943005</v>
      </c>
      <c r="E118" s="7">
        <f>'🤖 GPT 4o'!F18</f>
        <v>4</v>
      </c>
      <c r="F118" s="7">
        <f>'🤖 GPT 4o'!G18</f>
        <v>4</v>
      </c>
      <c r="G118" s="7">
        <f>'🤖 GPT 4o'!H18</f>
        <v>4</v>
      </c>
      <c r="H118" s="7">
        <f>'🤖 GPT 4o'!I18</f>
        <v>4</v>
      </c>
      <c r="I118" s="7">
        <f>'🤖 GPT 4o'!J18</f>
        <v>5</v>
      </c>
    </row>
    <row r="119">
      <c r="A119" s="91" t="str">
        <f>'🤖 GPT 4o'!$A$17</f>
        <v>https://www.berria.eus/euskal-herria/itziar-lakari-eman-diote-eusko-ikaskuntzaren-saria_2125317_102.html</v>
      </c>
      <c r="B119" s="6" t="s">
        <v>23</v>
      </c>
      <c r="C119" s="7" t="str">
        <f>'🤖 GPT 4o'!C19</f>
        <v>5W1H</v>
      </c>
      <c r="D119" s="92">
        <f>'🤖 GPT 4o'!E19</f>
        <v>0.6787564767</v>
      </c>
      <c r="E119" s="7">
        <f>'🤖 GPT 4o'!F19</f>
        <v>3</v>
      </c>
      <c r="F119" s="7">
        <f>'🤖 GPT 4o'!G19</f>
        <v>4</v>
      </c>
      <c r="G119" s="7">
        <f>'🤖 GPT 4o'!H19</f>
        <v>4</v>
      </c>
      <c r="H119" s="7">
        <f>'🤖 GPT 4o'!I19</f>
        <v>4</v>
      </c>
      <c r="I119" s="7">
        <f>'🤖 GPT 4o'!J19</f>
        <v>5</v>
      </c>
    </row>
    <row r="120">
      <c r="A120" s="91" t="str">
        <f>'🤖 GPT 4o'!$A$17</f>
        <v>https://www.berria.eus/euskal-herria/itziar-lakari-eman-diote-eusko-ikaskuntzaren-saria_2125317_102.html</v>
      </c>
      <c r="B120" s="6" t="s">
        <v>23</v>
      </c>
      <c r="C120" s="7" t="str">
        <f>'🤖 GPT 4o'!C20</f>
        <v>tldr</v>
      </c>
      <c r="D120" s="92">
        <f>'🤖 GPT 4o'!E20</f>
        <v>0.3471502591</v>
      </c>
      <c r="E120" s="7">
        <f>'🤖 GPT 4o'!F20</f>
        <v>4</v>
      </c>
      <c r="F120" s="7">
        <f>'🤖 GPT 4o'!G20</f>
        <v>5</v>
      </c>
      <c r="G120" s="7">
        <f>'🤖 GPT 4o'!H20</f>
        <v>5</v>
      </c>
      <c r="H120" s="7">
        <f>'🤖 GPT 4o'!I20</f>
        <v>4</v>
      </c>
      <c r="I120" s="7">
        <f>'🤖 GPT 4o'!J20</f>
        <v>5</v>
      </c>
    </row>
    <row r="121">
      <c r="A121" s="25"/>
      <c r="B121" s="6"/>
      <c r="C121" s="7"/>
      <c r="D121" s="3"/>
      <c r="E121" s="7"/>
      <c r="F121" s="7"/>
      <c r="G121" s="7"/>
      <c r="H121" s="7"/>
      <c r="I121" s="7"/>
    </row>
    <row r="122">
      <c r="A122" s="91" t="str">
        <f>'🤖 GPT 4o'!$A$22</f>
        <v>https://www.berria.eus/euskal-herria/sexu-indarkeriaren-biktimentzako-zentro-bat-zabaldu-dute-araban_2124914_102.html</v>
      </c>
      <c r="B122" s="6" t="s">
        <v>23</v>
      </c>
      <c r="C122" s="7" t="str">
        <f>'🤖 GPT 4o'!C22</f>
        <v>Base</v>
      </c>
      <c r="D122" s="92">
        <f>'🤖 GPT 4o'!E22</f>
        <v>0.3582342954</v>
      </c>
      <c r="E122" s="7">
        <f>'🤖 GPT 4o'!F22</f>
        <v>4</v>
      </c>
      <c r="F122" s="7">
        <f>'🤖 GPT 4o'!G22</f>
        <v>4</v>
      </c>
      <c r="G122" s="7">
        <f>'🤖 GPT 4o'!H22</f>
        <v>4</v>
      </c>
      <c r="H122" s="7">
        <f>'🤖 GPT 4o'!I22</f>
        <v>3</v>
      </c>
      <c r="I122" s="7">
        <f>'🤖 GPT 4o'!J22</f>
        <v>4</v>
      </c>
    </row>
    <row r="123">
      <c r="A123" s="91" t="str">
        <f>'🤖 GPT 4o'!$A$22</f>
        <v>https://www.berria.eus/euskal-herria/sexu-indarkeriaren-biktimentzako-zentro-bat-zabaldu-dute-araban_2124914_102.html</v>
      </c>
      <c r="B123" s="6" t="s">
        <v>23</v>
      </c>
      <c r="C123" s="7" t="str">
        <f>'🤖 GPT 4o'!C23</f>
        <v>CoT</v>
      </c>
      <c r="D123" s="92">
        <f>'🤖 GPT 4o'!E23</f>
        <v>0.1375212224</v>
      </c>
      <c r="E123" s="7">
        <f>'🤖 GPT 4o'!F23</f>
        <v>4</v>
      </c>
      <c r="F123" s="7">
        <f>'🤖 GPT 4o'!G23</f>
        <v>4</v>
      </c>
      <c r="G123" s="7">
        <f>'🤖 GPT 4o'!H23</f>
        <v>5</v>
      </c>
      <c r="H123" s="7">
        <f>'🤖 GPT 4o'!I23</f>
        <v>4</v>
      </c>
      <c r="I123" s="7">
        <f>'🤖 GPT 4o'!J23</f>
        <v>3</v>
      </c>
    </row>
    <row r="124">
      <c r="A124" s="91" t="str">
        <f>'🤖 GPT 4o'!$A$22</f>
        <v>https://www.berria.eus/euskal-herria/sexu-indarkeriaren-biktimentzako-zentro-bat-zabaldu-dute-araban_2124914_102.html</v>
      </c>
      <c r="B124" s="6" t="s">
        <v>23</v>
      </c>
      <c r="C124" s="7" t="str">
        <f>'🤖 GPT 4o'!C24</f>
        <v>5W1H</v>
      </c>
      <c r="D124" s="92">
        <f>'🤖 GPT 4o'!E24</f>
        <v>0.2512733447</v>
      </c>
      <c r="E124" s="7">
        <f>'🤖 GPT 4o'!F24</f>
        <v>3</v>
      </c>
      <c r="F124" s="7">
        <f>'🤖 GPT 4o'!G24</f>
        <v>3</v>
      </c>
      <c r="G124" s="7">
        <f>'🤖 GPT 4o'!H24</f>
        <v>5</v>
      </c>
      <c r="H124" s="7">
        <f>'🤖 GPT 4o'!I24</f>
        <v>3</v>
      </c>
      <c r="I124" s="7">
        <f>'🤖 GPT 4o'!J24</f>
        <v>4</v>
      </c>
    </row>
    <row r="125">
      <c r="A125" s="91" t="str">
        <f>'🤖 GPT 4o'!$A$22</f>
        <v>https://www.berria.eus/euskal-herria/sexu-indarkeriaren-biktimentzako-zentro-bat-zabaldu-dute-araban_2124914_102.html</v>
      </c>
      <c r="B125" s="6" t="s">
        <v>23</v>
      </c>
      <c r="C125" s="7" t="str">
        <f>'🤖 GPT 4o'!C25</f>
        <v>tldr</v>
      </c>
      <c r="D125" s="92">
        <f>'🤖 GPT 4o'!E25</f>
        <v>0.1154499151</v>
      </c>
      <c r="E125" s="7">
        <f>'🤖 GPT 4o'!F25</f>
        <v>4</v>
      </c>
      <c r="F125" s="7">
        <f>'🤖 GPT 4o'!G25</f>
        <v>4</v>
      </c>
      <c r="G125" s="7">
        <f>'🤖 GPT 4o'!H25</f>
        <v>5</v>
      </c>
      <c r="H125" s="7">
        <f>'🤖 GPT 4o'!I25</f>
        <v>4</v>
      </c>
      <c r="I125" s="7">
        <f>'🤖 GPT 4o'!J25</f>
        <v>3</v>
      </c>
    </row>
    <row r="126">
      <c r="A126" s="25"/>
      <c r="B126" s="6"/>
      <c r="C126" s="7"/>
      <c r="D126" s="3"/>
      <c r="E126" s="7"/>
      <c r="F126" s="7"/>
      <c r="G126" s="7"/>
      <c r="H126" s="7"/>
      <c r="I126" s="7"/>
    </row>
    <row r="127">
      <c r="A127" s="25"/>
      <c r="B127" s="6"/>
      <c r="C127" s="7"/>
      <c r="D127" s="3"/>
      <c r="E127" s="7"/>
      <c r="F127" s="7"/>
      <c r="G127" s="7"/>
      <c r="H127" s="7"/>
      <c r="I127" s="7"/>
    </row>
    <row r="128">
      <c r="A128" s="25"/>
      <c r="B128" s="6"/>
      <c r="C128" s="7"/>
      <c r="D128" s="3"/>
      <c r="E128" s="7"/>
      <c r="F128" s="7"/>
      <c r="G128" s="7"/>
      <c r="H128" s="7"/>
      <c r="I128" s="7"/>
    </row>
    <row r="129">
      <c r="A129" s="25"/>
      <c r="B129" s="6"/>
      <c r="C129" s="7"/>
      <c r="D129" s="3"/>
      <c r="E129" s="7"/>
      <c r="F129" s="7"/>
      <c r="G129" s="7"/>
      <c r="H129" s="7"/>
      <c r="I129" s="7"/>
    </row>
    <row r="130">
      <c r="A130" s="25"/>
      <c r="B130" s="6"/>
      <c r="C130" s="7"/>
      <c r="D130" s="3"/>
      <c r="E130" s="7"/>
      <c r="F130" s="7"/>
      <c r="G130" s="7"/>
      <c r="H130" s="7"/>
      <c r="I130" s="7"/>
    </row>
    <row r="131">
      <c r="A131" s="25"/>
      <c r="B131" s="6"/>
      <c r="C131" s="7"/>
      <c r="D131" s="3"/>
      <c r="E131" s="7"/>
      <c r="F131" s="7"/>
      <c r="G131" s="7"/>
      <c r="H131" s="7"/>
      <c r="I131" s="7"/>
    </row>
    <row r="132">
      <c r="A132" s="25"/>
      <c r="B132" s="6"/>
      <c r="C132" s="7"/>
      <c r="D132" s="3"/>
      <c r="E132" s="7"/>
      <c r="F132" s="7"/>
      <c r="G132" s="7"/>
      <c r="H132" s="7"/>
      <c r="I132" s="7"/>
    </row>
    <row r="133">
      <c r="A133" s="25"/>
      <c r="B133" s="6"/>
      <c r="C133" s="7"/>
      <c r="D133" s="3"/>
      <c r="E133" s="7"/>
      <c r="F133" s="7"/>
      <c r="G133" s="7"/>
      <c r="H133" s="7"/>
      <c r="I133" s="7"/>
    </row>
    <row r="134">
      <c r="A134" s="25"/>
      <c r="B134" s="6"/>
      <c r="C134" s="7"/>
      <c r="D134" s="3"/>
      <c r="E134" s="7"/>
      <c r="F134" s="7"/>
      <c r="G134" s="7"/>
      <c r="H134" s="7"/>
      <c r="I134" s="7"/>
    </row>
    <row r="135">
      <c r="A135" s="25"/>
      <c r="B135" s="6"/>
      <c r="C135" s="7"/>
      <c r="D135" s="3"/>
      <c r="E135" s="7"/>
      <c r="F135" s="7"/>
      <c r="G135" s="7"/>
      <c r="H135" s="7"/>
      <c r="I135" s="7"/>
    </row>
    <row r="136">
      <c r="A136" s="25"/>
      <c r="B136" s="6"/>
      <c r="C136" s="7"/>
      <c r="D136" s="3"/>
      <c r="E136" s="7"/>
      <c r="F136" s="7"/>
      <c r="G136" s="7"/>
      <c r="H136" s="7"/>
      <c r="I136" s="7"/>
    </row>
    <row r="137">
      <c r="A137" s="25"/>
      <c r="B137" s="6"/>
      <c r="C137" s="7"/>
      <c r="D137" s="3"/>
      <c r="E137" s="7"/>
      <c r="F137" s="7"/>
      <c r="G137" s="7"/>
      <c r="H137" s="7"/>
      <c r="I137" s="7"/>
    </row>
    <row r="138">
      <c r="A138" s="25"/>
      <c r="B138" s="6"/>
      <c r="C138" s="7"/>
      <c r="D138" s="3"/>
      <c r="E138" s="7"/>
      <c r="F138" s="7"/>
      <c r="G138" s="7"/>
      <c r="H138" s="7"/>
      <c r="I138" s="7"/>
    </row>
    <row r="139">
      <c r="A139" s="25"/>
      <c r="B139" s="6"/>
      <c r="C139" s="7"/>
      <c r="D139" s="3"/>
      <c r="E139" s="7"/>
      <c r="F139" s="7"/>
      <c r="G139" s="7"/>
      <c r="H139" s="7"/>
      <c r="I139" s="7"/>
    </row>
    <row r="140">
      <c r="A140" s="25"/>
      <c r="B140" s="6"/>
      <c r="C140" s="7"/>
      <c r="D140" s="3"/>
      <c r="E140" s="7"/>
      <c r="F140" s="7"/>
      <c r="G140" s="7"/>
      <c r="H140" s="7"/>
      <c r="I140" s="7"/>
    </row>
    <row r="141">
      <c r="A141" s="25"/>
      <c r="B141" s="6"/>
      <c r="C141" s="7"/>
      <c r="D141" s="3"/>
      <c r="E141" s="7"/>
      <c r="F141" s="7"/>
      <c r="G141" s="7"/>
      <c r="H141" s="7"/>
      <c r="I141" s="7"/>
    </row>
    <row r="142">
      <c r="A142" s="25"/>
      <c r="B142" s="6"/>
      <c r="C142" s="7"/>
      <c r="D142" s="3"/>
      <c r="E142" s="7"/>
      <c r="F142" s="7"/>
      <c r="G142" s="7"/>
      <c r="H142" s="7"/>
      <c r="I142" s="7"/>
    </row>
    <row r="143">
      <c r="A143" s="25"/>
      <c r="B143" s="6"/>
      <c r="C143" s="7"/>
      <c r="D143" s="3"/>
      <c r="E143" s="7"/>
      <c r="F143" s="7"/>
      <c r="G143" s="7"/>
      <c r="H143" s="7"/>
      <c r="I143" s="7"/>
    </row>
    <row r="144">
      <c r="A144" s="25"/>
      <c r="B144" s="6"/>
      <c r="C144" s="7"/>
      <c r="D144" s="3"/>
      <c r="E144" s="7"/>
      <c r="F144" s="7"/>
      <c r="G144" s="7"/>
      <c r="H144" s="7"/>
      <c r="I144" s="7"/>
    </row>
    <row r="145">
      <c r="A145" s="25"/>
      <c r="B145" s="6"/>
      <c r="C145" s="7"/>
      <c r="D145" s="3"/>
      <c r="E145" s="7"/>
      <c r="F145" s="7"/>
      <c r="G145" s="7"/>
      <c r="H145" s="7"/>
      <c r="I145" s="7"/>
    </row>
    <row r="146">
      <c r="A146" s="25"/>
      <c r="B146" s="6"/>
      <c r="C146" s="7"/>
      <c r="D146" s="3"/>
      <c r="E146" s="7"/>
      <c r="F146" s="7"/>
      <c r="G146" s="7"/>
      <c r="H146" s="7"/>
      <c r="I146" s="7"/>
    </row>
    <row r="147">
      <c r="A147" s="25"/>
      <c r="B147" s="6"/>
      <c r="C147" s="7"/>
      <c r="D147" s="3"/>
      <c r="E147" s="7"/>
      <c r="F147" s="7"/>
      <c r="G147" s="7"/>
      <c r="H147" s="7"/>
      <c r="I147" s="7"/>
    </row>
    <row r="148">
      <c r="A148" s="25"/>
      <c r="B148" s="6"/>
      <c r="C148" s="7"/>
      <c r="D148" s="3"/>
      <c r="E148" s="7"/>
      <c r="F148" s="7"/>
      <c r="G148" s="7"/>
      <c r="H148" s="7"/>
      <c r="I148" s="7"/>
    </row>
    <row r="149">
      <c r="A149" s="25"/>
      <c r="B149" s="6"/>
      <c r="C149" s="7"/>
      <c r="D149" s="3"/>
      <c r="E149" s="7"/>
      <c r="F149" s="7"/>
      <c r="G149" s="7"/>
      <c r="H149" s="7"/>
      <c r="I149" s="7"/>
    </row>
    <row r="150">
      <c r="A150" s="25"/>
      <c r="B150" s="6"/>
      <c r="C150" s="7"/>
      <c r="D150" s="3"/>
      <c r="E150" s="7"/>
      <c r="F150" s="7"/>
      <c r="G150" s="7"/>
      <c r="H150" s="7"/>
      <c r="I150" s="7"/>
    </row>
    <row r="151">
      <c r="A151" s="25"/>
      <c r="B151" s="6"/>
      <c r="C151" s="7"/>
      <c r="D151" s="3"/>
      <c r="E151" s="7"/>
      <c r="F151" s="7"/>
      <c r="G151" s="7"/>
      <c r="H151" s="7"/>
      <c r="I151" s="7"/>
    </row>
    <row r="152">
      <c r="A152" s="91" t="str">
        <f>'🤖 Reka Core'!$A$2</f>
        <v>www.berria.eus/euskal-herria/ehunka-herritarrek-etxebarriko-sexu-erasoa-salatu-dute_2126343_102.html</v>
      </c>
      <c r="B152" s="6" t="s">
        <v>24</v>
      </c>
      <c r="C152" s="7" t="str">
        <f>'🤖 Reka Core'!C2</f>
        <v>Base</v>
      </c>
      <c r="D152" s="92">
        <f>'🤖 Reka Core'!E2</f>
        <v>1.169811321</v>
      </c>
      <c r="E152" s="7">
        <f>'🤖 Reka Core'!F2</f>
        <v>5</v>
      </c>
      <c r="F152" s="7">
        <f>'🤖 Reka Core'!G2</f>
        <v>4</v>
      </c>
      <c r="G152" s="7">
        <f>'🤖 Reka Core'!H2</f>
        <v>4</v>
      </c>
      <c r="H152" s="7">
        <f>'🤖 Reka Core'!I2</f>
        <v>2</v>
      </c>
      <c r="I152" s="7">
        <f>'🤖 Reka Core'!J2</f>
        <v>5</v>
      </c>
      <c r="J152" s="11">
        <f>VLOOKUP(B152,'__lookup__'!A:B,2,FALSE)</f>
        <v>4</v>
      </c>
      <c r="K152" s="11">
        <f>VLOOKUP(C152,'__lookup__'!A:B,2,FALSE)</f>
        <v>10</v>
      </c>
    </row>
    <row r="153">
      <c r="A153" s="91" t="str">
        <f>'🤖 Reka Core'!$A$2</f>
        <v>www.berria.eus/euskal-herria/ehunka-herritarrek-etxebarriko-sexu-erasoa-salatu-dute_2126343_102.html</v>
      </c>
      <c r="B153" s="6" t="s">
        <v>24</v>
      </c>
      <c r="C153" s="7" t="str">
        <f>'🤖 Reka Core'!C3</f>
        <v>CoT</v>
      </c>
      <c r="D153" s="92">
        <f>'🤖 Reka Core'!E3</f>
        <v>0.5754716981</v>
      </c>
      <c r="E153" s="7">
        <f>'🤖 Reka Core'!F3</f>
        <v>5</v>
      </c>
      <c r="F153" s="7">
        <f>'🤖 Reka Core'!G3</f>
        <v>4</v>
      </c>
      <c r="G153" s="7">
        <f>'🤖 Reka Core'!H3</f>
        <v>5</v>
      </c>
      <c r="H153" s="7">
        <f>'🤖 Reka Core'!I3</f>
        <v>3</v>
      </c>
      <c r="I153" s="7">
        <f>'🤖 Reka Core'!J3</f>
        <v>5</v>
      </c>
    </row>
    <row r="154">
      <c r="A154" s="91" t="str">
        <f>'🤖 Reka Core'!$A$2</f>
        <v>www.berria.eus/euskal-herria/ehunka-herritarrek-etxebarriko-sexu-erasoa-salatu-dute_2126343_102.html</v>
      </c>
      <c r="B154" s="6" t="s">
        <v>24</v>
      </c>
      <c r="C154" s="7" t="str">
        <f>'🤖 Reka Core'!C4</f>
        <v>5W1H</v>
      </c>
      <c r="D154" s="92">
        <f>'🤖 Reka Core'!E4</f>
        <v>0.8301886792</v>
      </c>
      <c r="E154" s="7">
        <f>'🤖 Reka Core'!F4</f>
        <v>2</v>
      </c>
      <c r="F154" s="7">
        <f>'🤖 Reka Core'!G4</f>
        <v>3</v>
      </c>
      <c r="G154" s="7">
        <f>'🤖 Reka Core'!H4</f>
        <v>5</v>
      </c>
      <c r="H154" s="7">
        <f>'🤖 Reka Core'!I4</f>
        <v>3</v>
      </c>
      <c r="I154" s="7">
        <f>'🤖 Reka Core'!J4</f>
        <v>5</v>
      </c>
    </row>
    <row r="155">
      <c r="A155" s="91" t="str">
        <f>'🤖 Reka Core'!$A$2</f>
        <v>www.berria.eus/euskal-herria/ehunka-herritarrek-etxebarriko-sexu-erasoa-salatu-dute_2126343_102.html</v>
      </c>
      <c r="B155" s="6" t="s">
        <v>24</v>
      </c>
      <c r="C155" s="7" t="str">
        <f>'🤖 Reka Core'!C5</f>
        <v>tldr</v>
      </c>
      <c r="D155" s="92">
        <f>'🤖 Reka Core'!E5</f>
        <v>0.5849056604</v>
      </c>
      <c r="E155" s="7">
        <f>'🤖 Reka Core'!F5</f>
        <v>5</v>
      </c>
      <c r="F155" s="7">
        <f>'🤖 Reka Core'!G5</f>
        <v>4</v>
      </c>
      <c r="G155" s="7">
        <f>'🤖 Reka Core'!H5</f>
        <v>4</v>
      </c>
      <c r="H155" s="7">
        <f>'🤖 Reka Core'!I5</f>
        <v>4</v>
      </c>
      <c r="I155" s="7">
        <f>'🤖 Reka Core'!J5</f>
        <v>5</v>
      </c>
    </row>
    <row r="156">
      <c r="A156" s="25"/>
      <c r="B156" s="6"/>
      <c r="C156" s="7"/>
      <c r="D156" s="3"/>
      <c r="E156" s="7"/>
      <c r="F156" s="7"/>
      <c r="G156" s="7"/>
      <c r="H156" s="7"/>
      <c r="I156" s="7"/>
    </row>
    <row r="157">
      <c r="A157" s="91" t="str">
        <f>'🤖 Reka Core'!$A$7</f>
        <v>https://www.berria.eus/euskal-herria/erramun-baxok-ohorezko-euskaltzaina-zendu-da_2126101_102.html</v>
      </c>
      <c r="B157" s="6" t="s">
        <v>24</v>
      </c>
      <c r="C157" s="7" t="str">
        <f>'🤖 Reka Core'!C7</f>
        <v>Base</v>
      </c>
      <c r="D157" s="92">
        <f>'🤖 Reka Core'!E7</f>
        <v>0.5155963303</v>
      </c>
      <c r="E157" s="7">
        <f>'🤖 Reka Core'!F7</f>
        <v>4</v>
      </c>
      <c r="F157" s="7">
        <f>'🤖 Reka Core'!G7</f>
        <v>4</v>
      </c>
      <c r="G157" s="7">
        <f>'🤖 Reka Core'!H7</f>
        <v>4</v>
      </c>
      <c r="H157" s="7">
        <f>'🤖 Reka Core'!I7</f>
        <v>2</v>
      </c>
      <c r="I157" s="7">
        <f>'🤖 Reka Core'!J7</f>
        <v>5</v>
      </c>
    </row>
    <row r="158">
      <c r="A158" s="91" t="str">
        <f>'🤖 Reka Core'!$A$7</f>
        <v>https://www.berria.eus/euskal-herria/erramun-baxok-ohorezko-euskaltzaina-zendu-da_2126101_102.html</v>
      </c>
      <c r="B158" s="6" t="s">
        <v>24</v>
      </c>
      <c r="C158" s="7" t="str">
        <f>'🤖 Reka Core'!C8</f>
        <v>CoT</v>
      </c>
      <c r="D158" s="92">
        <f>'🤖 Reka Core'!E8</f>
        <v>0.1577981651</v>
      </c>
      <c r="E158" s="7">
        <f>'🤖 Reka Core'!F8</f>
        <v>3</v>
      </c>
      <c r="F158" s="7">
        <f>'🤖 Reka Core'!G8</f>
        <v>5</v>
      </c>
      <c r="G158" s="7">
        <f>'🤖 Reka Core'!H8</f>
        <v>4</v>
      </c>
      <c r="H158" s="7">
        <f>'🤖 Reka Core'!I8</f>
        <v>3</v>
      </c>
      <c r="I158" s="7">
        <f>'🤖 Reka Core'!J8</f>
        <v>4</v>
      </c>
    </row>
    <row r="159">
      <c r="A159" s="91" t="str">
        <f>'🤖 Reka Core'!$A$7</f>
        <v>https://www.berria.eus/euskal-herria/erramun-baxok-ohorezko-euskaltzaina-zendu-da_2126101_102.html</v>
      </c>
      <c r="B159" s="6" t="s">
        <v>24</v>
      </c>
      <c r="C159" s="7" t="str">
        <f>'🤖 Reka Core'!C9</f>
        <v>5W1H</v>
      </c>
      <c r="D159" s="92">
        <f>'🤖 Reka Core'!E9</f>
        <v>0.1321100917</v>
      </c>
      <c r="E159" s="7">
        <f>'🤖 Reka Core'!F9</f>
        <v>2</v>
      </c>
      <c r="F159" s="7">
        <f>'🤖 Reka Core'!G9</f>
        <v>4</v>
      </c>
      <c r="G159" s="7">
        <f>'🤖 Reka Core'!H9</f>
        <v>4</v>
      </c>
      <c r="H159" s="7">
        <f>'🤖 Reka Core'!I9</f>
        <v>4</v>
      </c>
      <c r="I159" s="7">
        <f>'🤖 Reka Core'!J9</f>
        <v>3</v>
      </c>
    </row>
    <row r="160">
      <c r="A160" s="91" t="str">
        <f>'🤖 Reka Core'!$A$7</f>
        <v>https://www.berria.eus/euskal-herria/erramun-baxok-ohorezko-euskaltzaina-zendu-da_2126101_102.html</v>
      </c>
      <c r="B160" s="6" t="s">
        <v>24</v>
      </c>
      <c r="C160" s="7" t="str">
        <f>'🤖 Reka Core'!C10</f>
        <v>tldr</v>
      </c>
      <c r="D160" s="92">
        <f>'🤖 Reka Core'!E10</f>
        <v>0.128440367</v>
      </c>
      <c r="E160" s="7">
        <f>'🤖 Reka Core'!F10</f>
        <v>4</v>
      </c>
      <c r="F160" s="7">
        <f>'🤖 Reka Core'!G10</f>
        <v>5</v>
      </c>
      <c r="G160" s="7">
        <f>'🤖 Reka Core'!H10</f>
        <v>4</v>
      </c>
      <c r="H160" s="7">
        <f>'🤖 Reka Core'!I10</f>
        <v>5</v>
      </c>
      <c r="I160" s="7">
        <f>'🤖 Reka Core'!J10</f>
        <v>5</v>
      </c>
    </row>
    <row r="161">
      <c r="A161" s="25"/>
      <c r="B161" s="6"/>
      <c r="C161" s="7"/>
      <c r="D161" s="3"/>
      <c r="E161" s="7"/>
      <c r="F161" s="7"/>
      <c r="G161" s="7"/>
      <c r="H161" s="7"/>
      <c r="I161" s="7"/>
    </row>
    <row r="162">
      <c r="A162" s="91" t="str">
        <f>'🤖 Reka Core'!$A$12</f>
        <v>https://www.berria.eus/euskal-herria/etxelekuren-kargugabetzea-kritikatu-dute-errobiko-bederatzi-hautetsik_2125690_102.html</v>
      </c>
      <c r="B162" s="6" t="s">
        <v>24</v>
      </c>
      <c r="C162" s="7" t="str">
        <f>'🤖 Reka Core'!C12</f>
        <v>Base</v>
      </c>
      <c r="D162" s="92">
        <f>'🤖 Reka Core'!E12</f>
        <v>0.8110465116</v>
      </c>
      <c r="E162" s="7">
        <f>'🤖 Reka Core'!F12</f>
        <v>4</v>
      </c>
      <c r="F162" s="7">
        <f>'🤖 Reka Core'!G12</f>
        <v>5</v>
      </c>
      <c r="G162" s="7">
        <f>'🤖 Reka Core'!H12</f>
        <v>4</v>
      </c>
      <c r="H162" s="7">
        <f>'🤖 Reka Core'!I12</f>
        <v>1</v>
      </c>
      <c r="I162" s="7">
        <f>'🤖 Reka Core'!J12</f>
        <v>5</v>
      </c>
    </row>
    <row r="163">
      <c r="A163" s="91" t="str">
        <f>'🤖 Reka Core'!$A$12</f>
        <v>https://www.berria.eus/euskal-herria/etxelekuren-kargugabetzea-kritikatu-dute-errobiko-bederatzi-hautetsik_2125690_102.html</v>
      </c>
      <c r="B163" s="6" t="s">
        <v>24</v>
      </c>
      <c r="C163" s="7" t="str">
        <f>'🤖 Reka Core'!C13</f>
        <v>CoT</v>
      </c>
      <c r="D163" s="92">
        <f>'🤖 Reka Core'!E13</f>
        <v>0.2034883721</v>
      </c>
      <c r="E163" s="7">
        <f>'🤖 Reka Core'!F13</f>
        <v>4</v>
      </c>
      <c r="F163" s="7">
        <f>'🤖 Reka Core'!G13</f>
        <v>4</v>
      </c>
      <c r="G163" s="7">
        <f>'🤖 Reka Core'!H13</f>
        <v>4</v>
      </c>
      <c r="H163" s="7">
        <f>'🤖 Reka Core'!I13</f>
        <v>3</v>
      </c>
      <c r="I163" s="7">
        <f>'🤖 Reka Core'!J13</f>
        <v>4</v>
      </c>
    </row>
    <row r="164">
      <c r="A164" s="91" t="str">
        <f>'🤖 Reka Core'!$A$12</f>
        <v>https://www.berria.eus/euskal-herria/etxelekuren-kargugabetzea-kritikatu-dute-errobiko-bederatzi-hautetsik_2125690_102.html</v>
      </c>
      <c r="B164" s="6" t="s">
        <v>24</v>
      </c>
      <c r="C164" s="7" t="str">
        <f>'🤖 Reka Core'!C14</f>
        <v>5W1H</v>
      </c>
      <c r="D164" s="92">
        <f>'🤖 Reka Core'!E14</f>
        <v>0.4331395349</v>
      </c>
      <c r="E164" s="7">
        <f>'🤖 Reka Core'!F14</f>
        <v>3</v>
      </c>
      <c r="F164" s="7">
        <f>'🤖 Reka Core'!G14</f>
        <v>3</v>
      </c>
      <c r="G164" s="7">
        <f>'🤖 Reka Core'!H14</f>
        <v>4</v>
      </c>
      <c r="H164" s="7">
        <f>'🤖 Reka Core'!I14</f>
        <v>3</v>
      </c>
      <c r="I164" s="7">
        <f>'🤖 Reka Core'!J14</f>
        <v>5</v>
      </c>
    </row>
    <row r="165">
      <c r="A165" s="91" t="str">
        <f>'🤖 Reka Core'!$A$12</f>
        <v>https://www.berria.eus/euskal-herria/etxelekuren-kargugabetzea-kritikatu-dute-errobiko-bederatzi-hautetsik_2125690_102.html</v>
      </c>
      <c r="B165" s="6" t="s">
        <v>24</v>
      </c>
      <c r="C165" s="7" t="str">
        <f>'🤖 Reka Core'!C15</f>
        <v>tldr</v>
      </c>
      <c r="D165" s="92">
        <f>'🤖 Reka Core'!E15</f>
        <v>0.1947674419</v>
      </c>
      <c r="E165" s="7">
        <f>'🤖 Reka Core'!F15</f>
        <v>4</v>
      </c>
      <c r="F165" s="7">
        <f>'🤖 Reka Core'!G15</f>
        <v>5</v>
      </c>
      <c r="G165" s="7">
        <f>'🤖 Reka Core'!H15</f>
        <v>3</v>
      </c>
      <c r="H165" s="7">
        <f>'🤖 Reka Core'!I15</f>
        <v>5</v>
      </c>
      <c r="I165" s="7">
        <f>'🤖 Reka Core'!J15</f>
        <v>4</v>
      </c>
    </row>
    <row r="166">
      <c r="A166" s="25"/>
      <c r="B166" s="6"/>
      <c r="C166" s="7"/>
      <c r="D166" s="3"/>
      <c r="E166" s="7"/>
      <c r="F166" s="7"/>
      <c r="G166" s="7"/>
      <c r="H166" s="7"/>
      <c r="I166" s="7"/>
    </row>
    <row r="167">
      <c r="A167" s="91" t="str">
        <f>'🤖 Reka Core'!$A$17</f>
        <v>https://www.berria.eus/euskal-herria/itziar-lakari-eman-diote-eusko-ikaskuntzaren-saria_2125317_102.html</v>
      </c>
      <c r="B167" s="6" t="s">
        <v>24</v>
      </c>
      <c r="C167" s="7" t="str">
        <f>'🤖 Reka Core'!C17</f>
        <v>Base</v>
      </c>
      <c r="D167" s="92">
        <f>'🤖 Reka Core'!E17</f>
        <v>0.9067357513</v>
      </c>
      <c r="E167" s="7">
        <f>'🤖 Reka Core'!F17</f>
        <v>4</v>
      </c>
      <c r="F167" s="7">
        <f>'🤖 Reka Core'!G17</f>
        <v>4</v>
      </c>
      <c r="G167" s="7">
        <f>'🤖 Reka Core'!H17</f>
        <v>5</v>
      </c>
      <c r="H167" s="7">
        <f>'🤖 Reka Core'!I17</f>
        <v>1</v>
      </c>
      <c r="I167" s="7">
        <f>'🤖 Reka Core'!J17</f>
        <v>5</v>
      </c>
    </row>
    <row r="168">
      <c r="A168" s="91" t="str">
        <f>'🤖 Reka Core'!$A$17</f>
        <v>https://www.berria.eus/euskal-herria/itziar-lakari-eman-diote-eusko-ikaskuntzaren-saria_2125317_102.html</v>
      </c>
      <c r="B168" s="6" t="s">
        <v>24</v>
      </c>
      <c r="C168" s="7" t="str">
        <f>'🤖 Reka Core'!C18</f>
        <v>CoT</v>
      </c>
      <c r="D168" s="92">
        <f>'🤖 Reka Core'!E18</f>
        <v>0.3316062176</v>
      </c>
      <c r="E168" s="7">
        <f>'🤖 Reka Core'!F18</f>
        <v>4</v>
      </c>
      <c r="F168" s="7">
        <f>'🤖 Reka Core'!G18</f>
        <v>4</v>
      </c>
      <c r="G168" s="7">
        <f>'🤖 Reka Core'!H18</f>
        <v>5</v>
      </c>
      <c r="H168" s="7">
        <f>'🤖 Reka Core'!I18</f>
        <v>3</v>
      </c>
      <c r="I168" s="7">
        <f>'🤖 Reka Core'!J18</f>
        <v>3</v>
      </c>
    </row>
    <row r="169">
      <c r="A169" s="91" t="str">
        <f>'🤖 Reka Core'!$A$17</f>
        <v>https://www.berria.eus/euskal-herria/itziar-lakari-eman-diote-eusko-ikaskuntzaren-saria_2125317_102.html</v>
      </c>
      <c r="B169" s="6" t="s">
        <v>24</v>
      </c>
      <c r="C169" s="7" t="str">
        <f>'🤖 Reka Core'!C19</f>
        <v>5W1H</v>
      </c>
      <c r="D169" s="92">
        <f>'🤖 Reka Core'!E19</f>
        <v>0.6113989637</v>
      </c>
      <c r="E169" s="7">
        <f>'🤖 Reka Core'!F19</f>
        <v>3</v>
      </c>
      <c r="F169" s="7">
        <f>'🤖 Reka Core'!G19</f>
        <v>4</v>
      </c>
      <c r="G169" s="7">
        <f>'🤖 Reka Core'!H19</f>
        <v>5</v>
      </c>
      <c r="H169" s="7">
        <f>'🤖 Reka Core'!I19</f>
        <v>3</v>
      </c>
      <c r="I169" s="7">
        <f>'🤖 Reka Core'!J19</f>
        <v>5</v>
      </c>
    </row>
    <row r="170">
      <c r="A170" s="91" t="str">
        <f>'🤖 Reka Core'!$A$17</f>
        <v>https://www.berria.eus/euskal-herria/itziar-lakari-eman-diote-eusko-ikaskuntzaren-saria_2125317_102.html</v>
      </c>
      <c r="B170" s="6" t="s">
        <v>24</v>
      </c>
      <c r="C170" s="7" t="str">
        <f>'🤖 Reka Core'!C20</f>
        <v>tldr</v>
      </c>
      <c r="D170" s="92">
        <f>'🤖 Reka Core'!E20</f>
        <v>0.3523316062</v>
      </c>
      <c r="E170" s="7">
        <f>'🤖 Reka Core'!F20</f>
        <v>4</v>
      </c>
      <c r="F170" s="7">
        <f>'🤖 Reka Core'!G20</f>
        <v>4</v>
      </c>
      <c r="G170" s="7">
        <f>'🤖 Reka Core'!H20</f>
        <v>5</v>
      </c>
      <c r="H170" s="7">
        <f>'🤖 Reka Core'!I20</f>
        <v>4</v>
      </c>
      <c r="I170" s="7">
        <f>'🤖 Reka Core'!J20</f>
        <v>5</v>
      </c>
    </row>
    <row r="171">
      <c r="A171" s="25"/>
      <c r="B171" s="6"/>
      <c r="C171" s="7"/>
      <c r="D171" s="3"/>
      <c r="E171" s="7"/>
      <c r="F171" s="7"/>
      <c r="G171" s="7"/>
      <c r="H171" s="7"/>
      <c r="I171" s="7"/>
    </row>
    <row r="172">
      <c r="A172" s="91" t="str">
        <f>'🤖 Reka Core'!$A$22</f>
        <v>https://www.berria.eus/euskal-herria/sexu-indarkeriaren-biktimentzako-zentro-bat-zabaldu-dute-araban_2124914_102.html</v>
      </c>
      <c r="B172" s="6" t="s">
        <v>24</v>
      </c>
      <c r="C172" s="7" t="str">
        <f>'🤖 Reka Core'!C22</f>
        <v>Base</v>
      </c>
      <c r="D172" s="92">
        <f>'🤖 Reka Core'!E22</f>
        <v>0.3463497453</v>
      </c>
      <c r="E172" s="7">
        <f>'🤖 Reka Core'!F22</f>
        <v>4</v>
      </c>
      <c r="F172" s="7">
        <f>'🤖 Reka Core'!G22</f>
        <v>4</v>
      </c>
      <c r="G172" s="7">
        <f>'🤖 Reka Core'!H22</f>
        <v>5</v>
      </c>
      <c r="H172" s="7">
        <f>'🤖 Reka Core'!I22</f>
        <v>3</v>
      </c>
      <c r="I172" s="7">
        <f>'🤖 Reka Core'!J22</f>
        <v>5</v>
      </c>
    </row>
    <row r="173">
      <c r="A173" s="91" t="str">
        <f>'🤖 Reka Core'!$A$22</f>
        <v>https://www.berria.eus/euskal-herria/sexu-indarkeriaren-biktimentzako-zentro-bat-zabaldu-dute-araban_2124914_102.html</v>
      </c>
      <c r="B173" s="6" t="s">
        <v>24</v>
      </c>
      <c r="C173" s="7" t="str">
        <f>'🤖 Reka Core'!C23</f>
        <v>CoT</v>
      </c>
      <c r="D173" s="92">
        <f>'🤖 Reka Core'!E23</f>
        <v>0.1544991511</v>
      </c>
      <c r="E173" s="7">
        <f>'🤖 Reka Core'!F23</f>
        <v>4</v>
      </c>
      <c r="F173" s="7">
        <f>'🤖 Reka Core'!G23</f>
        <v>4</v>
      </c>
      <c r="G173" s="7">
        <f>'🤖 Reka Core'!H23</f>
        <v>5</v>
      </c>
      <c r="H173" s="7">
        <f>'🤖 Reka Core'!I23</f>
        <v>3</v>
      </c>
      <c r="I173" s="7">
        <f>'🤖 Reka Core'!J23</f>
        <v>3</v>
      </c>
    </row>
    <row r="174">
      <c r="A174" s="91" t="str">
        <f>'🤖 Reka Core'!$A$22</f>
        <v>https://www.berria.eus/euskal-herria/sexu-indarkeriaren-biktimentzako-zentro-bat-zabaldu-dute-araban_2124914_102.html</v>
      </c>
      <c r="B174" s="6" t="s">
        <v>24</v>
      </c>
      <c r="C174" s="7" t="str">
        <f>'🤖 Reka Core'!C24</f>
        <v>5W1H</v>
      </c>
      <c r="D174" s="92">
        <f>'🤖 Reka Core'!E24</f>
        <v>0.2971137521</v>
      </c>
      <c r="E174" s="7">
        <f>'🤖 Reka Core'!F24</f>
        <v>3</v>
      </c>
      <c r="F174" s="7">
        <f>'🤖 Reka Core'!G24</f>
        <v>5</v>
      </c>
      <c r="G174" s="7">
        <f>'🤖 Reka Core'!H24</f>
        <v>5</v>
      </c>
      <c r="H174" s="7">
        <f>'🤖 Reka Core'!I24</f>
        <v>3</v>
      </c>
      <c r="I174" s="7">
        <f>'🤖 Reka Core'!J24</f>
        <v>4</v>
      </c>
    </row>
    <row r="175">
      <c r="A175" s="91" t="str">
        <f>'🤖 Reka Core'!$A$22</f>
        <v>https://www.berria.eus/euskal-herria/sexu-indarkeriaren-biktimentzako-zentro-bat-zabaldu-dute-araban_2124914_102.html</v>
      </c>
      <c r="B175" s="6" t="s">
        <v>24</v>
      </c>
      <c r="C175" s="7" t="str">
        <f>'🤖 Reka Core'!C25</f>
        <v>tldr</v>
      </c>
      <c r="D175" s="92">
        <f>'🤖 Reka Core'!E25</f>
        <v>0.1460101868</v>
      </c>
      <c r="E175" s="7">
        <f>'🤖 Reka Core'!F25</f>
        <v>4</v>
      </c>
      <c r="F175" s="7">
        <f>'🤖 Reka Core'!G25</f>
        <v>5</v>
      </c>
      <c r="G175" s="7">
        <f>'🤖 Reka Core'!H25</f>
        <v>4</v>
      </c>
      <c r="H175" s="7">
        <f>'🤖 Reka Core'!I25</f>
        <v>4</v>
      </c>
      <c r="I175" s="7">
        <f>'🤖 Reka Core'!J25</f>
        <v>3</v>
      </c>
    </row>
    <row r="176">
      <c r="A176" s="25"/>
      <c r="B176" s="6"/>
      <c r="C176" s="7"/>
      <c r="D176" s="3"/>
      <c r="E176" s="7"/>
      <c r="F176" s="7"/>
      <c r="G176" s="7"/>
      <c r="H176" s="7"/>
      <c r="I176" s="7"/>
    </row>
    <row r="177">
      <c r="A177" s="25"/>
      <c r="B177" s="6"/>
      <c r="C177" s="7"/>
      <c r="D177" s="3"/>
      <c r="E177" s="7"/>
      <c r="F177" s="7"/>
      <c r="G177" s="7"/>
      <c r="H177" s="7"/>
      <c r="I177" s="7"/>
    </row>
    <row r="178">
      <c r="A178" s="25"/>
      <c r="B178" s="6"/>
      <c r="C178" s="7"/>
      <c r="D178" s="3"/>
      <c r="E178" s="7"/>
      <c r="F178" s="7"/>
      <c r="G178" s="7"/>
      <c r="H178" s="7"/>
      <c r="I178" s="7"/>
    </row>
    <row r="179">
      <c r="A179" s="25"/>
      <c r="B179" s="6"/>
      <c r="C179" s="7"/>
      <c r="D179" s="3"/>
      <c r="E179" s="7"/>
      <c r="F179" s="7"/>
      <c r="G179" s="7"/>
      <c r="H179" s="7"/>
      <c r="I179" s="7"/>
    </row>
    <row r="180">
      <c r="A180" s="25"/>
      <c r="B180" s="6"/>
      <c r="C180" s="7"/>
      <c r="D180" s="3"/>
      <c r="E180" s="7"/>
      <c r="F180" s="7"/>
      <c r="G180" s="7"/>
      <c r="H180" s="7"/>
      <c r="I180" s="7"/>
    </row>
    <row r="181">
      <c r="A181" s="25"/>
      <c r="B181" s="6"/>
      <c r="C181" s="7"/>
      <c r="D181" s="3"/>
      <c r="E181" s="7"/>
      <c r="F181" s="7"/>
      <c r="G181" s="7"/>
      <c r="H181" s="7"/>
      <c r="I181" s="7"/>
    </row>
    <row r="182">
      <c r="A182" s="25"/>
      <c r="B182" s="6"/>
      <c r="C182" s="7"/>
      <c r="D182" s="3"/>
      <c r="E182" s="7"/>
      <c r="F182" s="7"/>
      <c r="G182" s="7"/>
      <c r="H182" s="7"/>
      <c r="I182" s="7"/>
    </row>
    <row r="183">
      <c r="A183" s="25"/>
      <c r="B183" s="6"/>
      <c r="C183" s="7"/>
      <c r="D183" s="3"/>
      <c r="E183" s="7"/>
      <c r="F183" s="7"/>
      <c r="G183" s="7"/>
      <c r="H183" s="7"/>
      <c r="I183" s="7"/>
    </row>
    <row r="184">
      <c r="A184" s="25"/>
      <c r="B184" s="6"/>
      <c r="C184" s="7"/>
      <c r="D184" s="3"/>
      <c r="E184" s="7"/>
      <c r="F184" s="7"/>
      <c r="G184" s="7"/>
      <c r="H184" s="7"/>
      <c r="I184" s="7"/>
    </row>
    <row r="185">
      <c r="A185" s="25"/>
      <c r="B185" s="6"/>
      <c r="C185" s="7"/>
      <c r="D185" s="3"/>
      <c r="E185" s="7"/>
      <c r="F185" s="7"/>
      <c r="G185" s="7"/>
      <c r="H185" s="7"/>
      <c r="I185" s="7"/>
    </row>
    <row r="186">
      <c r="A186" s="25"/>
      <c r="B186" s="6"/>
      <c r="C186" s="7"/>
      <c r="D186" s="3"/>
      <c r="E186" s="7"/>
      <c r="F186" s="7"/>
      <c r="G186" s="7"/>
      <c r="H186" s="7"/>
      <c r="I186" s="7"/>
    </row>
    <row r="187">
      <c r="A187" s="25"/>
      <c r="B187" s="6"/>
      <c r="C187" s="7"/>
      <c r="D187" s="3"/>
      <c r="E187" s="7"/>
      <c r="F187" s="7"/>
      <c r="G187" s="7"/>
      <c r="H187" s="7"/>
      <c r="I187" s="7"/>
    </row>
    <row r="188">
      <c r="A188" s="25"/>
      <c r="B188" s="6"/>
      <c r="C188" s="7"/>
      <c r="D188" s="3"/>
      <c r="E188" s="7"/>
      <c r="F188" s="7"/>
      <c r="G188" s="7"/>
      <c r="H188" s="7"/>
      <c r="I188" s="7"/>
    </row>
    <row r="189">
      <c r="A189" s="25"/>
      <c r="B189" s="6"/>
      <c r="C189" s="7"/>
      <c r="D189" s="3"/>
      <c r="E189" s="7"/>
      <c r="F189" s="7"/>
      <c r="G189" s="7"/>
      <c r="H189" s="7"/>
      <c r="I189" s="7"/>
    </row>
    <row r="190">
      <c r="A190" s="25"/>
      <c r="B190" s="6"/>
      <c r="C190" s="7"/>
      <c r="D190" s="3"/>
      <c r="E190" s="7"/>
      <c r="F190" s="7"/>
      <c r="G190" s="7"/>
      <c r="H190" s="7"/>
      <c r="I190" s="7"/>
    </row>
    <row r="191">
      <c r="A191" s="25"/>
      <c r="B191" s="6"/>
      <c r="C191" s="7"/>
      <c r="D191" s="3"/>
      <c r="E191" s="7"/>
      <c r="F191" s="7"/>
      <c r="G191" s="7"/>
      <c r="H191" s="7"/>
      <c r="I191" s="7"/>
    </row>
    <row r="192">
      <c r="A192" s="25"/>
      <c r="B192" s="6"/>
      <c r="C192" s="7"/>
      <c r="D192" s="3"/>
      <c r="E192" s="7"/>
      <c r="F192" s="7"/>
      <c r="G192" s="7"/>
      <c r="H192" s="7"/>
      <c r="I192" s="7"/>
    </row>
    <row r="193">
      <c r="A193" s="25"/>
      <c r="B193" s="6"/>
      <c r="C193" s="7"/>
      <c r="D193" s="3"/>
      <c r="E193" s="7"/>
      <c r="F193" s="7"/>
      <c r="G193" s="7"/>
      <c r="H193" s="7"/>
      <c r="I193" s="7"/>
    </row>
    <row r="194">
      <c r="A194" s="25"/>
      <c r="B194" s="6"/>
      <c r="C194" s="7"/>
      <c r="D194" s="3"/>
      <c r="E194" s="7"/>
      <c r="F194" s="7"/>
      <c r="G194" s="7"/>
      <c r="H194" s="7"/>
      <c r="I194" s="7"/>
    </row>
    <row r="195">
      <c r="A195" s="25"/>
      <c r="B195" s="6"/>
      <c r="C195" s="7"/>
      <c r="D195" s="3"/>
      <c r="E195" s="7"/>
      <c r="F195" s="7"/>
      <c r="G195" s="7"/>
      <c r="H195" s="7"/>
      <c r="I195" s="7"/>
    </row>
    <row r="196">
      <c r="A196" s="25"/>
      <c r="B196" s="6"/>
      <c r="C196" s="7"/>
      <c r="D196" s="3"/>
      <c r="E196" s="7"/>
      <c r="F196" s="7"/>
      <c r="G196" s="7"/>
      <c r="H196" s="7"/>
      <c r="I196" s="7"/>
    </row>
    <row r="197">
      <c r="A197" s="25"/>
      <c r="B197" s="6"/>
      <c r="C197" s="7"/>
      <c r="D197" s="3"/>
      <c r="E197" s="7"/>
      <c r="F197" s="7"/>
      <c r="G197" s="7"/>
      <c r="H197" s="7"/>
      <c r="I197" s="7"/>
    </row>
    <row r="198">
      <c r="A198" s="25"/>
      <c r="B198" s="6"/>
      <c r="C198" s="7"/>
      <c r="D198" s="3"/>
      <c r="E198" s="7"/>
      <c r="F198" s="7"/>
      <c r="G198" s="7"/>
      <c r="H198" s="7"/>
      <c r="I198" s="7"/>
    </row>
    <row r="199">
      <c r="A199" s="25"/>
      <c r="B199" s="6"/>
      <c r="C199" s="7"/>
      <c r="D199" s="3"/>
      <c r="E199" s="7"/>
      <c r="F199" s="7"/>
      <c r="G199" s="7"/>
      <c r="H199" s="7"/>
      <c r="I199" s="7"/>
    </row>
    <row r="200">
      <c r="A200" s="25"/>
      <c r="B200" s="6"/>
      <c r="C200" s="7"/>
      <c r="D200" s="3"/>
      <c r="E200" s="7"/>
      <c r="F200" s="7"/>
      <c r="G200" s="7"/>
      <c r="H200" s="7"/>
      <c r="I200" s="7"/>
    </row>
    <row r="201">
      <c r="A201" s="25"/>
      <c r="B201" s="3"/>
    </row>
    <row r="202">
      <c r="A202" s="91" t="str">
        <f>'🖐🏾 Human'!A2</f>
        <v>www.berria.eus/euskal-herria/ehunka-herritarrek-etxebarriko-sexu-erasoa-salatu-dute_2126343_102.html</v>
      </c>
      <c r="B202" s="6" t="s">
        <v>15</v>
      </c>
      <c r="C202" s="7" t="str">
        <f>'🖐🏾 Human'!C2</f>
        <v>Heading</v>
      </c>
      <c r="D202" s="92">
        <f>'🖐🏾 Human'!E2</f>
        <v>0.2075471698</v>
      </c>
      <c r="E202" s="7">
        <f>'🖐🏾 Human'!F2</f>
        <v>4</v>
      </c>
      <c r="F202" s="7">
        <f>'🖐🏾 Human'!G2</f>
        <v>4</v>
      </c>
      <c r="G202" s="7">
        <f>'🖐🏾 Human'!H2</f>
        <v>5</v>
      </c>
      <c r="H202" s="7">
        <f>'🖐🏾 Human'!I2</f>
        <v>5</v>
      </c>
      <c r="I202" s="7">
        <f>'🖐🏾 Human'!J2</f>
        <v>2</v>
      </c>
    </row>
    <row r="203">
      <c r="A203" s="25" t="str">
        <f>'🖐🏾 Human'!A3</f>
        <v/>
      </c>
      <c r="B203" s="6" t="s">
        <v>15</v>
      </c>
      <c r="C203" s="7" t="str">
        <f>'🖐🏾 Human'!C3</f>
        <v>Jeremy</v>
      </c>
      <c r="D203" s="92">
        <f>'🖐🏾 Human'!E3</f>
        <v>0.009433962264</v>
      </c>
      <c r="E203" s="7" t="str">
        <f>'🖐🏾 Human'!F3</f>
        <v/>
      </c>
      <c r="F203" s="7" t="str">
        <f>'🖐🏾 Human'!G3</f>
        <v/>
      </c>
      <c r="G203" s="7" t="str">
        <f>'🖐🏾 Human'!H3</f>
        <v/>
      </c>
      <c r="H203" s="7" t="str">
        <f>'🖐🏾 Human'!I3</f>
        <v/>
      </c>
      <c r="I203" s="7" t="str">
        <f>'🖐🏾 Human'!J3</f>
        <v/>
      </c>
    </row>
    <row r="204">
      <c r="A204" s="25"/>
      <c r="B204" s="6"/>
      <c r="C204" s="7"/>
      <c r="D204" s="3"/>
      <c r="E204" s="7"/>
      <c r="F204" s="7"/>
      <c r="G204" s="7"/>
      <c r="H204" s="7"/>
      <c r="I204" s="7"/>
    </row>
    <row r="205">
      <c r="A205" s="91" t="str">
        <f>'🖐🏾 Human'!A5</f>
        <v>https://www.berria.eus/euskal-herria/erramun-baxok-ohorezko-euskaltzaina-zendu-da_2126101_102.html</v>
      </c>
      <c r="B205" s="6" t="s">
        <v>15</v>
      </c>
      <c r="C205" s="7" t="str">
        <f>'🖐🏾 Human'!C5</f>
        <v>Heading</v>
      </c>
      <c r="D205" s="92">
        <f>'🖐🏾 Human'!E5</f>
        <v>0.04036697248</v>
      </c>
      <c r="E205" s="7">
        <f>'🖐🏾 Human'!F5</f>
        <v>4</v>
      </c>
      <c r="F205" s="7">
        <f>'🖐🏾 Human'!G5</f>
        <v>5</v>
      </c>
      <c r="G205" s="7">
        <f>'🖐🏾 Human'!H5</f>
        <v>4</v>
      </c>
      <c r="H205" s="7">
        <f>'🖐🏾 Human'!I5</f>
        <v>5</v>
      </c>
      <c r="I205" s="7">
        <f>'🖐🏾 Human'!J5</f>
        <v>3</v>
      </c>
    </row>
    <row r="206">
      <c r="A206" s="25" t="str">
        <f>'🖐🏾 Human'!A6</f>
        <v/>
      </c>
      <c r="B206" s="6" t="s">
        <v>15</v>
      </c>
      <c r="C206" s="7" t="str">
        <f>'🖐🏾 Human'!C6</f>
        <v>Jeremy</v>
      </c>
      <c r="D206" s="92">
        <f>'🖐🏾 Human'!E6</f>
        <v>0.001834862385</v>
      </c>
      <c r="E206" s="7" t="str">
        <f>'🖐🏾 Human'!F6</f>
        <v/>
      </c>
      <c r="F206" s="7" t="str">
        <f>'🖐🏾 Human'!G6</f>
        <v/>
      </c>
      <c r="G206" s="7" t="str">
        <f>'🖐🏾 Human'!H6</f>
        <v/>
      </c>
      <c r="H206" s="7" t="str">
        <f>'🖐🏾 Human'!I6</f>
        <v/>
      </c>
      <c r="I206" s="7" t="str">
        <f>'🖐🏾 Human'!J6</f>
        <v/>
      </c>
    </row>
    <row r="207">
      <c r="A207" s="25"/>
      <c r="B207" s="6"/>
      <c r="C207" s="7"/>
      <c r="D207" s="3"/>
      <c r="E207" s="7"/>
      <c r="F207" s="7"/>
      <c r="G207" s="7"/>
      <c r="H207" s="7"/>
      <c r="I207" s="7"/>
    </row>
    <row r="208">
      <c r="A208" s="91" t="str">
        <f>'🖐🏾 Human'!A8</f>
        <v>https://www.berria.eus/euskal-herria/etxelekuren-kargugabetzea-kritikatu-dute-errobiko-bederatzi-hautetsik_2125690_102.html</v>
      </c>
      <c r="B208" s="6" t="s">
        <v>15</v>
      </c>
      <c r="C208" s="7" t="str">
        <f>'🖐🏾 Human'!C8</f>
        <v>Heading</v>
      </c>
      <c r="D208" s="92">
        <f>'🖐🏾 Human'!E8</f>
        <v>0.06395348837</v>
      </c>
      <c r="E208" s="7">
        <f>'🖐🏾 Human'!F8</f>
        <v>4</v>
      </c>
      <c r="F208" s="7">
        <f>'🖐🏾 Human'!G8</f>
        <v>5</v>
      </c>
      <c r="G208" s="7">
        <f>'🖐🏾 Human'!H8</f>
        <v>5</v>
      </c>
      <c r="H208" s="7">
        <f>'🖐🏾 Human'!I8</f>
        <v>5</v>
      </c>
      <c r="I208" s="7">
        <f>'🖐🏾 Human'!J8</f>
        <v>3</v>
      </c>
    </row>
    <row r="209">
      <c r="A209" s="25" t="str">
        <f>'🖐🏾 Human'!A9</f>
        <v/>
      </c>
      <c r="B209" s="6" t="s">
        <v>15</v>
      </c>
      <c r="C209" s="7" t="str">
        <f>'🖐🏾 Human'!C9</f>
        <v>Jeremy</v>
      </c>
      <c r="D209" s="92">
        <f>'🖐🏾 Human'!E9</f>
        <v>0.002906976744</v>
      </c>
      <c r="E209" s="7" t="str">
        <f>'🖐🏾 Human'!F9</f>
        <v/>
      </c>
      <c r="F209" s="7" t="str">
        <f>'🖐🏾 Human'!G9</f>
        <v/>
      </c>
      <c r="G209" s="7" t="str">
        <f>'🖐🏾 Human'!H9</f>
        <v/>
      </c>
      <c r="H209" s="7" t="str">
        <f>'🖐🏾 Human'!I9</f>
        <v/>
      </c>
      <c r="I209" s="7" t="str">
        <f>'🖐🏾 Human'!J9</f>
        <v/>
      </c>
    </row>
    <row r="210">
      <c r="A210" s="25"/>
      <c r="B210" s="6"/>
      <c r="C210" s="7"/>
      <c r="D210" s="3"/>
      <c r="E210" s="7"/>
      <c r="F210" s="7"/>
      <c r="G210" s="7"/>
      <c r="H210" s="7"/>
      <c r="I210" s="7"/>
    </row>
    <row r="211">
      <c r="A211" s="91" t="str">
        <f>'🖐🏾 Human'!A11</f>
        <v>https://www.berria.eus/euskal-herria/itziar-lakari-eman-diote-eusko-ikaskuntzaren-saria_2125317_102.html</v>
      </c>
      <c r="B211" s="6" t="s">
        <v>15</v>
      </c>
      <c r="C211" s="7" t="str">
        <f>'🖐🏾 Human'!C11</f>
        <v>Heading</v>
      </c>
      <c r="D211" s="92">
        <f>'🖐🏾 Human'!E11</f>
        <v>0.1813471503</v>
      </c>
      <c r="E211" s="7">
        <f>'🖐🏾 Human'!F11</f>
        <v>4</v>
      </c>
      <c r="F211" s="7">
        <f>'🖐🏾 Human'!G11</f>
        <v>4</v>
      </c>
      <c r="G211" s="7">
        <f>'🖐🏾 Human'!H11</f>
        <v>5</v>
      </c>
      <c r="H211" s="7">
        <f>'🖐🏾 Human'!I11</f>
        <v>5</v>
      </c>
      <c r="I211" s="7">
        <f>'🖐🏾 Human'!J11</f>
        <v>3</v>
      </c>
    </row>
    <row r="212">
      <c r="A212" s="25" t="str">
        <f>'🖐🏾 Human'!A12</f>
        <v/>
      </c>
      <c r="B212" s="6" t="s">
        <v>15</v>
      </c>
      <c r="C212" s="7" t="str">
        <f>'🖐🏾 Human'!C12</f>
        <v>Jeremy</v>
      </c>
      <c r="D212" s="92">
        <f>'🖐🏾 Human'!E12</f>
        <v>0.00518134715</v>
      </c>
      <c r="E212" s="7" t="str">
        <f>'🖐🏾 Human'!F12</f>
        <v/>
      </c>
      <c r="F212" s="7" t="str">
        <f>'🖐🏾 Human'!G12</f>
        <v/>
      </c>
      <c r="G212" s="7" t="str">
        <f>'🖐🏾 Human'!H12</f>
        <v/>
      </c>
      <c r="H212" s="7" t="str">
        <f>'🖐🏾 Human'!I12</f>
        <v/>
      </c>
      <c r="I212" s="7" t="str">
        <f>'🖐🏾 Human'!J12</f>
        <v/>
      </c>
    </row>
    <row r="213">
      <c r="A213" s="25"/>
      <c r="B213" s="6"/>
      <c r="C213" s="7"/>
      <c r="D213" s="3"/>
      <c r="E213" s="7"/>
      <c r="F213" s="7"/>
      <c r="G213" s="7"/>
      <c r="H213" s="7"/>
      <c r="I213" s="7"/>
    </row>
    <row r="214">
      <c r="A214" s="91" t="str">
        <f>'🖐🏾 Human'!A14</f>
        <v>https://www.berria.eus/euskal-herria/sexu-indarkeriaren-biktimentzako-zentro-bat-zabaldu-dute-araban_2124914_102.html</v>
      </c>
      <c r="B214" s="6" t="s">
        <v>15</v>
      </c>
      <c r="C214" s="7" t="str">
        <f>'🖐🏾 Human'!C14</f>
        <v>Heading</v>
      </c>
      <c r="D214" s="92">
        <f>'🖐🏾 Human'!E14</f>
        <v>0.03735144312</v>
      </c>
      <c r="E214" s="7">
        <f>'🖐🏾 Human'!F14</f>
        <v>4</v>
      </c>
      <c r="F214" s="7">
        <f>'🖐🏾 Human'!G14</f>
        <v>5</v>
      </c>
      <c r="G214" s="7">
        <f>'🖐🏾 Human'!H14</f>
        <v>5</v>
      </c>
      <c r="H214" s="7">
        <f>'🖐🏾 Human'!I14</f>
        <v>5</v>
      </c>
      <c r="I214" s="7">
        <f>'🖐🏾 Human'!J14</f>
        <v>3</v>
      </c>
    </row>
    <row r="215">
      <c r="A215" s="25" t="str">
        <f>'🖐🏾 Human'!A15</f>
        <v/>
      </c>
      <c r="B215" s="6" t="s">
        <v>15</v>
      </c>
      <c r="C215" s="7" t="str">
        <f>'🖐🏾 Human'!C15</f>
        <v>Jeremy</v>
      </c>
      <c r="D215" s="92">
        <f>'🖐🏾 Human'!E15</f>
        <v>0.001697792869</v>
      </c>
      <c r="E215" s="7" t="str">
        <f>'🖐🏾 Human'!F15</f>
        <v/>
      </c>
      <c r="F215" s="7" t="str">
        <f>'🖐🏾 Human'!G15</f>
        <v/>
      </c>
      <c r="G215" s="7" t="str">
        <f>'🖐🏾 Human'!H15</f>
        <v/>
      </c>
      <c r="H215" s="7" t="str">
        <f>'🖐🏾 Human'!I15</f>
        <v/>
      </c>
      <c r="I215" s="7" t="str">
        <f>'🖐🏾 Human'!J15</f>
        <v/>
      </c>
    </row>
    <row r="216">
      <c r="A216" s="25"/>
      <c r="B216" s="6"/>
      <c r="C216" s="7"/>
      <c r="D216" s="3"/>
      <c r="E216" s="7"/>
      <c r="F216" s="7"/>
      <c r="G216" s="7"/>
      <c r="H216" s="7"/>
      <c r="I216" s="7"/>
    </row>
    <row r="217">
      <c r="A217" s="25"/>
      <c r="B217" s="6"/>
      <c r="C217" s="7"/>
      <c r="D217" s="3"/>
      <c r="E217" s="7"/>
      <c r="F217" s="7"/>
      <c r="G217" s="7"/>
      <c r="H217" s="7"/>
      <c r="I217" s="7"/>
    </row>
    <row r="218">
      <c r="A218" s="25"/>
      <c r="B218" s="6"/>
      <c r="C218" s="7"/>
      <c r="D218" s="3"/>
      <c r="E218" s="7"/>
      <c r="F218" s="7"/>
      <c r="G218" s="7"/>
      <c r="H218" s="7"/>
      <c r="I218" s="7"/>
    </row>
    <row r="219">
      <c r="A219" s="25"/>
      <c r="B219" s="6"/>
      <c r="C219" s="7"/>
      <c r="D219" s="3"/>
      <c r="E219" s="7"/>
      <c r="F219" s="7"/>
      <c r="G219" s="7"/>
      <c r="H219" s="7"/>
      <c r="I219" s="7"/>
    </row>
    <row r="220">
      <c r="A220" s="25"/>
      <c r="B220" s="6"/>
      <c r="C220" s="7"/>
      <c r="D220" s="3"/>
      <c r="E220" s="7"/>
      <c r="F220" s="7"/>
      <c r="G220" s="7"/>
      <c r="H220" s="7"/>
      <c r="I220" s="7"/>
    </row>
    <row r="221">
      <c r="A221" s="25"/>
      <c r="B221" s="6"/>
      <c r="C221" s="7"/>
      <c r="D221" s="3"/>
      <c r="E221" s="7"/>
      <c r="F221" s="7"/>
      <c r="G221" s="7"/>
      <c r="H221" s="7"/>
      <c r="I221" s="7"/>
    </row>
    <row r="222">
      <c r="A222" s="25"/>
      <c r="B222" s="6"/>
      <c r="C222" s="7"/>
      <c r="D222" s="3"/>
      <c r="E222" s="7"/>
      <c r="F222" s="7"/>
      <c r="G222" s="7"/>
      <c r="H222" s="7"/>
      <c r="I222" s="7"/>
    </row>
    <row r="223">
      <c r="A223" s="25"/>
      <c r="B223" s="6"/>
      <c r="C223" s="7"/>
      <c r="D223" s="3"/>
      <c r="E223" s="7"/>
      <c r="F223" s="7"/>
      <c r="G223" s="7"/>
      <c r="H223" s="7"/>
      <c r="I223" s="7"/>
    </row>
    <row r="224">
      <c r="A224" s="25"/>
      <c r="B224" s="6"/>
      <c r="C224" s="7"/>
      <c r="D224" s="3"/>
      <c r="E224" s="7"/>
      <c r="F224" s="7"/>
      <c r="G224" s="7"/>
      <c r="H224" s="7"/>
      <c r="I224" s="7"/>
    </row>
    <row r="225">
      <c r="A225" s="25"/>
      <c r="B225" s="6"/>
      <c r="C225" s="7"/>
      <c r="D225" s="3"/>
      <c r="E225" s="7"/>
      <c r="F225" s="7"/>
      <c r="G225" s="7"/>
      <c r="H225" s="7"/>
      <c r="I225" s="7"/>
    </row>
    <row r="226">
      <c r="A226" s="25"/>
      <c r="B226" s="6"/>
      <c r="C226" s="7"/>
      <c r="D226" s="3"/>
      <c r="E226" s="7"/>
      <c r="F226" s="7"/>
      <c r="G226" s="7"/>
      <c r="H226" s="7"/>
      <c r="I226" s="7"/>
    </row>
    <row r="227">
      <c r="A227" s="25"/>
      <c r="B227" s="6"/>
      <c r="C227" s="7"/>
      <c r="D227" s="3"/>
      <c r="E227" s="7"/>
      <c r="F227" s="7"/>
      <c r="G227" s="7"/>
      <c r="H227" s="7"/>
      <c r="I227" s="7"/>
    </row>
    <row r="228">
      <c r="A228" s="25"/>
      <c r="B228" s="6"/>
      <c r="C228" s="7"/>
      <c r="D228" s="3"/>
      <c r="E228" s="7"/>
      <c r="F228" s="7"/>
      <c r="G228" s="7"/>
      <c r="H228" s="7"/>
      <c r="I228" s="7"/>
    </row>
    <row r="229">
      <c r="A229" s="25"/>
      <c r="B229" s="6"/>
      <c r="C229" s="7"/>
      <c r="D229" s="3"/>
      <c r="E229" s="7"/>
      <c r="F229" s="7"/>
      <c r="G229" s="7"/>
      <c r="H229" s="7"/>
      <c r="I229" s="7"/>
    </row>
    <row r="230">
      <c r="A230" s="25"/>
      <c r="B230" s="6"/>
      <c r="C230" s="7"/>
      <c r="D230" s="3"/>
      <c r="E230" s="7"/>
      <c r="F230" s="7"/>
      <c r="G230" s="7"/>
      <c r="H230" s="7"/>
      <c r="I230" s="7"/>
    </row>
    <row r="231">
      <c r="A231" s="25"/>
      <c r="B231" s="6"/>
      <c r="C231" s="7"/>
      <c r="D231" s="3"/>
      <c r="E231" s="7"/>
      <c r="F231" s="7"/>
      <c r="G231" s="7"/>
      <c r="H231" s="7"/>
      <c r="I231" s="7"/>
    </row>
    <row r="232">
      <c r="A232" s="25"/>
      <c r="B232" s="6"/>
      <c r="C232" s="7"/>
      <c r="D232" s="3"/>
      <c r="E232" s="7"/>
      <c r="F232" s="7"/>
      <c r="G232" s="7"/>
      <c r="H232" s="7"/>
      <c r="I232" s="7"/>
    </row>
    <row r="233">
      <c r="A233" s="25"/>
      <c r="B233" s="6"/>
      <c r="C233" s="7"/>
      <c r="D233" s="3"/>
      <c r="E233" s="7"/>
      <c r="F233" s="7"/>
      <c r="G233" s="7"/>
      <c r="H233" s="7"/>
      <c r="I233" s="7"/>
    </row>
    <row r="234">
      <c r="A234" s="25"/>
      <c r="B234" s="6"/>
      <c r="C234" s="7"/>
      <c r="D234" s="3"/>
      <c r="E234" s="7"/>
      <c r="F234" s="7"/>
      <c r="G234" s="7"/>
      <c r="H234" s="7"/>
      <c r="I234" s="7"/>
    </row>
    <row r="235">
      <c r="A235" s="25"/>
      <c r="B235" s="6"/>
      <c r="C235" s="7"/>
      <c r="D235" s="3"/>
      <c r="E235" s="7"/>
      <c r="F235" s="7"/>
      <c r="G235" s="7"/>
      <c r="H235" s="7"/>
      <c r="I235" s="7"/>
    </row>
    <row r="236">
      <c r="A236" s="25"/>
      <c r="B236" s="6"/>
      <c r="C236" s="7"/>
      <c r="D236" s="3"/>
      <c r="E236" s="7"/>
      <c r="F236" s="7"/>
      <c r="G236" s="7"/>
      <c r="H236" s="7"/>
      <c r="I236" s="7"/>
    </row>
    <row r="237">
      <c r="A237" s="25"/>
      <c r="B237" s="6"/>
      <c r="C237" s="7"/>
      <c r="D237" s="3"/>
      <c r="E237" s="7"/>
      <c r="F237" s="7"/>
      <c r="G237" s="7"/>
      <c r="H237" s="7"/>
      <c r="I237" s="7"/>
    </row>
    <row r="238">
      <c r="A238" s="25"/>
      <c r="B238" s="6"/>
      <c r="C238" s="7"/>
      <c r="D238" s="3"/>
      <c r="E238" s="7"/>
      <c r="F238" s="7"/>
      <c r="G238" s="7"/>
      <c r="H238" s="7"/>
      <c r="I238" s="7"/>
    </row>
    <row r="239">
      <c r="A239" s="25"/>
      <c r="B239" s="6"/>
      <c r="C239" s="7"/>
      <c r="D239" s="3"/>
      <c r="E239" s="7"/>
      <c r="F239" s="7"/>
      <c r="G239" s="7"/>
      <c r="H239" s="7"/>
      <c r="I239" s="7"/>
    </row>
    <row r="240">
      <c r="A240" s="25"/>
      <c r="B240" s="6"/>
      <c r="C240" s="7"/>
      <c r="D240" s="3"/>
      <c r="E240" s="7"/>
      <c r="F240" s="7"/>
      <c r="G240" s="7"/>
      <c r="H240" s="7"/>
      <c r="I240" s="7"/>
    </row>
    <row r="241">
      <c r="A241" s="25"/>
      <c r="B241" s="6"/>
      <c r="C241" s="7"/>
      <c r="D241" s="3"/>
      <c r="E241" s="7"/>
      <c r="F241" s="7"/>
      <c r="G241" s="7"/>
      <c r="H241" s="7"/>
      <c r="I241" s="7"/>
    </row>
    <row r="242">
      <c r="A242" s="25"/>
      <c r="B242" s="6"/>
      <c r="C242" s="7"/>
      <c r="D242" s="3"/>
      <c r="E242" s="7"/>
      <c r="F242" s="7"/>
      <c r="G242" s="7"/>
      <c r="H242" s="7"/>
      <c r="I242" s="7"/>
    </row>
    <row r="243">
      <c r="A243" s="25"/>
      <c r="B243" s="6"/>
      <c r="C243" s="7"/>
      <c r="D243" s="3"/>
      <c r="E243" s="7"/>
      <c r="F243" s="7"/>
      <c r="G243" s="7"/>
      <c r="H243" s="7"/>
      <c r="I243" s="7"/>
    </row>
    <row r="244">
      <c r="A244" s="25"/>
      <c r="B244" s="6"/>
      <c r="C244" s="7"/>
      <c r="D244" s="3"/>
      <c r="E244" s="7"/>
      <c r="F244" s="7"/>
      <c r="G244" s="7"/>
      <c r="H244" s="7"/>
      <c r="I244" s="7"/>
    </row>
    <row r="245">
      <c r="A245" s="25"/>
      <c r="B245" s="6"/>
      <c r="C245" s="7"/>
      <c r="D245" s="3"/>
      <c r="E245" s="7"/>
      <c r="F245" s="7"/>
      <c r="G245" s="7"/>
      <c r="H245" s="7"/>
      <c r="I245" s="7"/>
    </row>
    <row r="246">
      <c r="A246" s="25"/>
      <c r="B246" s="6"/>
      <c r="C246" s="7"/>
      <c r="D246" s="3"/>
      <c r="E246" s="7"/>
      <c r="F246" s="7"/>
      <c r="G246" s="7"/>
      <c r="H246" s="7"/>
      <c r="I246" s="7"/>
    </row>
    <row r="247">
      <c r="A247" s="25"/>
      <c r="B247" s="6"/>
      <c r="C247" s="7"/>
      <c r="D247" s="3"/>
      <c r="E247" s="7"/>
      <c r="F247" s="7"/>
      <c r="G247" s="7"/>
      <c r="H247" s="7"/>
      <c r="I247" s="7"/>
    </row>
    <row r="248">
      <c r="A248" s="25"/>
      <c r="B248" s="6"/>
      <c r="C248" s="7"/>
      <c r="D248" s="3"/>
      <c r="E248" s="7"/>
      <c r="F248" s="7"/>
      <c r="G248" s="7"/>
      <c r="H248" s="7"/>
      <c r="I248" s="7"/>
    </row>
    <row r="249">
      <c r="A249" s="25"/>
      <c r="B249" s="6"/>
      <c r="C249" s="7"/>
      <c r="D249" s="3"/>
      <c r="E249" s="7"/>
      <c r="F249" s="7"/>
      <c r="G249" s="7"/>
      <c r="H249" s="7"/>
      <c r="I249" s="7"/>
    </row>
    <row r="250">
      <c r="A250" s="25"/>
      <c r="B250" s="6"/>
      <c r="C250" s="7"/>
      <c r="D250" s="3"/>
      <c r="E250" s="7"/>
      <c r="F250" s="7"/>
      <c r="G250" s="7"/>
      <c r="H250" s="7"/>
      <c r="I250" s="7"/>
    </row>
    <row r="251">
      <c r="A251" s="25"/>
      <c r="B251" s="6"/>
      <c r="C251" s="7"/>
      <c r="D251" s="3"/>
      <c r="E251" s="7"/>
      <c r="F251" s="7"/>
      <c r="G251" s="7"/>
      <c r="H251" s="7"/>
      <c r="I251" s="7"/>
    </row>
    <row r="252">
      <c r="A252" s="25"/>
      <c r="B252" s="6"/>
      <c r="C252" s="7"/>
      <c r="D252" s="3"/>
      <c r="E252" s="7"/>
      <c r="F252" s="7"/>
      <c r="G252" s="7"/>
      <c r="H252" s="7"/>
      <c r="I252" s="7"/>
    </row>
    <row r="253">
      <c r="A253" s="25"/>
      <c r="B253" s="3"/>
    </row>
    <row r="254">
      <c r="A254" s="25"/>
      <c r="B254" s="3"/>
    </row>
    <row r="255">
      <c r="A255" s="25"/>
      <c r="B255" s="3"/>
    </row>
    <row r="256">
      <c r="A256" s="25"/>
      <c r="B256" s="3"/>
    </row>
    <row r="257">
      <c r="A257" s="25"/>
      <c r="B257" s="3"/>
    </row>
    <row r="258">
      <c r="A258" s="25"/>
      <c r="B258" s="3"/>
    </row>
    <row r="259">
      <c r="A259" s="25"/>
      <c r="B259" s="3"/>
    </row>
    <row r="260">
      <c r="A260" s="25"/>
      <c r="B260" s="3"/>
    </row>
    <row r="261">
      <c r="A261" s="25"/>
      <c r="B261" s="3"/>
    </row>
    <row r="262">
      <c r="A262" s="25"/>
      <c r="B262" s="3"/>
    </row>
    <row r="263">
      <c r="A263" s="25"/>
      <c r="B263" s="3"/>
    </row>
    <row r="264">
      <c r="A264" s="25"/>
      <c r="B264" s="3"/>
    </row>
    <row r="265">
      <c r="A265" s="25"/>
      <c r="B265" s="3"/>
    </row>
    <row r="266">
      <c r="A266" s="25"/>
      <c r="B266" s="3"/>
    </row>
    <row r="267">
      <c r="A267" s="25"/>
      <c r="B267" s="3"/>
    </row>
    <row r="268">
      <c r="A268" s="25"/>
      <c r="B268" s="3"/>
    </row>
    <row r="269">
      <c r="A269" s="25"/>
      <c r="B269" s="3"/>
    </row>
    <row r="270">
      <c r="A270" s="25"/>
      <c r="B270" s="3"/>
    </row>
    <row r="271">
      <c r="A271" s="25"/>
      <c r="B271" s="3"/>
    </row>
    <row r="272">
      <c r="A272" s="25"/>
      <c r="B272" s="3"/>
    </row>
    <row r="273">
      <c r="A273" s="25"/>
      <c r="B273" s="3"/>
    </row>
    <row r="274">
      <c r="A274" s="25"/>
      <c r="B274" s="3"/>
    </row>
    <row r="275">
      <c r="A275" s="25"/>
      <c r="B275" s="3"/>
    </row>
    <row r="276">
      <c r="A276" s="25"/>
      <c r="B276" s="3"/>
    </row>
    <row r="277">
      <c r="A277" s="25"/>
      <c r="B277" s="3"/>
    </row>
    <row r="278">
      <c r="A278" s="25"/>
      <c r="B278" s="3"/>
    </row>
    <row r="279">
      <c r="A279" s="25"/>
      <c r="B279" s="3"/>
    </row>
    <row r="280">
      <c r="A280" s="25"/>
      <c r="B280" s="3"/>
    </row>
    <row r="281">
      <c r="A281" s="25"/>
      <c r="B281" s="3"/>
    </row>
    <row r="282">
      <c r="A282" s="25"/>
      <c r="B282" s="3"/>
    </row>
    <row r="283">
      <c r="A283" s="25"/>
      <c r="B283" s="3"/>
    </row>
    <row r="284">
      <c r="A284" s="25"/>
      <c r="B284" s="3"/>
    </row>
    <row r="285">
      <c r="A285" s="25"/>
      <c r="B285" s="3"/>
    </row>
    <row r="286">
      <c r="A286" s="25"/>
      <c r="B286" s="3"/>
    </row>
    <row r="287">
      <c r="A287" s="25"/>
      <c r="B287" s="3"/>
    </row>
    <row r="288">
      <c r="A288" s="25"/>
      <c r="B288" s="3"/>
    </row>
    <row r="289">
      <c r="A289" s="25"/>
      <c r="B289" s="3"/>
    </row>
    <row r="290">
      <c r="A290" s="25"/>
      <c r="B290" s="3"/>
    </row>
    <row r="291">
      <c r="A291" s="25"/>
      <c r="B291" s="3"/>
    </row>
    <row r="292">
      <c r="A292" s="25"/>
      <c r="B292" s="3"/>
    </row>
    <row r="293">
      <c r="A293" s="25"/>
      <c r="B293" s="3"/>
    </row>
    <row r="294">
      <c r="A294" s="25"/>
      <c r="B294" s="3"/>
    </row>
    <row r="295">
      <c r="A295" s="25"/>
      <c r="B295" s="3"/>
    </row>
    <row r="296">
      <c r="A296" s="25"/>
      <c r="B296" s="3"/>
    </row>
    <row r="297">
      <c r="A297" s="25"/>
      <c r="B297" s="3"/>
    </row>
    <row r="298">
      <c r="A298" s="25"/>
      <c r="B298" s="3"/>
    </row>
    <row r="299">
      <c r="A299" s="25"/>
      <c r="B299" s="3"/>
    </row>
    <row r="300">
      <c r="A300" s="25"/>
      <c r="B300" s="3"/>
    </row>
    <row r="301">
      <c r="A301" s="25"/>
      <c r="B301" s="3"/>
    </row>
    <row r="302">
      <c r="A302" s="25"/>
      <c r="B302" s="3"/>
    </row>
    <row r="303">
      <c r="A303" s="25"/>
      <c r="B303" s="3"/>
    </row>
    <row r="304">
      <c r="A304" s="25"/>
      <c r="B304" s="3"/>
    </row>
    <row r="305">
      <c r="A305" s="25"/>
      <c r="B305" s="3"/>
    </row>
    <row r="306">
      <c r="A306" s="25"/>
      <c r="B306" s="3"/>
    </row>
    <row r="307">
      <c r="A307" s="25"/>
      <c r="B307" s="3"/>
    </row>
    <row r="308">
      <c r="A308" s="25"/>
      <c r="B308" s="3"/>
    </row>
    <row r="309">
      <c r="A309" s="25"/>
      <c r="B309" s="3"/>
    </row>
    <row r="310">
      <c r="A310" s="25"/>
      <c r="B310" s="3"/>
    </row>
    <row r="311">
      <c r="A311" s="25"/>
      <c r="B311" s="3"/>
    </row>
    <row r="312">
      <c r="A312" s="25"/>
      <c r="B312" s="3"/>
    </row>
    <row r="313">
      <c r="A313" s="25"/>
      <c r="B313" s="3"/>
    </row>
    <row r="314">
      <c r="A314" s="25"/>
      <c r="B314" s="3"/>
    </row>
    <row r="315">
      <c r="A315" s="25"/>
      <c r="B315" s="3"/>
    </row>
    <row r="316">
      <c r="A316" s="25"/>
      <c r="B316" s="3"/>
    </row>
    <row r="317">
      <c r="A317" s="25"/>
      <c r="B317" s="3"/>
    </row>
    <row r="318">
      <c r="A318" s="25"/>
      <c r="B318" s="3"/>
    </row>
    <row r="319">
      <c r="A319" s="25"/>
      <c r="B319" s="3"/>
    </row>
    <row r="320">
      <c r="A320" s="25"/>
      <c r="B320" s="3"/>
    </row>
    <row r="321">
      <c r="A321" s="25"/>
      <c r="B321" s="3"/>
    </row>
    <row r="322">
      <c r="A322" s="25"/>
      <c r="B322" s="3"/>
    </row>
    <row r="323">
      <c r="A323" s="25"/>
      <c r="B323" s="3"/>
    </row>
    <row r="324">
      <c r="A324" s="25"/>
      <c r="B324" s="3"/>
    </row>
    <row r="325">
      <c r="A325" s="25"/>
      <c r="B325" s="3"/>
    </row>
    <row r="326">
      <c r="A326" s="25"/>
      <c r="B326" s="3"/>
    </row>
    <row r="327">
      <c r="A327" s="25"/>
      <c r="B327" s="3"/>
    </row>
    <row r="328">
      <c r="A328" s="25"/>
      <c r="B328" s="3"/>
    </row>
    <row r="329">
      <c r="A329" s="25"/>
      <c r="B329" s="3"/>
    </row>
    <row r="330">
      <c r="A330" s="25"/>
      <c r="B330" s="3"/>
    </row>
    <row r="331">
      <c r="A331" s="25"/>
      <c r="B331" s="3"/>
    </row>
    <row r="332">
      <c r="A332" s="25"/>
      <c r="B332" s="3"/>
    </row>
    <row r="333">
      <c r="A333" s="25"/>
      <c r="B333" s="3"/>
    </row>
    <row r="334">
      <c r="A334" s="25"/>
      <c r="B334" s="3"/>
    </row>
    <row r="335">
      <c r="A335" s="25"/>
      <c r="B335" s="3"/>
    </row>
    <row r="336">
      <c r="A336" s="25"/>
      <c r="B336" s="3"/>
    </row>
    <row r="337">
      <c r="A337" s="25"/>
      <c r="B337" s="3"/>
    </row>
    <row r="338">
      <c r="A338" s="25"/>
      <c r="B338" s="3"/>
    </row>
    <row r="339">
      <c r="A339" s="25"/>
      <c r="B339" s="3"/>
    </row>
    <row r="340">
      <c r="A340" s="25"/>
      <c r="B340" s="3"/>
    </row>
    <row r="341">
      <c r="A341" s="25"/>
      <c r="B341" s="3"/>
    </row>
    <row r="342">
      <c r="A342" s="25"/>
      <c r="B342" s="3"/>
    </row>
    <row r="343">
      <c r="A343" s="25"/>
      <c r="B343" s="3"/>
    </row>
    <row r="344">
      <c r="A344" s="25"/>
      <c r="B344" s="3"/>
    </row>
    <row r="345">
      <c r="A345" s="25"/>
      <c r="B345" s="3"/>
    </row>
    <row r="346">
      <c r="A346" s="25"/>
      <c r="B346" s="3"/>
    </row>
    <row r="347">
      <c r="A347" s="25"/>
      <c r="B347" s="3"/>
    </row>
    <row r="348">
      <c r="A348" s="25"/>
      <c r="B348" s="3"/>
    </row>
    <row r="349">
      <c r="A349" s="25"/>
      <c r="B349" s="3"/>
    </row>
    <row r="350">
      <c r="A350" s="25"/>
      <c r="B350" s="3"/>
    </row>
    <row r="351">
      <c r="A351" s="25"/>
      <c r="B351" s="3"/>
    </row>
    <row r="352">
      <c r="A352" s="25"/>
      <c r="B352" s="3"/>
    </row>
    <row r="353">
      <c r="A353" s="25"/>
      <c r="B353" s="3"/>
    </row>
    <row r="354">
      <c r="A354" s="25"/>
      <c r="B354" s="3"/>
    </row>
    <row r="355">
      <c r="A355" s="25"/>
      <c r="B355" s="3"/>
    </row>
    <row r="356">
      <c r="A356" s="25"/>
      <c r="B356" s="3"/>
    </row>
    <row r="357">
      <c r="A357" s="25"/>
      <c r="B357" s="3"/>
    </row>
    <row r="358">
      <c r="A358" s="25"/>
      <c r="B358" s="3"/>
    </row>
    <row r="359">
      <c r="A359" s="25"/>
      <c r="B359" s="3"/>
    </row>
    <row r="360">
      <c r="A360" s="25"/>
      <c r="B360" s="3"/>
    </row>
    <row r="361">
      <c r="A361" s="25"/>
      <c r="B361" s="3"/>
    </row>
    <row r="362">
      <c r="A362" s="25"/>
      <c r="B362" s="3"/>
    </row>
    <row r="363">
      <c r="A363" s="25"/>
      <c r="B363" s="3"/>
    </row>
    <row r="364">
      <c r="A364" s="25"/>
      <c r="B364" s="3"/>
    </row>
    <row r="365">
      <c r="A365" s="25"/>
      <c r="B365" s="3"/>
    </row>
    <row r="366">
      <c r="A366" s="25"/>
      <c r="B366" s="3"/>
    </row>
    <row r="367">
      <c r="A367" s="25"/>
      <c r="B367" s="3"/>
    </row>
    <row r="368">
      <c r="A368" s="25"/>
      <c r="B368" s="3"/>
    </row>
    <row r="369">
      <c r="A369" s="25"/>
      <c r="B369" s="3"/>
    </row>
    <row r="370">
      <c r="A370" s="25"/>
      <c r="B370" s="3"/>
    </row>
    <row r="371">
      <c r="A371" s="25"/>
      <c r="B371" s="3"/>
    </row>
    <row r="372">
      <c r="A372" s="25"/>
      <c r="B372" s="3"/>
    </row>
    <row r="373">
      <c r="A373" s="25"/>
      <c r="B373" s="3"/>
    </row>
    <row r="374">
      <c r="A374" s="25"/>
      <c r="B374" s="3"/>
    </row>
    <row r="375">
      <c r="A375" s="25"/>
      <c r="B375" s="3"/>
    </row>
    <row r="376">
      <c r="A376" s="25"/>
      <c r="B376" s="3"/>
    </row>
    <row r="377">
      <c r="A377" s="25"/>
      <c r="B377" s="3"/>
    </row>
    <row r="378">
      <c r="A378" s="25"/>
      <c r="B378" s="3"/>
    </row>
    <row r="379">
      <c r="A379" s="25"/>
      <c r="B379" s="3"/>
    </row>
    <row r="380">
      <c r="A380" s="25"/>
      <c r="B380" s="3"/>
    </row>
    <row r="381">
      <c r="A381" s="25"/>
      <c r="B381" s="3"/>
    </row>
    <row r="382">
      <c r="A382" s="25"/>
      <c r="B382" s="3"/>
    </row>
    <row r="383">
      <c r="A383" s="25"/>
      <c r="B383" s="3"/>
    </row>
    <row r="384">
      <c r="A384" s="25"/>
      <c r="B384" s="3"/>
    </row>
    <row r="385">
      <c r="A385" s="25"/>
      <c r="B385" s="3"/>
    </row>
    <row r="386">
      <c r="A386" s="25"/>
      <c r="B386" s="3"/>
    </row>
    <row r="387">
      <c r="A387" s="25"/>
      <c r="B387" s="3"/>
    </row>
    <row r="388">
      <c r="A388" s="25"/>
      <c r="B388" s="3"/>
    </row>
    <row r="389">
      <c r="A389" s="25"/>
      <c r="B389" s="3"/>
    </row>
    <row r="390">
      <c r="A390" s="25"/>
      <c r="B390" s="3"/>
    </row>
    <row r="391">
      <c r="A391" s="25"/>
      <c r="B391" s="3"/>
    </row>
    <row r="392">
      <c r="A392" s="25"/>
      <c r="B392" s="3"/>
    </row>
    <row r="393">
      <c r="A393" s="25"/>
      <c r="B393" s="3"/>
    </row>
    <row r="394">
      <c r="A394" s="25"/>
      <c r="B394" s="3"/>
    </row>
    <row r="395">
      <c r="A395" s="25"/>
      <c r="B395" s="3"/>
    </row>
    <row r="396">
      <c r="A396" s="25"/>
      <c r="B396" s="3"/>
    </row>
    <row r="397">
      <c r="A397" s="25"/>
      <c r="B397" s="3"/>
    </row>
    <row r="398">
      <c r="A398" s="25"/>
      <c r="B398" s="3"/>
    </row>
    <row r="399">
      <c r="A399" s="25"/>
      <c r="B399" s="3"/>
    </row>
    <row r="400">
      <c r="A400" s="25"/>
      <c r="B400" s="3"/>
    </row>
    <row r="401">
      <c r="A401" s="25"/>
      <c r="B401" s="3"/>
    </row>
    <row r="402">
      <c r="A402" s="25"/>
      <c r="B402" s="3"/>
    </row>
    <row r="403">
      <c r="A403" s="25"/>
      <c r="B403" s="3"/>
    </row>
    <row r="404">
      <c r="A404" s="25"/>
      <c r="B404" s="3"/>
    </row>
    <row r="405">
      <c r="A405" s="25"/>
      <c r="B405" s="3"/>
    </row>
    <row r="406">
      <c r="A406" s="25"/>
      <c r="B406" s="3"/>
    </row>
    <row r="407">
      <c r="A407" s="25"/>
      <c r="B407" s="3"/>
    </row>
    <row r="408">
      <c r="A408" s="25"/>
      <c r="B408" s="3"/>
    </row>
    <row r="409">
      <c r="A409" s="25"/>
      <c r="B409" s="3"/>
    </row>
    <row r="410">
      <c r="A410" s="25"/>
      <c r="B410" s="3"/>
    </row>
    <row r="411">
      <c r="A411" s="25"/>
      <c r="B411" s="3"/>
    </row>
    <row r="412">
      <c r="A412" s="25"/>
      <c r="B412" s="3"/>
    </row>
    <row r="413">
      <c r="A413" s="25"/>
      <c r="B413" s="3"/>
    </row>
    <row r="414">
      <c r="A414" s="25"/>
      <c r="B414" s="3"/>
    </row>
    <row r="415">
      <c r="A415" s="25"/>
      <c r="B415" s="3"/>
    </row>
    <row r="416">
      <c r="A416" s="25"/>
      <c r="B416" s="3"/>
    </row>
    <row r="417">
      <c r="A417" s="25"/>
      <c r="B417" s="3"/>
    </row>
    <row r="418">
      <c r="A418" s="25"/>
      <c r="B418" s="3"/>
    </row>
    <row r="419">
      <c r="A419" s="25"/>
      <c r="B419" s="3"/>
    </row>
    <row r="420">
      <c r="A420" s="25"/>
      <c r="B420" s="3"/>
    </row>
    <row r="421">
      <c r="A421" s="25"/>
      <c r="B421" s="3"/>
    </row>
    <row r="422">
      <c r="A422" s="25"/>
      <c r="B422" s="3"/>
    </row>
    <row r="423">
      <c r="A423" s="25"/>
      <c r="B423" s="3"/>
    </row>
    <row r="424">
      <c r="A424" s="25"/>
      <c r="B424" s="3"/>
    </row>
    <row r="425">
      <c r="A425" s="25"/>
      <c r="B425" s="3"/>
    </row>
    <row r="426">
      <c r="A426" s="25"/>
      <c r="B426" s="3"/>
    </row>
    <row r="427">
      <c r="A427" s="25"/>
      <c r="B427" s="3"/>
    </row>
    <row r="428">
      <c r="A428" s="25"/>
      <c r="B428" s="3"/>
    </row>
    <row r="429">
      <c r="A429" s="25"/>
      <c r="B429" s="3"/>
    </row>
    <row r="430">
      <c r="A430" s="25"/>
      <c r="B430" s="3"/>
    </row>
    <row r="431">
      <c r="A431" s="25"/>
      <c r="B431" s="3"/>
    </row>
    <row r="432">
      <c r="A432" s="25"/>
      <c r="B432" s="3"/>
    </row>
    <row r="433">
      <c r="A433" s="25"/>
      <c r="B433" s="3"/>
    </row>
    <row r="434">
      <c r="A434" s="25"/>
      <c r="B434" s="3"/>
    </row>
    <row r="435">
      <c r="A435" s="25"/>
      <c r="B435" s="3"/>
    </row>
    <row r="436">
      <c r="A436" s="25"/>
      <c r="B436" s="3"/>
    </row>
    <row r="437">
      <c r="A437" s="25"/>
      <c r="B437" s="3"/>
    </row>
    <row r="438">
      <c r="A438" s="25"/>
      <c r="B438" s="3"/>
    </row>
    <row r="439">
      <c r="A439" s="25"/>
      <c r="B439" s="3"/>
    </row>
    <row r="440">
      <c r="A440" s="25"/>
      <c r="B440" s="3"/>
    </row>
    <row r="441">
      <c r="A441" s="25"/>
      <c r="B441" s="3"/>
    </row>
    <row r="442">
      <c r="A442" s="25"/>
      <c r="B442" s="3"/>
    </row>
    <row r="443">
      <c r="A443" s="25"/>
      <c r="B443" s="3"/>
    </row>
    <row r="444">
      <c r="A444" s="25"/>
      <c r="B444" s="3"/>
    </row>
    <row r="445">
      <c r="A445" s="25"/>
      <c r="B445" s="3"/>
    </row>
    <row r="446">
      <c r="A446" s="25"/>
      <c r="B446" s="3"/>
    </row>
    <row r="447">
      <c r="A447" s="25"/>
      <c r="B447" s="3"/>
    </row>
    <row r="448">
      <c r="A448" s="25"/>
      <c r="B448" s="3"/>
    </row>
    <row r="449">
      <c r="A449" s="25"/>
      <c r="B449" s="3"/>
    </row>
    <row r="450">
      <c r="A450" s="25"/>
      <c r="B450" s="3"/>
    </row>
    <row r="451">
      <c r="A451" s="25"/>
      <c r="B451" s="3"/>
    </row>
    <row r="452">
      <c r="A452" s="25"/>
      <c r="B452" s="3"/>
    </row>
    <row r="453">
      <c r="A453" s="25"/>
      <c r="B453" s="3"/>
    </row>
    <row r="454">
      <c r="A454" s="25"/>
      <c r="B454" s="3"/>
    </row>
    <row r="455">
      <c r="A455" s="25"/>
      <c r="B455" s="3"/>
    </row>
    <row r="456">
      <c r="A456" s="25"/>
      <c r="B456" s="3"/>
    </row>
    <row r="457">
      <c r="A457" s="25"/>
      <c r="B457" s="3"/>
    </row>
    <row r="458">
      <c r="A458" s="25"/>
      <c r="B458" s="3"/>
    </row>
    <row r="459">
      <c r="A459" s="25"/>
      <c r="B459" s="3"/>
    </row>
    <row r="460">
      <c r="A460" s="25"/>
      <c r="B460" s="3"/>
    </row>
    <row r="461">
      <c r="A461" s="25"/>
      <c r="B461" s="3"/>
    </row>
    <row r="462">
      <c r="A462" s="25"/>
      <c r="B462" s="3"/>
    </row>
    <row r="463">
      <c r="A463" s="25"/>
      <c r="B463" s="3"/>
    </row>
    <row r="464">
      <c r="A464" s="25"/>
      <c r="B464" s="3"/>
    </row>
    <row r="465">
      <c r="A465" s="25"/>
      <c r="B465" s="3"/>
    </row>
    <row r="466">
      <c r="A466" s="25"/>
      <c r="B466" s="3"/>
    </row>
    <row r="467">
      <c r="A467" s="25"/>
      <c r="B467" s="3"/>
    </row>
    <row r="468">
      <c r="A468" s="25"/>
      <c r="B468" s="3"/>
    </row>
    <row r="469">
      <c r="A469" s="25"/>
      <c r="B469" s="3"/>
    </row>
    <row r="470">
      <c r="A470" s="25"/>
      <c r="B470" s="3"/>
    </row>
    <row r="471">
      <c r="A471" s="25"/>
      <c r="B471" s="3"/>
    </row>
    <row r="472">
      <c r="A472" s="25"/>
      <c r="B472" s="3"/>
    </row>
    <row r="473">
      <c r="A473" s="25"/>
      <c r="B473" s="3"/>
    </row>
    <row r="474">
      <c r="A474" s="25"/>
      <c r="B474" s="3"/>
    </row>
    <row r="475">
      <c r="A475" s="25"/>
      <c r="B475" s="3"/>
    </row>
    <row r="476">
      <c r="A476" s="25"/>
      <c r="B476" s="3"/>
    </row>
    <row r="477">
      <c r="A477" s="25"/>
      <c r="B477" s="3"/>
    </row>
    <row r="478">
      <c r="A478" s="25"/>
      <c r="B478" s="3"/>
    </row>
    <row r="479">
      <c r="A479" s="25"/>
      <c r="B479" s="3"/>
    </row>
    <row r="480">
      <c r="A480" s="25"/>
      <c r="B480" s="3"/>
    </row>
    <row r="481">
      <c r="A481" s="25"/>
      <c r="B481" s="3"/>
    </row>
    <row r="482">
      <c r="A482" s="25"/>
      <c r="B482" s="3"/>
    </row>
    <row r="483">
      <c r="A483" s="25"/>
      <c r="B483" s="3"/>
    </row>
    <row r="484">
      <c r="A484" s="25"/>
      <c r="B484" s="3"/>
    </row>
    <row r="485">
      <c r="A485" s="25"/>
      <c r="B485" s="3"/>
    </row>
    <row r="486">
      <c r="A486" s="25"/>
      <c r="B486" s="3"/>
    </row>
    <row r="487">
      <c r="A487" s="25"/>
      <c r="B487" s="3"/>
    </row>
    <row r="488">
      <c r="A488" s="25"/>
      <c r="B488" s="3"/>
    </row>
    <row r="489">
      <c r="A489" s="25"/>
      <c r="B489" s="3"/>
    </row>
    <row r="490">
      <c r="A490" s="25"/>
      <c r="B490" s="3"/>
    </row>
    <row r="491">
      <c r="A491" s="25"/>
      <c r="B491" s="3"/>
    </row>
    <row r="492">
      <c r="A492" s="25"/>
      <c r="B492" s="3"/>
    </row>
    <row r="493">
      <c r="A493" s="25"/>
      <c r="B493" s="3"/>
    </row>
    <row r="494">
      <c r="A494" s="25"/>
      <c r="B494" s="3"/>
    </row>
    <row r="495">
      <c r="A495" s="25"/>
      <c r="B495" s="3"/>
    </row>
    <row r="496">
      <c r="A496" s="25"/>
      <c r="B496" s="3"/>
    </row>
    <row r="497">
      <c r="A497" s="25"/>
      <c r="B497" s="3"/>
    </row>
    <row r="498">
      <c r="A498" s="25"/>
      <c r="B498" s="3"/>
    </row>
    <row r="499">
      <c r="A499" s="25"/>
      <c r="B499" s="3"/>
    </row>
    <row r="500">
      <c r="A500" s="25"/>
      <c r="B500" s="3"/>
    </row>
    <row r="501">
      <c r="A501" s="25"/>
      <c r="B501" s="3"/>
    </row>
    <row r="502">
      <c r="A502" s="25"/>
      <c r="B502" s="3"/>
    </row>
    <row r="503">
      <c r="A503" s="25"/>
      <c r="B503" s="3"/>
    </row>
    <row r="504">
      <c r="A504" s="25"/>
      <c r="B504" s="3"/>
    </row>
    <row r="505">
      <c r="A505" s="25"/>
      <c r="B505" s="3"/>
    </row>
    <row r="506">
      <c r="A506" s="25"/>
      <c r="B506" s="3"/>
    </row>
    <row r="507">
      <c r="A507" s="25"/>
      <c r="B507" s="3"/>
    </row>
    <row r="508">
      <c r="A508" s="25"/>
      <c r="B508" s="3"/>
    </row>
    <row r="509">
      <c r="A509" s="25"/>
      <c r="B509" s="3"/>
    </row>
    <row r="510">
      <c r="A510" s="25"/>
      <c r="B510" s="3"/>
    </row>
    <row r="511">
      <c r="A511" s="25"/>
      <c r="B511" s="3"/>
    </row>
    <row r="512">
      <c r="A512" s="25"/>
      <c r="B512" s="3"/>
    </row>
    <row r="513">
      <c r="A513" s="25"/>
      <c r="B513" s="3"/>
    </row>
    <row r="514">
      <c r="A514" s="25"/>
      <c r="B514" s="3"/>
    </row>
    <row r="515">
      <c r="A515" s="25"/>
      <c r="B515" s="3"/>
    </row>
    <row r="516">
      <c r="A516" s="25"/>
      <c r="B516" s="3"/>
    </row>
    <row r="517">
      <c r="A517" s="25"/>
      <c r="B517" s="3"/>
    </row>
    <row r="518">
      <c r="A518" s="25"/>
      <c r="B518" s="3"/>
    </row>
    <row r="519">
      <c r="A519" s="25"/>
      <c r="B519" s="3"/>
    </row>
    <row r="520">
      <c r="A520" s="25"/>
      <c r="B520" s="3"/>
    </row>
    <row r="521">
      <c r="A521" s="25"/>
      <c r="B521" s="3"/>
    </row>
    <row r="522">
      <c r="A522" s="25"/>
      <c r="B522" s="3"/>
    </row>
    <row r="523">
      <c r="A523" s="25"/>
      <c r="B523" s="3"/>
    </row>
    <row r="524">
      <c r="A524" s="25"/>
      <c r="B524" s="3"/>
    </row>
    <row r="525">
      <c r="A525" s="25"/>
      <c r="B525" s="3"/>
    </row>
    <row r="526">
      <c r="A526" s="25"/>
      <c r="B526" s="3"/>
    </row>
    <row r="527">
      <c r="A527" s="25"/>
      <c r="B527" s="3"/>
    </row>
    <row r="528">
      <c r="A528" s="25"/>
      <c r="B528" s="3"/>
    </row>
    <row r="529">
      <c r="A529" s="25"/>
      <c r="B529" s="3"/>
    </row>
    <row r="530">
      <c r="A530" s="25"/>
      <c r="B530" s="3"/>
    </row>
    <row r="531">
      <c r="A531" s="25"/>
      <c r="B531" s="3"/>
    </row>
    <row r="532">
      <c r="A532" s="25"/>
      <c r="B532" s="3"/>
    </row>
    <row r="533">
      <c r="A533" s="25"/>
      <c r="B533" s="3"/>
    </row>
    <row r="534">
      <c r="A534" s="25"/>
      <c r="B534" s="3"/>
    </row>
    <row r="535">
      <c r="A535" s="25"/>
      <c r="B535" s="3"/>
    </row>
    <row r="536">
      <c r="A536" s="25"/>
      <c r="B536" s="3"/>
    </row>
    <row r="537">
      <c r="A537" s="25"/>
      <c r="B537" s="3"/>
    </row>
    <row r="538">
      <c r="A538" s="25"/>
      <c r="B538" s="3"/>
    </row>
    <row r="539">
      <c r="A539" s="25"/>
      <c r="B539" s="3"/>
    </row>
    <row r="540">
      <c r="A540" s="25"/>
      <c r="B540" s="3"/>
    </row>
    <row r="541">
      <c r="A541" s="25"/>
      <c r="B541" s="3"/>
    </row>
    <row r="542">
      <c r="A542" s="25"/>
      <c r="B542" s="3"/>
    </row>
    <row r="543">
      <c r="A543" s="25"/>
      <c r="B543" s="3"/>
    </row>
    <row r="544">
      <c r="A544" s="25"/>
      <c r="B544" s="3"/>
    </row>
    <row r="545">
      <c r="A545" s="25"/>
      <c r="B545" s="3"/>
    </row>
    <row r="546">
      <c r="A546" s="25"/>
      <c r="B546" s="3"/>
    </row>
    <row r="547">
      <c r="A547" s="25"/>
      <c r="B547" s="3"/>
    </row>
    <row r="548">
      <c r="A548" s="25"/>
      <c r="B548" s="3"/>
    </row>
    <row r="549">
      <c r="A549" s="25"/>
      <c r="B549" s="3"/>
    </row>
    <row r="550">
      <c r="A550" s="25"/>
      <c r="B550" s="3"/>
    </row>
    <row r="551">
      <c r="A551" s="25"/>
      <c r="B551" s="3"/>
    </row>
    <row r="552">
      <c r="A552" s="25"/>
      <c r="B552" s="3"/>
    </row>
    <row r="553">
      <c r="A553" s="25"/>
      <c r="B553" s="3"/>
    </row>
    <row r="554">
      <c r="A554" s="25"/>
      <c r="B554" s="3"/>
    </row>
    <row r="555">
      <c r="A555" s="25"/>
      <c r="B555" s="3"/>
    </row>
    <row r="556">
      <c r="A556" s="25"/>
      <c r="B556" s="3"/>
    </row>
    <row r="557">
      <c r="A557" s="25"/>
      <c r="B557" s="3"/>
    </row>
    <row r="558">
      <c r="A558" s="25"/>
      <c r="B558" s="3"/>
    </row>
    <row r="559">
      <c r="A559" s="25"/>
      <c r="B559" s="3"/>
    </row>
    <row r="560">
      <c r="A560" s="25"/>
      <c r="B560" s="3"/>
    </row>
    <row r="561">
      <c r="A561" s="25"/>
      <c r="B561" s="3"/>
    </row>
    <row r="562">
      <c r="A562" s="25"/>
      <c r="B562" s="3"/>
    </row>
    <row r="563">
      <c r="A563" s="25"/>
      <c r="B563" s="3"/>
    </row>
    <row r="564">
      <c r="A564" s="25"/>
      <c r="B564" s="3"/>
    </row>
    <row r="565">
      <c r="A565" s="25"/>
      <c r="B565" s="3"/>
    </row>
    <row r="566">
      <c r="A566" s="25"/>
      <c r="B566" s="3"/>
    </row>
    <row r="567">
      <c r="A567" s="25"/>
      <c r="B567" s="3"/>
    </row>
    <row r="568">
      <c r="A568" s="25"/>
      <c r="B568" s="3"/>
    </row>
    <row r="569">
      <c r="A569" s="25"/>
      <c r="B569" s="3"/>
    </row>
    <row r="570">
      <c r="A570" s="25"/>
      <c r="B570" s="3"/>
    </row>
    <row r="571">
      <c r="A571" s="25"/>
      <c r="B571" s="3"/>
    </row>
    <row r="572">
      <c r="A572" s="25"/>
      <c r="B572" s="3"/>
    </row>
    <row r="573">
      <c r="A573" s="25"/>
      <c r="B573" s="3"/>
    </row>
    <row r="574">
      <c r="A574" s="25"/>
      <c r="B574" s="3"/>
    </row>
    <row r="575">
      <c r="A575" s="25"/>
      <c r="B575" s="3"/>
    </row>
    <row r="576">
      <c r="A576" s="25"/>
      <c r="B576" s="3"/>
    </row>
    <row r="577">
      <c r="A577" s="25"/>
      <c r="B577" s="3"/>
    </row>
    <row r="578">
      <c r="A578" s="25"/>
      <c r="B578" s="3"/>
    </row>
    <row r="579">
      <c r="A579" s="25"/>
      <c r="B579" s="3"/>
    </row>
    <row r="580">
      <c r="A580" s="25"/>
      <c r="B580" s="3"/>
    </row>
    <row r="581">
      <c r="A581" s="25"/>
      <c r="B581" s="3"/>
    </row>
    <row r="582">
      <c r="A582" s="25"/>
      <c r="B582" s="3"/>
    </row>
    <row r="583">
      <c r="A583" s="25"/>
      <c r="B583" s="3"/>
    </row>
    <row r="584">
      <c r="A584" s="25"/>
      <c r="B584" s="3"/>
    </row>
    <row r="585">
      <c r="A585" s="25"/>
      <c r="B585" s="3"/>
    </row>
    <row r="586">
      <c r="A586" s="25"/>
      <c r="B586" s="3"/>
    </row>
    <row r="587">
      <c r="A587" s="25"/>
      <c r="B587" s="3"/>
    </row>
    <row r="588">
      <c r="A588" s="25"/>
      <c r="B588" s="3"/>
    </row>
    <row r="589">
      <c r="A589" s="25"/>
      <c r="B589" s="3"/>
    </row>
    <row r="590">
      <c r="A590" s="25"/>
      <c r="B590" s="3"/>
    </row>
    <row r="591">
      <c r="A591" s="25"/>
      <c r="B591" s="3"/>
    </row>
    <row r="592">
      <c r="A592" s="25"/>
      <c r="B592" s="3"/>
    </row>
    <row r="593">
      <c r="A593" s="25"/>
      <c r="B593" s="3"/>
    </row>
    <row r="594">
      <c r="A594" s="25"/>
      <c r="B594" s="3"/>
    </row>
    <row r="595">
      <c r="A595" s="25"/>
      <c r="B595" s="3"/>
    </row>
    <row r="596">
      <c r="A596" s="25"/>
      <c r="B596" s="3"/>
    </row>
    <row r="597">
      <c r="A597" s="25"/>
      <c r="B597" s="3"/>
    </row>
    <row r="598">
      <c r="A598" s="25"/>
      <c r="B598" s="3"/>
    </row>
    <row r="599">
      <c r="A599" s="25"/>
      <c r="B599" s="3"/>
    </row>
    <row r="600">
      <c r="A600" s="25"/>
      <c r="B600" s="3"/>
    </row>
    <row r="601">
      <c r="A601" s="25"/>
      <c r="B601" s="3"/>
    </row>
    <row r="602">
      <c r="A602" s="25"/>
      <c r="B602" s="3"/>
    </row>
    <row r="603">
      <c r="A603" s="25"/>
      <c r="B603" s="3"/>
    </row>
    <row r="604">
      <c r="A604" s="25"/>
      <c r="B604" s="3"/>
    </row>
    <row r="605">
      <c r="A605" s="25"/>
      <c r="B605" s="3"/>
    </row>
    <row r="606">
      <c r="A606" s="25"/>
      <c r="B606" s="3"/>
    </row>
    <row r="607">
      <c r="A607" s="25"/>
      <c r="B607" s="3"/>
    </row>
    <row r="608">
      <c r="A608" s="25"/>
      <c r="B608" s="3"/>
    </row>
    <row r="609">
      <c r="A609" s="25"/>
      <c r="B609" s="3"/>
    </row>
    <row r="610">
      <c r="A610" s="25"/>
      <c r="B610" s="3"/>
    </row>
    <row r="611">
      <c r="A611" s="25"/>
      <c r="B611" s="3"/>
    </row>
    <row r="612">
      <c r="A612" s="25"/>
      <c r="B612" s="3"/>
    </row>
    <row r="613">
      <c r="A613" s="25"/>
      <c r="B613" s="3"/>
    </row>
    <row r="614">
      <c r="A614" s="25"/>
      <c r="B614" s="3"/>
    </row>
    <row r="615">
      <c r="A615" s="25"/>
      <c r="B615" s="3"/>
    </row>
    <row r="616">
      <c r="A616" s="25"/>
      <c r="B616" s="3"/>
    </row>
    <row r="617">
      <c r="A617" s="25"/>
      <c r="B617" s="3"/>
    </row>
    <row r="618">
      <c r="A618" s="25"/>
      <c r="B618" s="3"/>
    </row>
    <row r="619">
      <c r="A619" s="25"/>
      <c r="B619" s="3"/>
    </row>
    <row r="620">
      <c r="A620" s="25"/>
      <c r="B620" s="3"/>
    </row>
    <row r="621">
      <c r="A621" s="25"/>
      <c r="B621" s="3"/>
    </row>
    <row r="622">
      <c r="A622" s="25"/>
      <c r="B622" s="3"/>
    </row>
    <row r="623">
      <c r="A623" s="25"/>
      <c r="B623" s="3"/>
    </row>
    <row r="624">
      <c r="A624" s="25"/>
      <c r="B624" s="3"/>
    </row>
    <row r="625">
      <c r="A625" s="25"/>
      <c r="B625" s="3"/>
    </row>
    <row r="626">
      <c r="A626" s="25"/>
      <c r="B626" s="3"/>
    </row>
    <row r="627">
      <c r="A627" s="25"/>
      <c r="B627" s="3"/>
    </row>
    <row r="628">
      <c r="A628" s="25"/>
      <c r="B628" s="3"/>
    </row>
    <row r="629">
      <c r="A629" s="25"/>
      <c r="B629" s="3"/>
    </row>
    <row r="630">
      <c r="A630" s="25"/>
      <c r="B630" s="3"/>
    </row>
    <row r="631">
      <c r="A631" s="25"/>
      <c r="B631" s="3"/>
    </row>
    <row r="632">
      <c r="A632" s="25"/>
      <c r="B632" s="3"/>
    </row>
    <row r="633">
      <c r="A633" s="25"/>
      <c r="B633" s="3"/>
    </row>
    <row r="634">
      <c r="A634" s="25"/>
      <c r="B634" s="3"/>
    </row>
    <row r="635">
      <c r="A635" s="25"/>
      <c r="B635" s="3"/>
    </row>
    <row r="636">
      <c r="A636" s="25"/>
      <c r="B636" s="3"/>
    </row>
    <row r="637">
      <c r="A637" s="25"/>
      <c r="B637" s="3"/>
    </row>
    <row r="638">
      <c r="A638" s="25"/>
      <c r="B638" s="3"/>
    </row>
    <row r="639">
      <c r="A639" s="25"/>
      <c r="B639" s="3"/>
    </row>
    <row r="640">
      <c r="A640" s="25"/>
      <c r="B640" s="3"/>
    </row>
    <row r="641">
      <c r="A641" s="25"/>
      <c r="B641" s="3"/>
    </row>
    <row r="642">
      <c r="A642" s="25"/>
      <c r="B642" s="3"/>
    </row>
    <row r="643">
      <c r="A643" s="25"/>
      <c r="B643" s="3"/>
    </row>
    <row r="644">
      <c r="A644" s="25"/>
      <c r="B644" s="3"/>
    </row>
    <row r="645">
      <c r="A645" s="25"/>
      <c r="B645" s="3"/>
    </row>
    <row r="646">
      <c r="A646" s="25"/>
      <c r="B646" s="3"/>
    </row>
    <row r="647">
      <c r="A647" s="25"/>
      <c r="B647" s="3"/>
    </row>
    <row r="648">
      <c r="A648" s="25"/>
      <c r="B648" s="3"/>
    </row>
    <row r="649">
      <c r="A649" s="25"/>
      <c r="B649" s="3"/>
    </row>
    <row r="650">
      <c r="A650" s="25"/>
      <c r="B650" s="3"/>
    </row>
    <row r="651">
      <c r="A651" s="25"/>
      <c r="B651" s="3"/>
    </row>
    <row r="652">
      <c r="A652" s="25"/>
      <c r="B652" s="3"/>
    </row>
    <row r="653">
      <c r="A653" s="25"/>
      <c r="B653" s="3"/>
    </row>
    <row r="654">
      <c r="A654" s="25"/>
      <c r="B654" s="3"/>
    </row>
    <row r="655">
      <c r="A655" s="25"/>
      <c r="B655" s="3"/>
    </row>
    <row r="656">
      <c r="A656" s="25"/>
      <c r="B656" s="3"/>
    </row>
    <row r="657">
      <c r="A657" s="25"/>
      <c r="B657" s="3"/>
    </row>
    <row r="658">
      <c r="A658" s="25"/>
      <c r="B658" s="3"/>
    </row>
    <row r="659">
      <c r="A659" s="25"/>
      <c r="B659" s="3"/>
    </row>
    <row r="660">
      <c r="A660" s="25"/>
      <c r="B660" s="3"/>
    </row>
    <row r="661">
      <c r="A661" s="25"/>
      <c r="B661" s="3"/>
    </row>
    <row r="662">
      <c r="A662" s="25"/>
      <c r="B662" s="3"/>
    </row>
    <row r="663">
      <c r="A663" s="25"/>
      <c r="B663" s="3"/>
    </row>
    <row r="664">
      <c r="A664" s="25"/>
      <c r="B664" s="3"/>
    </row>
    <row r="665">
      <c r="A665" s="25"/>
      <c r="B665" s="3"/>
    </row>
    <row r="666">
      <c r="A666" s="25"/>
      <c r="B666" s="3"/>
    </row>
    <row r="667">
      <c r="A667" s="25"/>
      <c r="B667" s="3"/>
    </row>
    <row r="668">
      <c r="A668" s="25"/>
      <c r="B668" s="3"/>
    </row>
    <row r="669">
      <c r="A669" s="25"/>
      <c r="B669" s="3"/>
    </row>
    <row r="670">
      <c r="A670" s="25"/>
      <c r="B670" s="3"/>
    </row>
    <row r="671">
      <c r="A671" s="25"/>
      <c r="B671" s="3"/>
    </row>
    <row r="672">
      <c r="A672" s="25"/>
      <c r="B672" s="3"/>
    </row>
    <row r="673">
      <c r="A673" s="25"/>
      <c r="B673" s="3"/>
    </row>
    <row r="674">
      <c r="A674" s="25"/>
      <c r="B674" s="3"/>
    </row>
    <row r="675">
      <c r="A675" s="25"/>
      <c r="B675" s="3"/>
    </row>
    <row r="676">
      <c r="A676" s="25"/>
      <c r="B676" s="3"/>
    </row>
    <row r="677">
      <c r="A677" s="25"/>
      <c r="B677" s="3"/>
    </row>
    <row r="678">
      <c r="A678" s="25"/>
      <c r="B678" s="3"/>
    </row>
    <row r="679">
      <c r="A679" s="25"/>
      <c r="B679" s="3"/>
    </row>
    <row r="680">
      <c r="A680" s="25"/>
      <c r="B680" s="3"/>
    </row>
    <row r="681">
      <c r="A681" s="25"/>
      <c r="B681" s="3"/>
    </row>
    <row r="682">
      <c r="A682" s="25"/>
      <c r="B682" s="3"/>
    </row>
    <row r="683">
      <c r="A683" s="25"/>
      <c r="B683" s="3"/>
    </row>
    <row r="684">
      <c r="A684" s="25"/>
      <c r="B684" s="3"/>
    </row>
    <row r="685">
      <c r="A685" s="25"/>
      <c r="B685" s="3"/>
    </row>
    <row r="686">
      <c r="A686" s="25"/>
      <c r="B686" s="3"/>
    </row>
    <row r="687">
      <c r="A687" s="25"/>
      <c r="B687" s="3"/>
    </row>
    <row r="688">
      <c r="A688" s="25"/>
      <c r="B688" s="3"/>
    </row>
    <row r="689">
      <c r="A689" s="25"/>
      <c r="B689" s="3"/>
    </row>
    <row r="690">
      <c r="A690" s="25"/>
      <c r="B690" s="3"/>
    </row>
    <row r="691">
      <c r="A691" s="25"/>
      <c r="B691" s="3"/>
    </row>
    <row r="692">
      <c r="A692" s="25"/>
      <c r="B692" s="3"/>
    </row>
    <row r="693">
      <c r="A693" s="25"/>
      <c r="B693" s="3"/>
    </row>
    <row r="694">
      <c r="A694" s="25"/>
      <c r="B694" s="3"/>
    </row>
    <row r="695">
      <c r="A695" s="25"/>
      <c r="B695" s="3"/>
    </row>
    <row r="696">
      <c r="A696" s="25"/>
      <c r="B696" s="3"/>
    </row>
    <row r="697">
      <c r="A697" s="25"/>
      <c r="B697" s="3"/>
    </row>
    <row r="698">
      <c r="A698" s="25"/>
      <c r="B698" s="3"/>
    </row>
    <row r="699">
      <c r="A699" s="25"/>
      <c r="B699" s="3"/>
    </row>
    <row r="700">
      <c r="A700" s="25"/>
      <c r="B700" s="3"/>
    </row>
    <row r="701">
      <c r="A701" s="25"/>
      <c r="B701" s="3"/>
    </row>
    <row r="702">
      <c r="A702" s="25"/>
      <c r="B702" s="3"/>
    </row>
    <row r="703">
      <c r="A703" s="25"/>
      <c r="B703" s="3"/>
    </row>
    <row r="704">
      <c r="A704" s="25"/>
      <c r="B704" s="3"/>
    </row>
    <row r="705">
      <c r="A705" s="25"/>
      <c r="B705" s="3"/>
    </row>
    <row r="706">
      <c r="A706" s="25"/>
      <c r="B706" s="3"/>
    </row>
    <row r="707">
      <c r="A707" s="25"/>
      <c r="B707" s="3"/>
    </row>
    <row r="708">
      <c r="A708" s="25"/>
      <c r="B708" s="3"/>
    </row>
    <row r="709">
      <c r="A709" s="25"/>
      <c r="B709" s="3"/>
    </row>
    <row r="710">
      <c r="A710" s="25"/>
      <c r="B710" s="3"/>
    </row>
    <row r="711">
      <c r="A711" s="25"/>
      <c r="B711" s="3"/>
    </row>
    <row r="712">
      <c r="A712" s="25"/>
      <c r="B712" s="3"/>
    </row>
    <row r="713">
      <c r="A713" s="25"/>
      <c r="B713" s="3"/>
    </row>
    <row r="714">
      <c r="A714" s="25"/>
      <c r="B714" s="3"/>
    </row>
    <row r="715">
      <c r="A715" s="25"/>
      <c r="B715" s="3"/>
    </row>
    <row r="716">
      <c r="A716" s="25"/>
      <c r="B716" s="3"/>
    </row>
    <row r="717">
      <c r="A717" s="25"/>
      <c r="B717" s="3"/>
    </row>
    <row r="718">
      <c r="A718" s="25"/>
      <c r="B718" s="3"/>
    </row>
    <row r="719">
      <c r="A719" s="25"/>
      <c r="B719" s="3"/>
    </row>
    <row r="720">
      <c r="A720" s="25"/>
      <c r="B720" s="3"/>
    </row>
    <row r="721">
      <c r="A721" s="25"/>
      <c r="B721" s="3"/>
    </row>
    <row r="722">
      <c r="A722" s="25"/>
      <c r="B722" s="3"/>
    </row>
    <row r="723">
      <c r="A723" s="25"/>
      <c r="B723" s="3"/>
    </row>
    <row r="724">
      <c r="A724" s="25"/>
      <c r="B724" s="3"/>
    </row>
    <row r="725">
      <c r="A725" s="25"/>
      <c r="B725" s="3"/>
    </row>
    <row r="726">
      <c r="A726" s="25"/>
      <c r="B726" s="3"/>
    </row>
    <row r="727">
      <c r="A727" s="25"/>
      <c r="B727" s="3"/>
    </row>
    <row r="728">
      <c r="A728" s="25"/>
      <c r="B728" s="3"/>
    </row>
    <row r="729">
      <c r="A729" s="25"/>
      <c r="B729" s="3"/>
    </row>
    <row r="730">
      <c r="A730" s="25"/>
      <c r="B730" s="3"/>
    </row>
    <row r="731">
      <c r="A731" s="25"/>
      <c r="B731" s="3"/>
    </row>
    <row r="732">
      <c r="A732" s="25"/>
      <c r="B732" s="3"/>
    </row>
    <row r="733">
      <c r="A733" s="25"/>
      <c r="B733" s="3"/>
    </row>
    <row r="734">
      <c r="A734" s="25"/>
      <c r="B734" s="3"/>
    </row>
    <row r="735">
      <c r="A735" s="25"/>
      <c r="B735" s="3"/>
    </row>
    <row r="736">
      <c r="A736" s="25"/>
      <c r="B736" s="3"/>
    </row>
    <row r="737">
      <c r="A737" s="25"/>
      <c r="B737" s="3"/>
    </row>
    <row r="738">
      <c r="A738" s="25"/>
      <c r="B738" s="3"/>
    </row>
    <row r="739">
      <c r="A739" s="25"/>
      <c r="B739" s="3"/>
    </row>
    <row r="740">
      <c r="A740" s="25"/>
      <c r="B740" s="3"/>
    </row>
    <row r="741">
      <c r="A741" s="25"/>
      <c r="B741" s="3"/>
    </row>
    <row r="742">
      <c r="A742" s="25"/>
      <c r="B742" s="3"/>
    </row>
    <row r="743">
      <c r="A743" s="25"/>
      <c r="B743" s="3"/>
    </row>
    <row r="744">
      <c r="A744" s="25"/>
      <c r="B744" s="3"/>
    </row>
    <row r="745">
      <c r="A745" s="25"/>
      <c r="B745" s="3"/>
    </row>
    <row r="746">
      <c r="A746" s="25"/>
      <c r="B746" s="3"/>
    </row>
    <row r="747">
      <c r="A747" s="25"/>
      <c r="B747" s="3"/>
    </row>
    <row r="748">
      <c r="A748" s="25"/>
      <c r="B748" s="3"/>
    </row>
    <row r="749">
      <c r="A749" s="25"/>
      <c r="B749" s="3"/>
    </row>
    <row r="750">
      <c r="A750" s="25"/>
      <c r="B750" s="3"/>
    </row>
    <row r="751">
      <c r="A751" s="25"/>
      <c r="B751" s="3"/>
    </row>
    <row r="752">
      <c r="A752" s="25"/>
      <c r="B752" s="3"/>
    </row>
    <row r="753">
      <c r="A753" s="25"/>
      <c r="B753" s="3"/>
    </row>
    <row r="754">
      <c r="A754" s="25"/>
      <c r="B754" s="3"/>
    </row>
    <row r="755">
      <c r="A755" s="25"/>
      <c r="B755" s="3"/>
    </row>
    <row r="756">
      <c r="A756" s="25"/>
      <c r="B756" s="3"/>
    </row>
    <row r="757">
      <c r="A757" s="25"/>
      <c r="B757" s="3"/>
    </row>
    <row r="758">
      <c r="A758" s="25"/>
      <c r="B758" s="3"/>
    </row>
    <row r="759">
      <c r="A759" s="25"/>
      <c r="B759" s="3"/>
    </row>
    <row r="760">
      <c r="A760" s="25"/>
      <c r="B760" s="3"/>
    </row>
    <row r="761">
      <c r="A761" s="25"/>
      <c r="B761" s="3"/>
    </row>
    <row r="762">
      <c r="A762" s="25"/>
      <c r="B762" s="3"/>
    </row>
    <row r="763">
      <c r="A763" s="25"/>
      <c r="B763" s="3"/>
    </row>
    <row r="764">
      <c r="A764" s="25"/>
      <c r="B764" s="3"/>
    </row>
    <row r="765">
      <c r="A765" s="25"/>
      <c r="B765" s="3"/>
    </row>
    <row r="766">
      <c r="A766" s="25"/>
      <c r="B766" s="3"/>
    </row>
    <row r="767">
      <c r="A767" s="25"/>
      <c r="B767" s="3"/>
    </row>
    <row r="768">
      <c r="A768" s="25"/>
      <c r="B768" s="3"/>
    </row>
    <row r="769">
      <c r="A769" s="25"/>
      <c r="B769" s="3"/>
    </row>
    <row r="770">
      <c r="A770" s="25"/>
      <c r="B770" s="3"/>
    </row>
    <row r="771">
      <c r="A771" s="25"/>
      <c r="B771" s="3"/>
    </row>
    <row r="772">
      <c r="A772" s="25"/>
      <c r="B772" s="3"/>
    </row>
    <row r="773">
      <c r="A773" s="25"/>
      <c r="B773" s="3"/>
    </row>
    <row r="774">
      <c r="A774" s="25"/>
      <c r="B774" s="3"/>
    </row>
    <row r="775">
      <c r="A775" s="25"/>
      <c r="B775" s="3"/>
    </row>
    <row r="776">
      <c r="A776" s="25"/>
      <c r="B776" s="3"/>
    </row>
    <row r="777">
      <c r="A777" s="25"/>
      <c r="B777" s="3"/>
    </row>
    <row r="778">
      <c r="A778" s="25"/>
      <c r="B778" s="3"/>
    </row>
    <row r="779">
      <c r="A779" s="25"/>
      <c r="B779" s="3"/>
    </row>
    <row r="780">
      <c r="A780" s="25"/>
      <c r="B780" s="3"/>
    </row>
    <row r="781">
      <c r="A781" s="25"/>
      <c r="B781" s="3"/>
    </row>
    <row r="782">
      <c r="A782" s="25"/>
      <c r="B782" s="3"/>
    </row>
    <row r="783">
      <c r="A783" s="25"/>
      <c r="B783" s="3"/>
    </row>
    <row r="784">
      <c r="A784" s="25"/>
      <c r="B784" s="3"/>
    </row>
    <row r="785">
      <c r="A785" s="25"/>
      <c r="B785" s="3"/>
    </row>
    <row r="786">
      <c r="A786" s="25"/>
      <c r="B786" s="3"/>
    </row>
    <row r="787">
      <c r="A787" s="25"/>
      <c r="B787" s="3"/>
    </row>
    <row r="788">
      <c r="A788" s="25"/>
      <c r="B788" s="3"/>
    </row>
    <row r="789">
      <c r="A789" s="25"/>
      <c r="B789" s="3"/>
    </row>
    <row r="790">
      <c r="A790" s="25"/>
      <c r="B790" s="3"/>
    </row>
    <row r="791">
      <c r="A791" s="25"/>
      <c r="B791" s="3"/>
    </row>
    <row r="792">
      <c r="A792" s="25"/>
      <c r="B792" s="3"/>
    </row>
    <row r="793">
      <c r="A793" s="25"/>
      <c r="B793" s="3"/>
    </row>
    <row r="794">
      <c r="A794" s="25"/>
      <c r="B794" s="3"/>
    </row>
    <row r="795">
      <c r="A795" s="25"/>
      <c r="B795" s="3"/>
    </row>
    <row r="796">
      <c r="A796" s="25"/>
      <c r="B796" s="3"/>
    </row>
    <row r="797">
      <c r="A797" s="25"/>
      <c r="B797" s="3"/>
    </row>
    <row r="798">
      <c r="A798" s="25"/>
      <c r="B798" s="3"/>
    </row>
    <row r="799">
      <c r="A799" s="25"/>
      <c r="B799" s="3"/>
    </row>
    <row r="800">
      <c r="A800" s="25"/>
      <c r="B800" s="3"/>
    </row>
    <row r="801">
      <c r="A801" s="25"/>
      <c r="B801" s="3"/>
    </row>
    <row r="802">
      <c r="A802" s="25"/>
      <c r="B802" s="3"/>
    </row>
    <row r="803">
      <c r="A803" s="25"/>
      <c r="B803" s="3"/>
    </row>
    <row r="804">
      <c r="A804" s="25"/>
      <c r="B804" s="3"/>
    </row>
    <row r="805">
      <c r="A805" s="25"/>
      <c r="B805" s="3"/>
    </row>
    <row r="806">
      <c r="A806" s="25"/>
      <c r="B806" s="3"/>
    </row>
    <row r="807">
      <c r="A807" s="25"/>
      <c r="B807" s="3"/>
    </row>
    <row r="808">
      <c r="A808" s="25"/>
      <c r="B808" s="3"/>
    </row>
    <row r="809">
      <c r="A809" s="25"/>
      <c r="B809" s="3"/>
    </row>
    <row r="810">
      <c r="A810" s="25"/>
      <c r="B810" s="3"/>
    </row>
    <row r="811">
      <c r="A811" s="25"/>
      <c r="B811" s="3"/>
    </row>
    <row r="812">
      <c r="A812" s="25"/>
      <c r="B812" s="3"/>
    </row>
    <row r="813">
      <c r="A813" s="25"/>
      <c r="B813" s="3"/>
    </row>
    <row r="814">
      <c r="A814" s="25"/>
      <c r="B814" s="3"/>
    </row>
    <row r="815">
      <c r="A815" s="25"/>
      <c r="B815" s="3"/>
    </row>
    <row r="816">
      <c r="A816" s="25"/>
      <c r="B816" s="3"/>
    </row>
    <row r="817">
      <c r="A817" s="25"/>
      <c r="B817" s="3"/>
    </row>
    <row r="818">
      <c r="A818" s="25"/>
      <c r="B818" s="3"/>
    </row>
    <row r="819">
      <c r="A819" s="25"/>
      <c r="B819" s="3"/>
    </row>
    <row r="820">
      <c r="A820" s="25"/>
      <c r="B820" s="3"/>
    </row>
    <row r="821">
      <c r="A821" s="25"/>
      <c r="B821" s="3"/>
    </row>
    <row r="822">
      <c r="A822" s="25"/>
      <c r="B822" s="3"/>
    </row>
    <row r="823">
      <c r="A823" s="25"/>
      <c r="B823" s="3"/>
    </row>
    <row r="824">
      <c r="A824" s="25"/>
      <c r="B824" s="3"/>
    </row>
    <row r="825">
      <c r="A825" s="25"/>
      <c r="B825" s="3"/>
    </row>
    <row r="826">
      <c r="A826" s="25"/>
      <c r="B826" s="3"/>
    </row>
    <row r="827">
      <c r="A827" s="25"/>
      <c r="B827" s="3"/>
    </row>
    <row r="828">
      <c r="A828" s="25"/>
      <c r="B828" s="3"/>
    </row>
    <row r="829">
      <c r="A829" s="25"/>
      <c r="B829" s="3"/>
    </row>
    <row r="830">
      <c r="A830" s="25"/>
      <c r="B830" s="3"/>
    </row>
    <row r="831">
      <c r="A831" s="25"/>
      <c r="B831" s="3"/>
    </row>
    <row r="832">
      <c r="A832" s="25"/>
      <c r="B832" s="3"/>
    </row>
    <row r="833">
      <c r="A833" s="25"/>
      <c r="B833" s="3"/>
    </row>
    <row r="834">
      <c r="A834" s="25"/>
      <c r="B834" s="3"/>
    </row>
    <row r="835">
      <c r="A835" s="25"/>
      <c r="B835" s="3"/>
    </row>
    <row r="836">
      <c r="A836" s="25"/>
      <c r="B836" s="3"/>
    </row>
    <row r="837">
      <c r="A837" s="25"/>
      <c r="B837" s="3"/>
    </row>
    <row r="838">
      <c r="A838" s="25"/>
      <c r="B838" s="3"/>
    </row>
    <row r="839">
      <c r="A839" s="25"/>
      <c r="B839" s="3"/>
    </row>
    <row r="840">
      <c r="A840" s="25"/>
      <c r="B840" s="3"/>
    </row>
    <row r="841">
      <c r="A841" s="25"/>
      <c r="B841" s="3"/>
    </row>
    <row r="842">
      <c r="A842" s="25"/>
      <c r="B842" s="3"/>
    </row>
    <row r="843">
      <c r="A843" s="25"/>
      <c r="B843" s="3"/>
    </row>
    <row r="844">
      <c r="A844" s="25"/>
      <c r="B844" s="3"/>
    </row>
    <row r="845">
      <c r="A845" s="25"/>
      <c r="B845" s="3"/>
    </row>
    <row r="846">
      <c r="A846" s="25"/>
      <c r="B846" s="3"/>
    </row>
    <row r="847">
      <c r="A847" s="25"/>
      <c r="B847" s="3"/>
    </row>
    <row r="848">
      <c r="A848" s="25"/>
      <c r="B848" s="3"/>
    </row>
    <row r="849">
      <c r="A849" s="25"/>
      <c r="B849" s="3"/>
    </row>
    <row r="850">
      <c r="A850" s="25"/>
      <c r="B850" s="3"/>
    </row>
    <row r="851">
      <c r="A851" s="25"/>
      <c r="B851" s="3"/>
    </row>
    <row r="852">
      <c r="A852" s="25"/>
      <c r="B852" s="3"/>
    </row>
    <row r="853">
      <c r="A853" s="25"/>
      <c r="B853" s="3"/>
    </row>
    <row r="854">
      <c r="A854" s="25"/>
      <c r="B854" s="3"/>
    </row>
    <row r="855">
      <c r="A855" s="25"/>
      <c r="B855" s="3"/>
    </row>
    <row r="856">
      <c r="A856" s="25"/>
      <c r="B856" s="3"/>
    </row>
    <row r="857">
      <c r="A857" s="25"/>
      <c r="B857" s="3"/>
    </row>
    <row r="858">
      <c r="A858" s="25"/>
      <c r="B858" s="3"/>
    </row>
    <row r="859">
      <c r="A859" s="25"/>
      <c r="B859" s="3"/>
    </row>
    <row r="860">
      <c r="A860" s="25"/>
      <c r="B860" s="3"/>
    </row>
    <row r="861">
      <c r="A861" s="25"/>
      <c r="B861" s="3"/>
    </row>
    <row r="862">
      <c r="A862" s="25"/>
      <c r="B862" s="3"/>
    </row>
    <row r="863">
      <c r="A863" s="25"/>
      <c r="B863" s="3"/>
    </row>
    <row r="864">
      <c r="A864" s="25"/>
      <c r="B864" s="3"/>
    </row>
    <row r="865">
      <c r="A865" s="25"/>
      <c r="B865" s="3"/>
    </row>
    <row r="866">
      <c r="A866" s="25"/>
      <c r="B866" s="3"/>
    </row>
    <row r="867">
      <c r="A867" s="25"/>
      <c r="B867" s="3"/>
    </row>
    <row r="868">
      <c r="A868" s="25"/>
      <c r="B868" s="3"/>
    </row>
    <row r="869">
      <c r="A869" s="25"/>
      <c r="B869" s="3"/>
    </row>
    <row r="870">
      <c r="A870" s="25"/>
      <c r="B870" s="3"/>
    </row>
    <row r="871">
      <c r="A871" s="25"/>
      <c r="B871" s="3"/>
    </row>
    <row r="872">
      <c r="A872" s="25"/>
      <c r="B872" s="3"/>
    </row>
    <row r="873">
      <c r="A873" s="25"/>
      <c r="B873" s="3"/>
    </row>
    <row r="874">
      <c r="A874" s="25"/>
      <c r="B874" s="3"/>
    </row>
    <row r="875">
      <c r="A875" s="25"/>
      <c r="B875" s="3"/>
    </row>
    <row r="876">
      <c r="A876" s="25"/>
      <c r="B876" s="3"/>
    </row>
    <row r="877">
      <c r="A877" s="25"/>
      <c r="B877" s="3"/>
    </row>
    <row r="878">
      <c r="A878" s="25"/>
      <c r="B878" s="3"/>
    </row>
    <row r="879">
      <c r="A879" s="25"/>
      <c r="B879" s="3"/>
    </row>
    <row r="880">
      <c r="A880" s="25"/>
      <c r="B880" s="3"/>
    </row>
    <row r="881">
      <c r="A881" s="25"/>
      <c r="B881" s="3"/>
    </row>
    <row r="882">
      <c r="A882" s="25"/>
      <c r="B882" s="3"/>
    </row>
    <row r="883">
      <c r="A883" s="25"/>
      <c r="B883" s="3"/>
    </row>
    <row r="884">
      <c r="A884" s="25"/>
      <c r="B884" s="3"/>
    </row>
    <row r="885">
      <c r="A885" s="25"/>
      <c r="B885" s="3"/>
    </row>
    <row r="886">
      <c r="A886" s="25"/>
      <c r="B886" s="3"/>
    </row>
    <row r="887">
      <c r="A887" s="25"/>
      <c r="B887" s="3"/>
    </row>
    <row r="888">
      <c r="A888" s="25"/>
      <c r="B888" s="3"/>
    </row>
    <row r="889">
      <c r="A889" s="25"/>
      <c r="B889" s="3"/>
    </row>
    <row r="890">
      <c r="A890" s="25"/>
      <c r="B890" s="3"/>
    </row>
    <row r="891">
      <c r="A891" s="25"/>
      <c r="B891" s="3"/>
    </row>
    <row r="892">
      <c r="A892" s="25"/>
      <c r="B892" s="3"/>
    </row>
    <row r="893">
      <c r="A893" s="25"/>
      <c r="B893" s="3"/>
    </row>
    <row r="894">
      <c r="A894" s="25"/>
      <c r="B894" s="3"/>
    </row>
    <row r="895">
      <c r="A895" s="25"/>
      <c r="B895" s="3"/>
    </row>
    <row r="896">
      <c r="A896" s="25"/>
      <c r="B896" s="3"/>
    </row>
    <row r="897">
      <c r="A897" s="25"/>
      <c r="B897" s="3"/>
    </row>
    <row r="898">
      <c r="A898" s="25"/>
      <c r="B898" s="3"/>
    </row>
    <row r="899">
      <c r="A899" s="25"/>
      <c r="B899" s="3"/>
    </row>
    <row r="900">
      <c r="A900" s="25"/>
      <c r="B900" s="3"/>
    </row>
    <row r="901">
      <c r="A901" s="25"/>
      <c r="B901" s="3"/>
    </row>
    <row r="902">
      <c r="A902" s="25"/>
      <c r="B902" s="3"/>
    </row>
    <row r="903">
      <c r="A903" s="25"/>
      <c r="B903" s="3"/>
    </row>
    <row r="904">
      <c r="A904" s="25"/>
      <c r="B904" s="3"/>
    </row>
    <row r="905">
      <c r="A905" s="25"/>
      <c r="B905" s="3"/>
    </row>
    <row r="906">
      <c r="A906" s="25"/>
      <c r="B906" s="3"/>
    </row>
    <row r="907">
      <c r="A907" s="25"/>
      <c r="B907" s="3"/>
    </row>
    <row r="908">
      <c r="A908" s="25"/>
      <c r="B908" s="3"/>
    </row>
    <row r="909">
      <c r="A909" s="25"/>
      <c r="B909" s="3"/>
    </row>
    <row r="910">
      <c r="A910" s="25"/>
      <c r="B910" s="3"/>
    </row>
    <row r="911">
      <c r="A911" s="25"/>
      <c r="B911" s="3"/>
    </row>
    <row r="912">
      <c r="A912" s="25"/>
      <c r="B912" s="3"/>
    </row>
    <row r="913">
      <c r="A913" s="25"/>
      <c r="B913" s="3"/>
    </row>
    <row r="914">
      <c r="A914" s="25"/>
      <c r="B914" s="3"/>
    </row>
    <row r="915">
      <c r="A915" s="25"/>
      <c r="B915" s="3"/>
    </row>
    <row r="916">
      <c r="A916" s="25"/>
      <c r="B916" s="3"/>
    </row>
    <row r="917">
      <c r="A917" s="25"/>
      <c r="B917" s="3"/>
    </row>
    <row r="918">
      <c r="A918" s="25"/>
      <c r="B918" s="3"/>
    </row>
    <row r="919">
      <c r="A919" s="25"/>
      <c r="B919" s="3"/>
    </row>
    <row r="920">
      <c r="A920" s="25"/>
      <c r="B920" s="3"/>
    </row>
    <row r="921">
      <c r="A921" s="25"/>
      <c r="B921" s="3"/>
    </row>
    <row r="922">
      <c r="A922" s="25"/>
      <c r="B922" s="3"/>
    </row>
    <row r="923">
      <c r="A923" s="25"/>
      <c r="B923" s="3"/>
    </row>
    <row r="924">
      <c r="A924" s="25"/>
      <c r="B924" s="3"/>
    </row>
    <row r="925">
      <c r="A925" s="25"/>
      <c r="B925" s="3"/>
    </row>
    <row r="926">
      <c r="A926" s="25"/>
      <c r="B926" s="3"/>
    </row>
    <row r="927">
      <c r="A927" s="25"/>
      <c r="B927" s="3"/>
    </row>
    <row r="928">
      <c r="A928" s="25"/>
      <c r="B928" s="3"/>
    </row>
    <row r="929">
      <c r="A929" s="25"/>
      <c r="B929" s="3"/>
    </row>
    <row r="930">
      <c r="A930" s="25"/>
      <c r="B930" s="3"/>
    </row>
    <row r="931">
      <c r="A931" s="25"/>
      <c r="B931" s="3"/>
    </row>
    <row r="932">
      <c r="A932" s="25"/>
      <c r="B932" s="3"/>
    </row>
    <row r="933">
      <c r="A933" s="25"/>
      <c r="B933" s="3"/>
    </row>
    <row r="934">
      <c r="A934" s="25"/>
      <c r="B934" s="3"/>
    </row>
    <row r="935">
      <c r="A935" s="25"/>
      <c r="B935" s="3"/>
    </row>
    <row r="936">
      <c r="A936" s="25"/>
      <c r="B936" s="3"/>
    </row>
    <row r="937">
      <c r="A937" s="25"/>
      <c r="B937" s="3"/>
    </row>
    <row r="938">
      <c r="A938" s="25"/>
      <c r="B938" s="3"/>
    </row>
    <row r="939">
      <c r="A939" s="25"/>
      <c r="B939" s="3"/>
    </row>
    <row r="940">
      <c r="A940" s="25"/>
      <c r="B940" s="3"/>
    </row>
    <row r="941">
      <c r="A941" s="25"/>
      <c r="B941" s="3"/>
    </row>
    <row r="942">
      <c r="A942" s="25"/>
      <c r="B942" s="3"/>
    </row>
    <row r="943">
      <c r="A943" s="25"/>
      <c r="B943" s="3"/>
    </row>
    <row r="944">
      <c r="A944" s="25"/>
      <c r="B944" s="3"/>
    </row>
    <row r="945">
      <c r="A945" s="25"/>
      <c r="B945" s="3"/>
    </row>
    <row r="946">
      <c r="A946" s="25"/>
      <c r="B946" s="3"/>
    </row>
    <row r="947">
      <c r="A947" s="25"/>
      <c r="B947" s="3"/>
    </row>
    <row r="948">
      <c r="A948" s="25"/>
      <c r="B948" s="3"/>
    </row>
    <row r="949">
      <c r="A949" s="25"/>
      <c r="B949" s="3"/>
    </row>
    <row r="950">
      <c r="A950" s="25"/>
      <c r="B950" s="3"/>
    </row>
    <row r="951">
      <c r="A951" s="25"/>
      <c r="B951" s="3"/>
    </row>
    <row r="952">
      <c r="A952" s="25"/>
      <c r="B952" s="3"/>
    </row>
    <row r="953">
      <c r="A953" s="25"/>
      <c r="B953" s="3"/>
    </row>
    <row r="954">
      <c r="A954" s="25"/>
      <c r="B954" s="3"/>
    </row>
    <row r="955">
      <c r="A955" s="25"/>
      <c r="B955" s="3"/>
    </row>
    <row r="956">
      <c r="A956" s="25"/>
      <c r="B956" s="3"/>
    </row>
    <row r="957">
      <c r="A957" s="25"/>
      <c r="B957" s="3"/>
    </row>
    <row r="958">
      <c r="A958" s="25"/>
      <c r="B958" s="3"/>
    </row>
    <row r="959">
      <c r="A959" s="25"/>
      <c r="B959" s="3"/>
    </row>
    <row r="960">
      <c r="A960" s="25"/>
      <c r="B960" s="3"/>
    </row>
    <row r="961">
      <c r="A961" s="25"/>
      <c r="B961" s="3"/>
    </row>
    <row r="962">
      <c r="A962" s="25"/>
      <c r="B962" s="3"/>
    </row>
    <row r="963">
      <c r="A963" s="25"/>
      <c r="B963" s="3"/>
    </row>
    <row r="964">
      <c r="A964" s="25"/>
      <c r="B964" s="3"/>
    </row>
    <row r="965">
      <c r="A965" s="25"/>
      <c r="B965" s="3"/>
    </row>
    <row r="966">
      <c r="A966" s="25"/>
      <c r="B966" s="3"/>
    </row>
    <row r="967">
      <c r="A967" s="25"/>
      <c r="B967" s="3"/>
    </row>
    <row r="968">
      <c r="A968" s="25"/>
      <c r="B968" s="3"/>
    </row>
    <row r="969">
      <c r="A969" s="25"/>
      <c r="B969" s="3"/>
    </row>
    <row r="970">
      <c r="A970" s="25"/>
      <c r="B970" s="3"/>
    </row>
    <row r="971">
      <c r="A971" s="25"/>
      <c r="B971" s="3"/>
    </row>
    <row r="972">
      <c r="A972" s="25"/>
      <c r="B972" s="3"/>
    </row>
    <row r="973">
      <c r="A973" s="25"/>
      <c r="B973" s="3"/>
    </row>
    <row r="974">
      <c r="A974" s="25"/>
      <c r="B974" s="3"/>
    </row>
    <row r="975">
      <c r="A975" s="25"/>
      <c r="B975" s="3"/>
    </row>
    <row r="976">
      <c r="A976" s="25"/>
      <c r="B976" s="3"/>
    </row>
    <row r="977">
      <c r="A977" s="25"/>
      <c r="B977" s="3"/>
    </row>
    <row r="978">
      <c r="A978" s="25"/>
      <c r="B978" s="3"/>
    </row>
    <row r="979">
      <c r="A979" s="25"/>
      <c r="B979" s="3"/>
    </row>
    <row r="980">
      <c r="A980" s="25"/>
      <c r="B980" s="3"/>
    </row>
    <row r="981">
      <c r="A981" s="25"/>
      <c r="B981" s="3"/>
    </row>
    <row r="982">
      <c r="A982" s="25"/>
      <c r="B982" s="3"/>
    </row>
    <row r="983">
      <c r="A983" s="25"/>
      <c r="B983" s="3"/>
    </row>
    <row r="984">
      <c r="A984" s="25"/>
      <c r="B984" s="3"/>
    </row>
    <row r="985">
      <c r="A985" s="25"/>
      <c r="B985" s="3"/>
    </row>
    <row r="986">
      <c r="A986" s="25"/>
      <c r="B986" s="3"/>
    </row>
    <row r="987">
      <c r="A987" s="25"/>
      <c r="B987" s="3"/>
    </row>
    <row r="988">
      <c r="A988" s="25"/>
      <c r="B988" s="3"/>
    </row>
    <row r="989">
      <c r="A989" s="25"/>
      <c r="B989" s="3"/>
    </row>
    <row r="990">
      <c r="A990" s="25"/>
      <c r="B990" s="3"/>
    </row>
    <row r="991">
      <c r="A991" s="25"/>
      <c r="B991" s="3"/>
    </row>
    <row r="992">
      <c r="A992" s="25"/>
      <c r="B992" s="3"/>
    </row>
    <row r="993">
      <c r="A993" s="25"/>
      <c r="B993" s="3"/>
    </row>
    <row r="994">
      <c r="A994" s="25"/>
      <c r="B994" s="3"/>
    </row>
    <row r="995">
      <c r="A995" s="25"/>
      <c r="B995" s="3"/>
    </row>
    <row r="996">
      <c r="A996" s="25"/>
      <c r="B996" s="3"/>
    </row>
    <row r="997">
      <c r="A997" s="25"/>
      <c r="B997" s="3"/>
    </row>
    <row r="998">
      <c r="A998" s="25"/>
      <c r="B998" s="3"/>
    </row>
    <row r="999">
      <c r="A999" s="25"/>
      <c r="B999" s="3"/>
    </row>
    <row r="1000">
      <c r="A1000" s="25"/>
      <c r="B1000" s="3"/>
    </row>
    <row r="1001">
      <c r="A1001" s="25"/>
      <c r="B1001" s="3"/>
    </row>
    <row r="1002">
      <c r="A1002" s="25"/>
      <c r="B1002" s="3"/>
    </row>
    <row r="1003">
      <c r="A1003" s="25"/>
      <c r="B1003" s="3"/>
    </row>
    <row r="1004">
      <c r="A1004" s="25"/>
      <c r="B1004" s="3"/>
    </row>
    <row r="1005">
      <c r="A1005" s="25"/>
      <c r="B1005" s="3"/>
    </row>
    <row r="1006">
      <c r="A1006" s="25"/>
      <c r="B1006" s="3"/>
    </row>
    <row r="1007">
      <c r="A1007" s="25"/>
      <c r="B1007" s="3"/>
    </row>
    <row r="1008">
      <c r="A1008" s="25"/>
      <c r="B1008" s="3"/>
    </row>
    <row r="1009">
      <c r="A1009" s="25"/>
      <c r="B1009" s="3"/>
    </row>
    <row r="1010">
      <c r="A1010" s="25"/>
      <c r="B1010" s="3"/>
    </row>
    <row r="1011">
      <c r="A1011" s="25"/>
      <c r="B1011" s="3"/>
    </row>
    <row r="1012">
      <c r="A1012" s="25"/>
      <c r="B1012" s="3"/>
    </row>
    <row r="1013">
      <c r="A1013" s="25"/>
      <c r="B1013" s="3"/>
    </row>
    <row r="1014">
      <c r="A1014" s="25"/>
      <c r="B1014" s="3"/>
    </row>
    <row r="1015">
      <c r="A1015" s="25"/>
      <c r="B1015" s="3"/>
    </row>
    <row r="1016">
      <c r="A1016" s="25"/>
      <c r="B1016" s="3"/>
    </row>
    <row r="1017">
      <c r="A1017" s="25"/>
      <c r="B1017" s="3"/>
    </row>
    <row r="1018">
      <c r="A1018" s="25"/>
      <c r="B1018" s="3"/>
    </row>
    <row r="1019">
      <c r="A1019" s="25"/>
      <c r="B1019" s="3"/>
    </row>
    <row r="1020">
      <c r="A1020" s="25"/>
      <c r="B1020" s="3"/>
    </row>
    <row r="1021">
      <c r="A1021" s="25"/>
      <c r="B1021" s="3"/>
    </row>
    <row r="1022">
      <c r="A1022" s="25"/>
      <c r="B1022" s="3"/>
    </row>
    <row r="1023">
      <c r="A1023" s="25"/>
      <c r="B1023" s="3"/>
    </row>
    <row r="1024">
      <c r="A1024" s="25"/>
      <c r="B1024" s="3"/>
    </row>
    <row r="1025">
      <c r="A1025" s="25"/>
      <c r="B1025" s="3"/>
    </row>
    <row r="1026">
      <c r="A1026" s="25"/>
      <c r="B1026" s="3"/>
    </row>
    <row r="1027">
      <c r="A1027" s="25"/>
      <c r="B1027" s="3"/>
    </row>
    <row r="1028">
      <c r="A1028" s="25"/>
      <c r="B1028" s="3"/>
    </row>
    <row r="1029">
      <c r="A1029" s="25"/>
      <c r="B1029" s="3"/>
    </row>
    <row r="1030">
      <c r="A1030" s="25"/>
      <c r="B1030" s="3"/>
    </row>
    <row r="1031">
      <c r="A1031" s="25"/>
      <c r="B1031" s="3"/>
    </row>
    <row r="1032">
      <c r="A1032" s="25"/>
      <c r="B1032" s="3"/>
    </row>
    <row r="1033">
      <c r="A1033" s="25"/>
      <c r="B1033" s="3"/>
    </row>
    <row r="1034">
      <c r="A1034" s="25"/>
      <c r="B1034" s="3"/>
    </row>
    <row r="1035">
      <c r="A1035" s="25"/>
      <c r="B1035" s="3"/>
    </row>
    <row r="1036">
      <c r="A1036" s="25"/>
      <c r="B1036" s="3"/>
    </row>
    <row r="1037">
      <c r="A1037" s="25"/>
      <c r="B1037" s="3"/>
    </row>
    <row r="1038">
      <c r="A1038" s="25"/>
      <c r="B1038" s="3"/>
    </row>
  </sheetData>
  <conditionalFormatting sqref="D2:D1040">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C2:C5 C7:C10 C12:C15 C17:C20 C22:C25 C27:C30 C32:C35 C37:C40 C42:C45 C47:C50 C52:C55 C57:C60 C62:C65 C67:C70 C72:C75 C77:C80 C82:C85 C87:C90 C92:C95 C97:C100 C102:C105 C107:C110 C112:C115 C117:C120 C122:C125 C127:C130 C132:C135 C137:C140 C142:C145 C147:C150 C152:C155 C157:C160 C162:C165 C167:C170 C172:C175 C177:C180 C182:C185 C187:C190 C192:C195 C197:C200 C202:C203 C205:C206 C208:C209 C211:C212 C214:C215 C217:C218 C220:C221 C223:C224 C226:C227 C229:C230">
      <formula1>"5W1H,Base,CoT,tldr,Heading,Jeremy,Begoña,Alba,Naiara"</formula1>
    </dataValidation>
    <dataValidation type="list" allowBlank="1" showErrorMessage="1" sqref="E2:I5 E7:I10 E12:I15 E17:I20 E22:I25 E27:I30 E32:I35 E37:I40 E42:I45 E47:I50 E52:I55 E57:I60 E62:I65 E67:I70 E72:I75 E77:I80 E82:I85 E87:I90 E92:I95 E97:I100 E102:I105 E107:I110 E112:I115 E117:I120 E122:I125 E127:I130 E132:I135 E137:I140 E142:I145 E147:I150 E152:I155 E157:I160 E162:I165 E167:I170 E172:I175 E177:I180 E182:I185 E187:I190 E192:I195 E197:I200 E202:I203 E205:I206 E208:I209 E211:I212 E214:I215 E217:I218 E220:I221 E223:I224 E226:I227 E229:I230">
      <formula1>"1,2,3,4,5"</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sheetData>
    <row r="1">
      <c r="A1" s="94" t="s">
        <v>146</v>
      </c>
      <c r="B1" s="95"/>
      <c r="C1" s="96"/>
      <c r="D1" s="96"/>
      <c r="E1" s="96"/>
      <c r="F1" s="96"/>
      <c r="G1" s="96"/>
      <c r="H1" s="96"/>
      <c r="I1" s="96"/>
      <c r="J1" s="96"/>
      <c r="K1" s="96"/>
      <c r="L1" s="96"/>
      <c r="M1" s="96"/>
      <c r="N1" s="96"/>
      <c r="O1" s="96"/>
      <c r="P1" s="96"/>
      <c r="Q1" s="96"/>
      <c r="R1" s="96"/>
      <c r="S1" s="96"/>
      <c r="T1" s="96"/>
      <c r="U1" s="96"/>
      <c r="V1" s="96"/>
      <c r="W1" s="96"/>
      <c r="X1" s="96"/>
      <c r="Y1" s="96"/>
      <c r="Z1" s="96"/>
    </row>
    <row r="2">
      <c r="A2" s="97" t="s">
        <v>19</v>
      </c>
      <c r="B2" s="98" t="s">
        <v>147</v>
      </c>
      <c r="C2" s="99"/>
      <c r="D2" s="99"/>
      <c r="E2" s="99"/>
      <c r="F2" s="99"/>
      <c r="G2" s="99"/>
      <c r="H2" s="99"/>
      <c r="I2" s="99"/>
      <c r="J2" s="99"/>
      <c r="K2" s="99"/>
      <c r="L2" s="99"/>
      <c r="M2" s="99"/>
      <c r="N2" s="99"/>
      <c r="O2" s="99"/>
      <c r="P2" s="99"/>
      <c r="Q2" s="99"/>
      <c r="R2" s="99"/>
      <c r="S2" s="99"/>
      <c r="T2" s="99"/>
      <c r="U2" s="99"/>
      <c r="V2" s="99"/>
      <c r="W2" s="99"/>
      <c r="X2" s="99"/>
      <c r="Y2" s="99"/>
      <c r="Z2" s="99"/>
    </row>
    <row r="3">
      <c r="A3" s="97" t="s">
        <v>20</v>
      </c>
      <c r="B3" s="98" t="s">
        <v>148</v>
      </c>
      <c r="C3" s="99"/>
      <c r="D3" s="99"/>
      <c r="E3" s="99"/>
      <c r="F3" s="99"/>
      <c r="G3" s="99"/>
      <c r="H3" s="99"/>
      <c r="I3" s="99"/>
      <c r="J3" s="99"/>
      <c r="K3" s="99"/>
      <c r="L3" s="99"/>
      <c r="M3" s="99"/>
      <c r="N3" s="99"/>
      <c r="O3" s="99"/>
      <c r="P3" s="99"/>
      <c r="Q3" s="99"/>
      <c r="R3" s="99"/>
      <c r="S3" s="99"/>
      <c r="T3" s="99"/>
      <c r="U3" s="99"/>
      <c r="V3" s="99"/>
      <c r="W3" s="99"/>
      <c r="X3" s="99"/>
      <c r="Y3" s="99"/>
      <c r="Z3" s="99"/>
    </row>
    <row r="4">
      <c r="A4" s="97" t="s">
        <v>8</v>
      </c>
      <c r="B4" s="98" t="s">
        <v>149</v>
      </c>
      <c r="C4" s="99"/>
      <c r="D4" s="99"/>
      <c r="E4" s="99"/>
      <c r="F4" s="99"/>
      <c r="G4" s="99"/>
      <c r="H4" s="99"/>
      <c r="I4" s="99"/>
      <c r="J4" s="99"/>
      <c r="K4" s="99"/>
      <c r="L4" s="99"/>
      <c r="M4" s="99"/>
      <c r="N4" s="99"/>
      <c r="O4" s="99"/>
      <c r="P4" s="99"/>
      <c r="Q4" s="99"/>
      <c r="R4" s="99"/>
      <c r="S4" s="99"/>
      <c r="T4" s="99"/>
      <c r="U4" s="99"/>
      <c r="V4" s="99"/>
      <c r="W4" s="99"/>
      <c r="X4" s="99"/>
      <c r="Y4" s="99"/>
      <c r="Z4" s="99"/>
    </row>
    <row r="5">
      <c r="A5" s="100" t="s">
        <v>21</v>
      </c>
      <c r="B5" s="99" t="s">
        <v>150</v>
      </c>
      <c r="C5" s="99"/>
      <c r="D5" s="99"/>
      <c r="E5" s="99"/>
      <c r="F5" s="99"/>
      <c r="G5" s="99"/>
      <c r="H5" s="99"/>
      <c r="I5" s="99"/>
      <c r="J5" s="99"/>
      <c r="K5" s="99"/>
      <c r="L5" s="99"/>
      <c r="M5" s="99"/>
      <c r="N5" s="99"/>
      <c r="O5" s="99"/>
      <c r="P5" s="99"/>
      <c r="Q5" s="99"/>
      <c r="R5" s="99"/>
      <c r="S5" s="99"/>
      <c r="T5" s="99"/>
      <c r="U5" s="99"/>
      <c r="V5" s="99"/>
      <c r="W5" s="99"/>
      <c r="X5" s="99"/>
      <c r="Y5" s="99"/>
      <c r="Z5" s="99"/>
    </row>
    <row r="6">
      <c r="A6" s="101" t="s">
        <v>151</v>
      </c>
      <c r="B6" s="96"/>
      <c r="C6" s="96"/>
      <c r="D6" s="96"/>
      <c r="E6" s="96"/>
      <c r="F6" s="96"/>
      <c r="G6" s="96"/>
      <c r="H6" s="96"/>
      <c r="I6" s="96"/>
      <c r="J6" s="96"/>
      <c r="K6" s="96"/>
      <c r="L6" s="96"/>
      <c r="M6" s="96"/>
      <c r="N6" s="96"/>
      <c r="O6" s="96"/>
      <c r="P6" s="96"/>
      <c r="Q6" s="96"/>
      <c r="R6" s="96"/>
      <c r="S6" s="96"/>
      <c r="T6" s="96"/>
      <c r="U6" s="96"/>
      <c r="V6" s="96"/>
      <c r="W6" s="96"/>
      <c r="X6" s="96"/>
      <c r="Y6" s="96"/>
      <c r="Z6" s="96"/>
    </row>
    <row r="7">
      <c r="A7" s="100" t="s">
        <v>16</v>
      </c>
      <c r="B7" s="102" t="s">
        <v>152</v>
      </c>
      <c r="C7" s="99"/>
      <c r="D7" s="99"/>
      <c r="E7" s="99"/>
      <c r="F7" s="99"/>
      <c r="G7" s="99"/>
      <c r="H7" s="99"/>
      <c r="I7" s="99"/>
      <c r="J7" s="99"/>
      <c r="K7" s="99"/>
      <c r="L7" s="99"/>
      <c r="M7" s="99"/>
      <c r="N7" s="99"/>
      <c r="O7" s="99"/>
      <c r="P7" s="99"/>
      <c r="Q7" s="99"/>
      <c r="R7" s="99"/>
      <c r="S7" s="99"/>
      <c r="T7" s="99"/>
      <c r="U7" s="99"/>
      <c r="V7" s="99"/>
      <c r="W7" s="99"/>
      <c r="X7" s="99"/>
      <c r="Y7" s="99"/>
      <c r="Z7" s="99"/>
    </row>
    <row r="8">
      <c r="A8" s="100" t="s">
        <v>17</v>
      </c>
      <c r="B8" s="103" t="s">
        <v>153</v>
      </c>
      <c r="C8" s="99"/>
      <c r="D8" s="99"/>
      <c r="E8" s="99"/>
      <c r="F8" s="99"/>
      <c r="G8" s="99"/>
      <c r="H8" s="99"/>
      <c r="I8" s="99"/>
      <c r="J8" s="99"/>
      <c r="K8" s="99"/>
      <c r="L8" s="99"/>
      <c r="M8" s="99"/>
      <c r="N8" s="99"/>
      <c r="O8" s="99"/>
      <c r="P8" s="99"/>
      <c r="Q8" s="99"/>
      <c r="R8" s="99"/>
      <c r="S8" s="99"/>
      <c r="T8" s="99"/>
      <c r="U8" s="99"/>
      <c r="V8" s="99"/>
      <c r="W8" s="99"/>
      <c r="X8" s="99"/>
      <c r="Y8" s="99"/>
      <c r="Z8" s="99"/>
    </row>
    <row r="9">
      <c r="A9" s="100" t="s">
        <v>154</v>
      </c>
      <c r="B9" s="103" t="s">
        <v>155</v>
      </c>
      <c r="C9" s="99"/>
      <c r="D9" s="99"/>
      <c r="E9" s="99"/>
      <c r="F9" s="99"/>
      <c r="G9" s="99"/>
      <c r="H9" s="99"/>
      <c r="I9" s="99"/>
      <c r="J9" s="99"/>
      <c r="K9" s="99"/>
      <c r="L9" s="99"/>
      <c r="M9" s="99"/>
      <c r="N9" s="99"/>
      <c r="O9" s="99"/>
      <c r="P9" s="99"/>
      <c r="Q9" s="99"/>
      <c r="R9" s="99"/>
      <c r="S9" s="99"/>
      <c r="T9" s="99"/>
      <c r="U9" s="99"/>
      <c r="V9" s="99"/>
      <c r="W9" s="99"/>
      <c r="X9" s="99"/>
      <c r="Y9" s="99"/>
      <c r="Z9" s="99"/>
    </row>
    <row r="10">
      <c r="A10" s="100" t="s">
        <v>156</v>
      </c>
      <c r="B10" s="103" t="s">
        <v>157</v>
      </c>
      <c r="C10" s="99"/>
      <c r="D10" s="99"/>
      <c r="E10" s="99"/>
      <c r="F10" s="99"/>
      <c r="G10" s="99"/>
      <c r="H10" s="99"/>
      <c r="I10" s="99"/>
      <c r="J10" s="99"/>
      <c r="K10" s="99"/>
      <c r="L10" s="99"/>
      <c r="M10" s="99"/>
      <c r="N10" s="99"/>
      <c r="O10" s="99"/>
      <c r="P10" s="99"/>
      <c r="Q10" s="99"/>
      <c r="R10" s="99"/>
      <c r="S10" s="99"/>
      <c r="T10" s="99"/>
      <c r="U10" s="99"/>
      <c r="V10" s="99"/>
      <c r="W10" s="99"/>
      <c r="X10" s="99"/>
      <c r="Y10" s="99"/>
      <c r="Z10" s="99"/>
    </row>
    <row r="11">
      <c r="A11" s="100" t="s">
        <v>158</v>
      </c>
      <c r="B11" s="103" t="s">
        <v>159</v>
      </c>
      <c r="C11" s="99"/>
      <c r="D11" s="99"/>
      <c r="E11" s="99"/>
      <c r="F11" s="99"/>
      <c r="G11" s="99"/>
      <c r="H11" s="99"/>
      <c r="I11" s="99"/>
      <c r="J11" s="99"/>
      <c r="K11" s="99"/>
      <c r="L11" s="99"/>
      <c r="M11" s="99"/>
      <c r="N11" s="99"/>
      <c r="O11" s="99"/>
      <c r="P11" s="99"/>
      <c r="Q11" s="99"/>
      <c r="R11" s="99"/>
      <c r="S11" s="99"/>
      <c r="T11" s="99"/>
      <c r="U11" s="99"/>
      <c r="V11" s="99"/>
      <c r="W11" s="99"/>
      <c r="X11" s="99"/>
      <c r="Y11" s="99"/>
      <c r="Z11" s="99"/>
    </row>
    <row r="12">
      <c r="A12" s="101" t="s">
        <v>160</v>
      </c>
      <c r="B12" s="96"/>
      <c r="C12" s="96"/>
      <c r="D12" s="96"/>
      <c r="E12" s="96"/>
      <c r="F12" s="96"/>
      <c r="G12" s="96"/>
      <c r="H12" s="96"/>
      <c r="I12" s="96"/>
      <c r="J12" s="96"/>
      <c r="K12" s="96"/>
      <c r="L12" s="96"/>
      <c r="M12" s="96"/>
      <c r="N12" s="96"/>
      <c r="O12" s="96"/>
      <c r="P12" s="96"/>
      <c r="Q12" s="96"/>
      <c r="R12" s="96"/>
      <c r="S12" s="96"/>
      <c r="T12" s="96"/>
      <c r="U12" s="96"/>
      <c r="V12" s="96"/>
      <c r="W12" s="96"/>
      <c r="X12" s="96"/>
      <c r="Y12" s="96"/>
      <c r="Z12" s="96"/>
    </row>
    <row r="13">
      <c r="A13" s="100" t="s">
        <v>4</v>
      </c>
      <c r="B13" s="103" t="s">
        <v>161</v>
      </c>
      <c r="C13" s="99"/>
      <c r="D13" s="99"/>
      <c r="E13" s="99"/>
      <c r="F13" s="99"/>
      <c r="G13" s="99"/>
      <c r="H13" s="99"/>
      <c r="I13" s="99"/>
      <c r="J13" s="99"/>
      <c r="K13" s="99"/>
      <c r="L13" s="99"/>
      <c r="M13" s="99"/>
      <c r="N13" s="99"/>
      <c r="O13" s="99"/>
      <c r="P13" s="99"/>
      <c r="Q13" s="99"/>
      <c r="R13" s="99"/>
      <c r="S13" s="99"/>
      <c r="T13" s="99"/>
      <c r="U13" s="99"/>
      <c r="V13" s="99"/>
      <c r="W13" s="99"/>
      <c r="X13" s="99"/>
      <c r="Y13" s="99"/>
      <c r="Z13" s="99"/>
    </row>
    <row r="14">
      <c r="A14" s="104" t="s">
        <v>5</v>
      </c>
      <c r="B14" s="103" t="s">
        <v>162</v>
      </c>
      <c r="C14" s="99"/>
      <c r="D14" s="99"/>
      <c r="E14" s="99"/>
      <c r="F14" s="99"/>
      <c r="G14" s="99"/>
      <c r="H14" s="99"/>
      <c r="I14" s="99"/>
      <c r="J14" s="99"/>
      <c r="K14" s="99"/>
      <c r="L14" s="99"/>
      <c r="M14" s="99"/>
      <c r="N14" s="99"/>
      <c r="O14" s="99"/>
      <c r="P14" s="99"/>
      <c r="Q14" s="99"/>
      <c r="R14" s="99"/>
      <c r="S14" s="99"/>
      <c r="T14" s="99"/>
      <c r="U14" s="99"/>
      <c r="V14" s="99"/>
      <c r="W14" s="99"/>
      <c r="X14" s="99"/>
      <c r="Y14" s="99"/>
      <c r="Z14" s="99"/>
    </row>
    <row r="15">
      <c r="A15" s="104" t="s">
        <v>6</v>
      </c>
      <c r="B15" s="103" t="s">
        <v>163</v>
      </c>
      <c r="C15" s="99"/>
      <c r="D15" s="99"/>
      <c r="E15" s="99"/>
      <c r="F15" s="99"/>
      <c r="G15" s="99"/>
      <c r="H15" s="99"/>
      <c r="I15" s="99"/>
      <c r="J15" s="99"/>
      <c r="K15" s="99"/>
      <c r="L15" s="99"/>
      <c r="M15" s="99"/>
      <c r="N15" s="99"/>
      <c r="O15" s="99"/>
      <c r="P15" s="99"/>
      <c r="Q15" s="99"/>
      <c r="R15" s="99"/>
      <c r="S15" s="99"/>
      <c r="T15" s="99"/>
      <c r="U15" s="99"/>
      <c r="V15" s="99"/>
      <c r="W15" s="99"/>
      <c r="X15" s="99"/>
      <c r="Y15" s="99"/>
      <c r="Z15" s="99"/>
    </row>
    <row r="16">
      <c r="A16" s="104" t="s">
        <v>7</v>
      </c>
      <c r="B16" s="103" t="s">
        <v>164</v>
      </c>
      <c r="C16" s="99"/>
      <c r="D16" s="99"/>
      <c r="E16" s="99"/>
      <c r="F16" s="99"/>
      <c r="G16" s="99"/>
      <c r="H16" s="99"/>
      <c r="I16" s="99"/>
      <c r="J16" s="99"/>
      <c r="K16" s="99"/>
      <c r="L16" s="99"/>
      <c r="M16" s="99"/>
      <c r="N16" s="99"/>
      <c r="O16" s="99"/>
      <c r="P16" s="99"/>
      <c r="Q16" s="99"/>
      <c r="R16" s="99"/>
      <c r="S16" s="99"/>
      <c r="T16" s="99"/>
      <c r="U16" s="99"/>
      <c r="V16" s="99"/>
      <c r="W16" s="99"/>
      <c r="X16" s="99"/>
      <c r="Y16" s="99"/>
      <c r="Z16" s="99"/>
    </row>
    <row r="17">
      <c r="A17" s="104" t="s">
        <v>8</v>
      </c>
      <c r="B17" s="103" t="s">
        <v>165</v>
      </c>
      <c r="C17" s="99"/>
      <c r="D17" s="99"/>
      <c r="E17" s="99"/>
      <c r="F17" s="99"/>
      <c r="G17" s="99"/>
      <c r="H17" s="99"/>
      <c r="I17" s="99"/>
      <c r="J17" s="99"/>
      <c r="K17" s="99"/>
      <c r="L17" s="99"/>
      <c r="M17" s="99"/>
      <c r="N17" s="99"/>
      <c r="O17" s="99"/>
      <c r="P17" s="99"/>
      <c r="Q17" s="99"/>
      <c r="R17" s="99"/>
      <c r="S17" s="99"/>
      <c r="T17" s="99"/>
      <c r="U17" s="99"/>
      <c r="V17" s="99"/>
      <c r="W17" s="99"/>
      <c r="X17" s="99"/>
      <c r="Y17" s="99"/>
      <c r="Z17" s="99"/>
    </row>
    <row r="18">
      <c r="A18" s="101" t="s">
        <v>166</v>
      </c>
      <c r="B18" s="96"/>
      <c r="C18" s="96"/>
      <c r="D18" s="96"/>
      <c r="E18" s="96"/>
      <c r="F18" s="96"/>
      <c r="G18" s="96"/>
      <c r="H18" s="96"/>
      <c r="I18" s="96"/>
      <c r="J18" s="96"/>
      <c r="K18" s="96"/>
      <c r="L18" s="96"/>
      <c r="M18" s="96"/>
      <c r="N18" s="96"/>
      <c r="O18" s="96"/>
      <c r="P18" s="96"/>
      <c r="Q18" s="96"/>
      <c r="R18" s="96"/>
      <c r="S18" s="96"/>
      <c r="T18" s="96"/>
      <c r="U18" s="96"/>
      <c r="V18" s="96"/>
      <c r="W18" s="96"/>
      <c r="X18" s="96"/>
      <c r="Y18" s="96"/>
      <c r="Z18" s="96"/>
    </row>
    <row r="19">
      <c r="A19" s="105" t="s">
        <v>167</v>
      </c>
      <c r="B19" s="103" t="s">
        <v>168</v>
      </c>
      <c r="C19" s="99"/>
      <c r="D19" s="99"/>
      <c r="E19" s="99"/>
      <c r="F19" s="99"/>
      <c r="G19" s="99"/>
      <c r="H19" s="99"/>
      <c r="I19" s="99"/>
      <c r="J19" s="99"/>
      <c r="K19" s="99"/>
      <c r="L19" s="99"/>
      <c r="M19" s="99"/>
      <c r="N19" s="99"/>
      <c r="O19" s="99"/>
      <c r="P19" s="99"/>
      <c r="Q19" s="99"/>
      <c r="R19" s="99"/>
      <c r="S19" s="99"/>
      <c r="T19" s="99"/>
      <c r="U19" s="99"/>
      <c r="V19" s="99"/>
      <c r="W19" s="99"/>
      <c r="X19" s="99"/>
      <c r="Y19" s="99"/>
      <c r="Z19" s="99"/>
    </row>
    <row r="20">
      <c r="A20" s="106" t="s">
        <v>167</v>
      </c>
      <c r="B20" s="103" t="s">
        <v>169</v>
      </c>
      <c r="C20" s="99"/>
      <c r="D20" s="99"/>
      <c r="E20" s="99"/>
      <c r="F20" s="99"/>
      <c r="G20" s="99"/>
      <c r="H20" s="99"/>
      <c r="I20" s="99"/>
      <c r="J20" s="99"/>
      <c r="K20" s="99"/>
      <c r="L20" s="99"/>
      <c r="M20" s="99"/>
      <c r="N20" s="99"/>
      <c r="O20" s="99"/>
      <c r="P20" s="99"/>
      <c r="Q20" s="99"/>
      <c r="R20" s="99"/>
      <c r="S20" s="99"/>
      <c r="T20" s="99"/>
      <c r="U20" s="99"/>
      <c r="V20" s="99"/>
      <c r="W20" s="99"/>
      <c r="X20" s="99"/>
      <c r="Y20" s="99"/>
      <c r="Z20" s="99"/>
    </row>
    <row r="21">
      <c r="A21" s="107" t="s">
        <v>167</v>
      </c>
      <c r="B21" s="103" t="s">
        <v>170</v>
      </c>
      <c r="C21" s="99"/>
      <c r="D21" s="99"/>
      <c r="E21" s="99"/>
      <c r="F21" s="99"/>
      <c r="G21" s="99"/>
      <c r="H21" s="99"/>
      <c r="I21" s="99"/>
      <c r="J21" s="99"/>
      <c r="K21" s="99"/>
      <c r="L21" s="99"/>
      <c r="M21" s="99"/>
      <c r="N21" s="99"/>
      <c r="O21" s="99"/>
      <c r="P21" s="99"/>
      <c r="Q21" s="99"/>
      <c r="R21" s="99"/>
      <c r="S21" s="99"/>
      <c r="T21" s="99"/>
      <c r="U21" s="99"/>
      <c r="V21" s="99"/>
      <c r="W21" s="99"/>
      <c r="X21" s="99"/>
      <c r="Y21" s="99"/>
      <c r="Z21" s="99"/>
    </row>
    <row r="22">
      <c r="A22" s="108" t="s">
        <v>171</v>
      </c>
      <c r="B22" s="99"/>
      <c r="C22" s="99"/>
      <c r="D22" s="99"/>
      <c r="E22" s="99"/>
      <c r="F22" s="99"/>
      <c r="G22" s="99"/>
      <c r="H22" s="99"/>
      <c r="I22" s="99"/>
      <c r="J22" s="99"/>
      <c r="K22" s="99"/>
      <c r="L22" s="99"/>
      <c r="M22" s="99"/>
      <c r="N22" s="99"/>
      <c r="O22" s="99"/>
      <c r="P22" s="99"/>
      <c r="Q22" s="99"/>
      <c r="R22" s="99"/>
      <c r="S22" s="99"/>
      <c r="T22" s="99"/>
      <c r="U22" s="99"/>
      <c r="V22" s="99"/>
      <c r="W22" s="99"/>
      <c r="X22" s="99"/>
      <c r="Y22" s="99"/>
      <c r="Z22" s="99"/>
    </row>
    <row r="23">
      <c r="A23" s="109" t="s">
        <v>172</v>
      </c>
      <c r="B23" s="99"/>
      <c r="C23" s="99"/>
      <c r="D23" s="99"/>
      <c r="E23" s="99"/>
      <c r="F23" s="99"/>
      <c r="G23" s="99"/>
      <c r="H23" s="99"/>
      <c r="I23" s="99"/>
      <c r="J23" s="99"/>
      <c r="K23" s="99"/>
      <c r="L23" s="99"/>
      <c r="M23" s="99"/>
      <c r="N23" s="99"/>
      <c r="O23" s="99"/>
      <c r="P23" s="99"/>
      <c r="Q23" s="99"/>
      <c r="R23" s="99"/>
      <c r="S23" s="99"/>
      <c r="T23" s="99"/>
      <c r="U23" s="99"/>
      <c r="V23" s="99"/>
      <c r="W23" s="99"/>
      <c r="X23" s="99"/>
      <c r="Y23" s="99"/>
      <c r="Z23" s="99"/>
    </row>
    <row r="24">
      <c r="A24" s="110" t="s">
        <v>173</v>
      </c>
      <c r="B24" s="99"/>
      <c r="C24" s="99"/>
      <c r="D24" s="99"/>
      <c r="E24" s="99"/>
      <c r="F24" s="99"/>
      <c r="G24" s="99"/>
      <c r="H24" s="99"/>
      <c r="I24" s="99"/>
      <c r="J24" s="99"/>
      <c r="K24" s="99"/>
      <c r="L24" s="99"/>
      <c r="M24" s="99"/>
      <c r="N24" s="99"/>
      <c r="O24" s="99"/>
      <c r="P24" s="99"/>
      <c r="Q24" s="99"/>
      <c r="R24" s="99"/>
      <c r="S24" s="99"/>
      <c r="T24" s="99"/>
      <c r="U24" s="99"/>
      <c r="V24" s="99"/>
      <c r="W24" s="99"/>
      <c r="X24" s="99"/>
      <c r="Y24" s="99"/>
      <c r="Z24" s="99"/>
    </row>
    <row r="25">
      <c r="A25" s="111" t="s">
        <v>174</v>
      </c>
      <c r="B25" s="99"/>
      <c r="C25" s="99"/>
      <c r="D25" s="99"/>
      <c r="E25" s="99"/>
      <c r="F25" s="99"/>
      <c r="G25" s="99"/>
      <c r="H25" s="99"/>
      <c r="I25" s="99"/>
      <c r="J25" s="99"/>
      <c r="K25" s="99"/>
      <c r="L25" s="99"/>
      <c r="M25" s="99"/>
      <c r="N25" s="99"/>
      <c r="O25" s="99"/>
      <c r="P25" s="99"/>
      <c r="Q25" s="99"/>
      <c r="R25" s="99"/>
      <c r="S25" s="99"/>
      <c r="T25" s="99"/>
      <c r="U25" s="99"/>
      <c r="V25" s="99"/>
      <c r="W25" s="99"/>
      <c r="X25" s="99"/>
      <c r="Y25" s="99"/>
      <c r="Z25" s="99"/>
    </row>
    <row r="26">
      <c r="A26" s="112" t="s">
        <v>175</v>
      </c>
      <c r="B26" s="99"/>
      <c r="C26" s="99"/>
      <c r="D26" s="99"/>
      <c r="E26" s="99"/>
      <c r="F26" s="99"/>
      <c r="G26" s="99"/>
      <c r="H26" s="99"/>
      <c r="I26" s="99"/>
      <c r="J26" s="99"/>
      <c r="K26" s="99"/>
      <c r="L26" s="99"/>
      <c r="M26" s="99"/>
      <c r="N26" s="99"/>
      <c r="O26" s="99"/>
      <c r="P26" s="99"/>
      <c r="Q26" s="99"/>
      <c r="R26" s="99"/>
      <c r="S26" s="99"/>
      <c r="T26" s="99"/>
      <c r="U26" s="99"/>
      <c r="V26" s="99"/>
      <c r="W26" s="99"/>
      <c r="X26" s="99"/>
      <c r="Y26" s="99"/>
      <c r="Z26" s="99"/>
    </row>
    <row r="27">
      <c r="A27" s="113" t="s">
        <v>176</v>
      </c>
      <c r="B27" s="99"/>
      <c r="C27" s="99"/>
      <c r="D27" s="99"/>
      <c r="E27" s="99"/>
      <c r="F27" s="99"/>
      <c r="G27" s="99"/>
      <c r="H27" s="99"/>
      <c r="I27" s="99"/>
      <c r="J27" s="99"/>
      <c r="K27" s="99"/>
      <c r="L27" s="99"/>
      <c r="M27" s="99"/>
      <c r="N27" s="99"/>
      <c r="O27" s="99"/>
      <c r="P27" s="99"/>
      <c r="Q27" s="99"/>
      <c r="R27" s="99"/>
      <c r="S27" s="99"/>
      <c r="T27" s="99"/>
      <c r="U27" s="99"/>
      <c r="V27" s="99"/>
      <c r="W27" s="99"/>
      <c r="X27" s="99"/>
      <c r="Y27" s="99"/>
      <c r="Z27" s="99"/>
    </row>
    <row r="28">
      <c r="A28" s="99"/>
      <c r="B28" s="99"/>
      <c r="C28" s="99"/>
      <c r="D28" s="99"/>
      <c r="E28" s="99"/>
      <c r="F28" s="99"/>
      <c r="G28" s="99"/>
      <c r="H28" s="99"/>
      <c r="I28" s="99"/>
      <c r="J28" s="99"/>
      <c r="K28" s="99"/>
      <c r="L28" s="99"/>
      <c r="M28" s="99"/>
      <c r="N28" s="99"/>
      <c r="O28" s="99"/>
      <c r="P28" s="99"/>
      <c r="Q28" s="99"/>
      <c r="R28" s="99"/>
      <c r="S28" s="99"/>
      <c r="T28" s="99"/>
      <c r="U28" s="99"/>
      <c r="V28" s="99"/>
      <c r="W28" s="99"/>
      <c r="X28" s="99"/>
      <c r="Y28" s="99"/>
      <c r="Z28" s="99"/>
    </row>
    <row r="29">
      <c r="A29" s="99"/>
      <c r="B29" s="99"/>
      <c r="C29" s="99"/>
      <c r="D29" s="99"/>
      <c r="E29" s="99"/>
      <c r="F29" s="99"/>
      <c r="G29" s="99"/>
      <c r="H29" s="99"/>
      <c r="I29" s="99"/>
      <c r="J29" s="99"/>
      <c r="K29" s="99"/>
      <c r="L29" s="99"/>
      <c r="M29" s="99"/>
      <c r="N29" s="99"/>
      <c r="O29" s="99"/>
      <c r="P29" s="99"/>
      <c r="Q29" s="99"/>
      <c r="R29" s="99"/>
      <c r="S29" s="99"/>
      <c r="T29" s="99"/>
      <c r="U29" s="99"/>
      <c r="V29" s="99"/>
      <c r="W29" s="99"/>
      <c r="X29" s="99"/>
      <c r="Y29" s="99"/>
      <c r="Z29" s="99"/>
    </row>
    <row r="30">
      <c r="A30" s="99"/>
      <c r="B30" s="99"/>
      <c r="C30" s="99"/>
      <c r="D30" s="99"/>
      <c r="E30" s="99"/>
      <c r="F30" s="99"/>
      <c r="G30" s="99"/>
      <c r="H30" s="99"/>
      <c r="I30" s="99"/>
      <c r="J30" s="99"/>
      <c r="K30" s="99"/>
      <c r="L30" s="99"/>
      <c r="M30" s="99"/>
      <c r="N30" s="99"/>
      <c r="O30" s="99"/>
      <c r="P30" s="99"/>
      <c r="Q30" s="99"/>
      <c r="R30" s="99"/>
      <c r="S30" s="99"/>
      <c r="T30" s="99"/>
      <c r="U30" s="99"/>
      <c r="V30" s="99"/>
      <c r="W30" s="99"/>
      <c r="X30" s="99"/>
      <c r="Y30" s="99"/>
      <c r="Z30" s="99"/>
    </row>
    <row r="31">
      <c r="A31" s="99"/>
      <c r="B31" s="99"/>
      <c r="C31" s="99"/>
      <c r="D31" s="99"/>
      <c r="E31" s="99"/>
      <c r="F31" s="99"/>
      <c r="G31" s="99"/>
      <c r="H31" s="99"/>
      <c r="I31" s="99"/>
      <c r="J31" s="99"/>
      <c r="K31" s="99"/>
      <c r="L31" s="99"/>
      <c r="M31" s="99"/>
      <c r="N31" s="99"/>
      <c r="O31" s="99"/>
      <c r="P31" s="99"/>
      <c r="Q31" s="99"/>
      <c r="R31" s="99"/>
      <c r="S31" s="99"/>
      <c r="T31" s="99"/>
      <c r="U31" s="99"/>
      <c r="V31" s="99"/>
      <c r="W31" s="99"/>
      <c r="X31" s="99"/>
      <c r="Y31" s="99"/>
      <c r="Z31" s="99"/>
    </row>
    <row r="32">
      <c r="A32" s="99"/>
      <c r="B32" s="99"/>
      <c r="C32" s="99"/>
      <c r="D32" s="99"/>
      <c r="E32" s="99"/>
      <c r="F32" s="99"/>
      <c r="G32" s="99"/>
      <c r="H32" s="99"/>
      <c r="I32" s="99"/>
      <c r="J32" s="99"/>
      <c r="K32" s="99"/>
      <c r="L32" s="99"/>
      <c r="M32" s="99"/>
      <c r="N32" s="99"/>
      <c r="O32" s="99"/>
      <c r="P32" s="99"/>
      <c r="Q32" s="99"/>
      <c r="R32" s="99"/>
      <c r="S32" s="99"/>
      <c r="T32" s="99"/>
      <c r="U32" s="99"/>
      <c r="V32" s="99"/>
      <c r="W32" s="99"/>
      <c r="X32" s="99"/>
      <c r="Y32" s="99"/>
      <c r="Z32" s="99"/>
    </row>
    <row r="33">
      <c r="A33" s="99"/>
      <c r="B33" s="99"/>
      <c r="C33" s="99"/>
      <c r="D33" s="99"/>
      <c r="E33" s="99"/>
      <c r="F33" s="99"/>
      <c r="G33" s="99"/>
      <c r="H33" s="99"/>
      <c r="I33" s="99"/>
      <c r="J33" s="99"/>
      <c r="K33" s="99"/>
      <c r="L33" s="99"/>
      <c r="M33" s="99"/>
      <c r="N33" s="99"/>
      <c r="O33" s="99"/>
      <c r="P33" s="99"/>
      <c r="Q33" s="99"/>
      <c r="R33" s="99"/>
      <c r="S33" s="99"/>
      <c r="T33" s="99"/>
      <c r="U33" s="99"/>
      <c r="V33" s="99"/>
      <c r="W33" s="99"/>
      <c r="X33" s="99"/>
      <c r="Y33" s="99"/>
      <c r="Z33" s="99"/>
    </row>
    <row r="34">
      <c r="A34" s="99"/>
      <c r="B34" s="99"/>
      <c r="C34" s="99"/>
      <c r="D34" s="99"/>
      <c r="E34" s="99"/>
      <c r="F34" s="99"/>
      <c r="G34" s="99"/>
      <c r="H34" s="99"/>
      <c r="I34" s="99"/>
      <c r="J34" s="99"/>
      <c r="K34" s="99"/>
      <c r="L34" s="99"/>
      <c r="M34" s="99"/>
      <c r="N34" s="99"/>
      <c r="O34" s="99"/>
      <c r="P34" s="99"/>
      <c r="Q34" s="99"/>
      <c r="R34" s="99"/>
      <c r="S34" s="99"/>
      <c r="T34" s="99"/>
      <c r="U34" s="99"/>
      <c r="V34" s="99"/>
      <c r="W34" s="99"/>
      <c r="X34" s="99"/>
      <c r="Y34" s="99"/>
      <c r="Z34" s="99"/>
    </row>
    <row r="35">
      <c r="A35" s="99"/>
      <c r="B35" s="99"/>
      <c r="C35" s="99"/>
      <c r="D35" s="99"/>
      <c r="E35" s="99"/>
      <c r="F35" s="99"/>
      <c r="G35" s="99"/>
      <c r="H35" s="99"/>
      <c r="I35" s="99"/>
      <c r="J35" s="99"/>
      <c r="K35" s="99"/>
      <c r="L35" s="99"/>
      <c r="M35" s="99"/>
      <c r="N35" s="99"/>
      <c r="O35" s="99"/>
      <c r="P35" s="99"/>
      <c r="Q35" s="99"/>
      <c r="R35" s="99"/>
      <c r="S35" s="99"/>
      <c r="T35" s="99"/>
      <c r="U35" s="99"/>
      <c r="V35" s="99"/>
      <c r="W35" s="99"/>
      <c r="X35" s="99"/>
      <c r="Y35" s="99"/>
      <c r="Z35" s="99"/>
    </row>
    <row r="36">
      <c r="A36" s="99"/>
      <c r="B36" s="99"/>
      <c r="C36" s="99"/>
      <c r="D36" s="99"/>
      <c r="E36" s="99"/>
      <c r="F36" s="99"/>
      <c r="G36" s="99"/>
      <c r="H36" s="99"/>
      <c r="I36" s="99"/>
      <c r="J36" s="99"/>
      <c r="K36" s="99"/>
      <c r="L36" s="99"/>
      <c r="M36" s="99"/>
      <c r="N36" s="99"/>
      <c r="O36" s="99"/>
      <c r="P36" s="99"/>
      <c r="Q36" s="99"/>
      <c r="R36" s="99"/>
      <c r="S36" s="99"/>
      <c r="T36" s="99"/>
      <c r="U36" s="99"/>
      <c r="V36" s="99"/>
      <c r="W36" s="99"/>
      <c r="X36" s="99"/>
      <c r="Y36" s="99"/>
      <c r="Z36" s="99"/>
    </row>
    <row r="37">
      <c r="A37" s="99"/>
      <c r="B37" s="99"/>
      <c r="C37" s="99"/>
      <c r="D37" s="99"/>
      <c r="E37" s="99"/>
      <c r="F37" s="99"/>
      <c r="G37" s="99"/>
      <c r="H37" s="99"/>
      <c r="I37" s="99"/>
      <c r="J37" s="99"/>
      <c r="K37" s="99"/>
      <c r="L37" s="99"/>
      <c r="M37" s="99"/>
      <c r="N37" s="99"/>
      <c r="O37" s="99"/>
      <c r="P37" s="99"/>
      <c r="Q37" s="99"/>
      <c r="R37" s="99"/>
      <c r="S37" s="99"/>
      <c r="T37" s="99"/>
      <c r="U37" s="99"/>
      <c r="V37" s="99"/>
      <c r="W37" s="99"/>
      <c r="X37" s="99"/>
      <c r="Y37" s="99"/>
      <c r="Z37" s="99"/>
    </row>
    <row r="38">
      <c r="A38" s="99"/>
      <c r="B38" s="99"/>
      <c r="C38" s="99"/>
      <c r="D38" s="99"/>
      <c r="E38" s="99"/>
      <c r="F38" s="99"/>
      <c r="G38" s="99"/>
      <c r="H38" s="99"/>
      <c r="I38" s="99"/>
      <c r="J38" s="99"/>
      <c r="K38" s="99"/>
      <c r="L38" s="99"/>
      <c r="M38" s="99"/>
      <c r="N38" s="99"/>
      <c r="O38" s="99"/>
      <c r="P38" s="99"/>
      <c r="Q38" s="99"/>
      <c r="R38" s="99"/>
      <c r="S38" s="99"/>
      <c r="T38" s="99"/>
      <c r="U38" s="99"/>
      <c r="V38" s="99"/>
      <c r="W38" s="99"/>
      <c r="X38" s="99"/>
      <c r="Y38" s="99"/>
      <c r="Z38" s="99"/>
    </row>
    <row r="39">
      <c r="A39" s="99"/>
      <c r="B39" s="99"/>
      <c r="C39" s="99"/>
      <c r="D39" s="99"/>
      <c r="E39" s="99"/>
      <c r="F39" s="99"/>
      <c r="G39" s="99"/>
      <c r="H39" s="99"/>
      <c r="I39" s="99"/>
      <c r="J39" s="99"/>
      <c r="K39" s="99"/>
      <c r="L39" s="99"/>
      <c r="M39" s="99"/>
      <c r="N39" s="99"/>
      <c r="O39" s="99"/>
      <c r="P39" s="99"/>
      <c r="Q39" s="99"/>
      <c r="R39" s="99"/>
      <c r="S39" s="99"/>
      <c r="T39" s="99"/>
      <c r="U39" s="99"/>
      <c r="V39" s="99"/>
      <c r="W39" s="99"/>
      <c r="X39" s="99"/>
      <c r="Y39" s="99"/>
      <c r="Z39" s="99"/>
    </row>
    <row r="40">
      <c r="A40" s="99"/>
      <c r="B40" s="99"/>
      <c r="C40" s="99"/>
      <c r="D40" s="99"/>
      <c r="E40" s="99"/>
      <c r="F40" s="99"/>
      <c r="G40" s="99"/>
      <c r="H40" s="99"/>
      <c r="I40" s="99"/>
      <c r="J40" s="99"/>
      <c r="K40" s="99"/>
      <c r="L40" s="99"/>
      <c r="M40" s="99"/>
      <c r="N40" s="99"/>
      <c r="O40" s="99"/>
      <c r="P40" s="99"/>
      <c r="Q40" s="99"/>
      <c r="R40" s="99"/>
      <c r="S40" s="99"/>
      <c r="T40" s="99"/>
      <c r="U40" s="99"/>
      <c r="V40" s="99"/>
      <c r="W40" s="99"/>
      <c r="X40" s="99"/>
      <c r="Y40" s="99"/>
      <c r="Z40" s="99"/>
    </row>
    <row r="41">
      <c r="A41" s="99"/>
      <c r="B41" s="99"/>
      <c r="C41" s="99"/>
      <c r="D41" s="99"/>
      <c r="E41" s="99"/>
      <c r="F41" s="99"/>
      <c r="G41" s="99"/>
      <c r="H41" s="99"/>
      <c r="I41" s="99"/>
      <c r="J41" s="99"/>
      <c r="K41" s="99"/>
      <c r="L41" s="99"/>
      <c r="M41" s="99"/>
      <c r="N41" s="99"/>
      <c r="O41" s="99"/>
      <c r="P41" s="99"/>
      <c r="Q41" s="99"/>
      <c r="R41" s="99"/>
      <c r="S41" s="99"/>
      <c r="T41" s="99"/>
      <c r="U41" s="99"/>
      <c r="V41" s="99"/>
      <c r="W41" s="99"/>
      <c r="X41" s="99"/>
      <c r="Y41" s="99"/>
      <c r="Z41" s="99"/>
    </row>
    <row r="42">
      <c r="A42" s="99"/>
      <c r="B42" s="99"/>
      <c r="C42" s="99"/>
      <c r="D42" s="99"/>
      <c r="E42" s="99"/>
      <c r="F42" s="99"/>
      <c r="G42" s="99"/>
      <c r="H42" s="99"/>
      <c r="I42" s="99"/>
      <c r="J42" s="99"/>
      <c r="K42" s="99"/>
      <c r="L42" s="99"/>
      <c r="M42" s="99"/>
      <c r="N42" s="99"/>
      <c r="O42" s="99"/>
      <c r="P42" s="99"/>
      <c r="Q42" s="99"/>
      <c r="R42" s="99"/>
      <c r="S42" s="99"/>
      <c r="T42" s="99"/>
      <c r="U42" s="99"/>
      <c r="V42" s="99"/>
      <c r="W42" s="99"/>
      <c r="X42" s="99"/>
      <c r="Y42" s="99"/>
      <c r="Z42" s="99"/>
    </row>
    <row r="43">
      <c r="A43" s="99"/>
      <c r="B43" s="99"/>
      <c r="C43" s="99"/>
      <c r="D43" s="99"/>
      <c r="E43" s="99"/>
      <c r="F43" s="99"/>
      <c r="G43" s="99"/>
      <c r="H43" s="99"/>
      <c r="I43" s="99"/>
      <c r="J43" s="99"/>
      <c r="K43" s="99"/>
      <c r="L43" s="99"/>
      <c r="M43" s="99"/>
      <c r="N43" s="99"/>
      <c r="O43" s="99"/>
      <c r="P43" s="99"/>
      <c r="Q43" s="99"/>
      <c r="R43" s="99"/>
      <c r="S43" s="99"/>
      <c r="T43" s="99"/>
      <c r="U43" s="99"/>
      <c r="V43" s="99"/>
      <c r="W43" s="99"/>
      <c r="X43" s="99"/>
      <c r="Y43" s="99"/>
      <c r="Z43" s="99"/>
    </row>
    <row r="44">
      <c r="A44" s="99"/>
      <c r="B44" s="99"/>
      <c r="C44" s="99"/>
      <c r="D44" s="99"/>
      <c r="E44" s="99"/>
      <c r="F44" s="99"/>
      <c r="G44" s="99"/>
      <c r="H44" s="99"/>
      <c r="I44" s="99"/>
      <c r="J44" s="99"/>
      <c r="K44" s="99"/>
      <c r="L44" s="99"/>
      <c r="M44" s="99"/>
      <c r="N44" s="99"/>
      <c r="O44" s="99"/>
      <c r="P44" s="99"/>
      <c r="Q44" s="99"/>
      <c r="R44" s="99"/>
      <c r="S44" s="99"/>
      <c r="T44" s="99"/>
      <c r="U44" s="99"/>
      <c r="V44" s="99"/>
      <c r="W44" s="99"/>
      <c r="X44" s="99"/>
      <c r="Y44" s="99"/>
      <c r="Z44" s="99"/>
    </row>
    <row r="45">
      <c r="A45" s="99"/>
      <c r="B45" s="99"/>
      <c r="C45" s="99"/>
      <c r="D45" s="99"/>
      <c r="E45" s="99"/>
      <c r="F45" s="99"/>
      <c r="G45" s="99"/>
      <c r="H45" s="99"/>
      <c r="I45" s="99"/>
      <c r="J45" s="99"/>
      <c r="K45" s="99"/>
      <c r="L45" s="99"/>
      <c r="M45" s="99"/>
      <c r="N45" s="99"/>
      <c r="O45" s="99"/>
      <c r="P45" s="99"/>
      <c r="Q45" s="99"/>
      <c r="R45" s="99"/>
      <c r="S45" s="99"/>
      <c r="T45" s="99"/>
      <c r="U45" s="99"/>
      <c r="V45" s="99"/>
      <c r="W45" s="99"/>
      <c r="X45" s="99"/>
      <c r="Y45" s="99"/>
      <c r="Z45" s="99"/>
    </row>
    <row r="46">
      <c r="A46" s="99"/>
      <c r="B46" s="99"/>
      <c r="C46" s="99"/>
      <c r="D46" s="99"/>
      <c r="E46" s="99"/>
      <c r="F46" s="99"/>
      <c r="G46" s="99"/>
      <c r="H46" s="99"/>
      <c r="I46" s="99"/>
      <c r="J46" s="99"/>
      <c r="K46" s="99"/>
      <c r="L46" s="99"/>
      <c r="M46" s="99"/>
      <c r="N46" s="99"/>
      <c r="O46" s="99"/>
      <c r="P46" s="99"/>
      <c r="Q46" s="99"/>
      <c r="R46" s="99"/>
      <c r="S46" s="99"/>
      <c r="T46" s="99"/>
      <c r="U46" s="99"/>
      <c r="V46" s="99"/>
      <c r="W46" s="99"/>
      <c r="X46" s="99"/>
      <c r="Y46" s="99"/>
      <c r="Z46" s="99"/>
    </row>
    <row r="47">
      <c r="A47" s="99"/>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c r="A48" s="99"/>
      <c r="B48" s="99"/>
      <c r="C48" s="99"/>
      <c r="D48" s="99"/>
      <c r="E48" s="99"/>
      <c r="F48" s="99"/>
      <c r="G48" s="99"/>
      <c r="H48" s="99"/>
      <c r="I48" s="99"/>
      <c r="J48" s="99"/>
      <c r="K48" s="99"/>
      <c r="L48" s="99"/>
      <c r="M48" s="99"/>
      <c r="N48" s="99"/>
      <c r="O48" s="99"/>
      <c r="P48" s="99"/>
      <c r="Q48" s="99"/>
      <c r="R48" s="99"/>
      <c r="S48" s="99"/>
      <c r="T48" s="99"/>
      <c r="U48" s="99"/>
      <c r="V48" s="99"/>
      <c r="W48" s="99"/>
      <c r="X48" s="99"/>
      <c r="Y48" s="99"/>
      <c r="Z48" s="99"/>
    </row>
    <row r="49">
      <c r="A49" s="99"/>
      <c r="B49" s="99"/>
      <c r="C49" s="99"/>
      <c r="D49" s="99"/>
      <c r="E49" s="99"/>
      <c r="F49" s="99"/>
      <c r="G49" s="99"/>
      <c r="H49" s="99"/>
      <c r="I49" s="99"/>
      <c r="J49" s="99"/>
      <c r="K49" s="99"/>
      <c r="L49" s="99"/>
      <c r="M49" s="99"/>
      <c r="N49" s="99"/>
      <c r="O49" s="99"/>
      <c r="P49" s="99"/>
      <c r="Q49" s="99"/>
      <c r="R49" s="99"/>
      <c r="S49" s="99"/>
      <c r="T49" s="99"/>
      <c r="U49" s="99"/>
      <c r="V49" s="99"/>
      <c r="W49" s="99"/>
      <c r="X49" s="99"/>
      <c r="Y49" s="99"/>
      <c r="Z49" s="99"/>
    </row>
    <row r="50">
      <c r="A50" s="99"/>
      <c r="B50" s="99"/>
      <c r="C50" s="99"/>
      <c r="D50" s="99"/>
      <c r="E50" s="99"/>
      <c r="F50" s="99"/>
      <c r="G50" s="99"/>
      <c r="H50" s="99"/>
      <c r="I50" s="99"/>
      <c r="J50" s="99"/>
      <c r="K50" s="99"/>
      <c r="L50" s="99"/>
      <c r="M50" s="99"/>
      <c r="N50" s="99"/>
      <c r="O50" s="99"/>
      <c r="P50" s="99"/>
      <c r="Q50" s="99"/>
      <c r="R50" s="99"/>
      <c r="S50" s="99"/>
      <c r="T50" s="99"/>
      <c r="U50" s="99"/>
      <c r="V50" s="99"/>
      <c r="W50" s="99"/>
      <c r="X50" s="99"/>
      <c r="Y50" s="99"/>
      <c r="Z50" s="99"/>
    </row>
    <row r="51">
      <c r="A51" s="99"/>
      <c r="B51" s="99"/>
      <c r="C51" s="99"/>
      <c r="D51" s="99"/>
      <c r="E51" s="99"/>
      <c r="F51" s="99"/>
      <c r="G51" s="99"/>
      <c r="H51" s="99"/>
      <c r="I51" s="99"/>
      <c r="J51" s="99"/>
      <c r="K51" s="99"/>
      <c r="L51" s="99"/>
      <c r="M51" s="99"/>
      <c r="N51" s="99"/>
      <c r="O51" s="99"/>
      <c r="P51" s="99"/>
      <c r="Q51" s="99"/>
      <c r="R51" s="99"/>
      <c r="S51" s="99"/>
      <c r="T51" s="99"/>
      <c r="U51" s="99"/>
      <c r="V51" s="99"/>
      <c r="W51" s="99"/>
      <c r="X51" s="99"/>
      <c r="Y51" s="99"/>
      <c r="Z51" s="99"/>
    </row>
    <row r="52">
      <c r="A52" s="99"/>
      <c r="B52" s="99"/>
      <c r="C52" s="99"/>
      <c r="D52" s="99"/>
      <c r="E52" s="99"/>
      <c r="F52" s="99"/>
      <c r="G52" s="99"/>
      <c r="H52" s="99"/>
      <c r="I52" s="99"/>
      <c r="J52" s="99"/>
      <c r="K52" s="99"/>
      <c r="L52" s="99"/>
      <c r="M52" s="99"/>
      <c r="N52" s="99"/>
      <c r="O52" s="99"/>
      <c r="P52" s="99"/>
      <c r="Q52" s="99"/>
      <c r="R52" s="99"/>
      <c r="S52" s="99"/>
      <c r="T52" s="99"/>
      <c r="U52" s="99"/>
      <c r="V52" s="99"/>
      <c r="W52" s="99"/>
      <c r="X52" s="99"/>
      <c r="Y52" s="99"/>
      <c r="Z52" s="99"/>
    </row>
    <row r="53">
      <c r="A53" s="99"/>
      <c r="B53" s="99"/>
      <c r="C53" s="99"/>
      <c r="D53" s="99"/>
      <c r="E53" s="99"/>
      <c r="F53" s="99"/>
      <c r="G53" s="99"/>
      <c r="H53" s="99"/>
      <c r="I53" s="99"/>
      <c r="J53" s="99"/>
      <c r="K53" s="99"/>
      <c r="L53" s="99"/>
      <c r="M53" s="99"/>
      <c r="N53" s="99"/>
      <c r="O53" s="99"/>
      <c r="P53" s="99"/>
      <c r="Q53" s="99"/>
      <c r="R53" s="99"/>
      <c r="S53" s="99"/>
      <c r="T53" s="99"/>
      <c r="U53" s="99"/>
      <c r="V53" s="99"/>
      <c r="W53" s="99"/>
      <c r="X53" s="99"/>
      <c r="Y53" s="99"/>
      <c r="Z53" s="99"/>
    </row>
    <row r="54">
      <c r="A54" s="99"/>
      <c r="B54" s="99"/>
      <c r="C54" s="99"/>
      <c r="D54" s="99"/>
      <c r="E54" s="99"/>
      <c r="F54" s="99"/>
      <c r="G54" s="99"/>
      <c r="H54" s="99"/>
      <c r="I54" s="99"/>
      <c r="J54" s="99"/>
      <c r="K54" s="99"/>
      <c r="L54" s="99"/>
      <c r="M54" s="99"/>
      <c r="N54" s="99"/>
      <c r="O54" s="99"/>
      <c r="P54" s="99"/>
      <c r="Q54" s="99"/>
      <c r="R54" s="99"/>
      <c r="S54" s="99"/>
      <c r="T54" s="99"/>
      <c r="U54" s="99"/>
      <c r="V54" s="99"/>
      <c r="W54" s="99"/>
      <c r="X54" s="99"/>
      <c r="Y54" s="99"/>
      <c r="Z54" s="99"/>
    </row>
    <row r="55">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row>
    <row r="56">
      <c r="A56" s="99"/>
      <c r="B56" s="99"/>
      <c r="C56" s="99"/>
      <c r="D56" s="99"/>
      <c r="E56" s="99"/>
      <c r="F56" s="99"/>
      <c r="G56" s="99"/>
      <c r="H56" s="99"/>
      <c r="I56" s="99"/>
      <c r="J56" s="99"/>
      <c r="K56" s="99"/>
      <c r="L56" s="99"/>
      <c r="M56" s="99"/>
      <c r="N56" s="99"/>
      <c r="O56" s="99"/>
      <c r="P56" s="99"/>
      <c r="Q56" s="99"/>
      <c r="R56" s="99"/>
      <c r="S56" s="99"/>
      <c r="T56" s="99"/>
      <c r="U56" s="99"/>
      <c r="V56" s="99"/>
      <c r="W56" s="99"/>
      <c r="X56" s="99"/>
      <c r="Y56" s="99"/>
      <c r="Z56" s="99"/>
    </row>
    <row r="57">
      <c r="A57" s="99"/>
      <c r="B57" s="99"/>
      <c r="C57" s="99"/>
      <c r="D57" s="99"/>
      <c r="E57" s="99"/>
      <c r="F57" s="99"/>
      <c r="G57" s="99"/>
      <c r="H57" s="99"/>
      <c r="I57" s="99"/>
      <c r="J57" s="99"/>
      <c r="K57" s="99"/>
      <c r="L57" s="99"/>
      <c r="M57" s="99"/>
      <c r="N57" s="99"/>
      <c r="O57" s="99"/>
      <c r="P57" s="99"/>
      <c r="Q57" s="99"/>
      <c r="R57" s="99"/>
      <c r="S57" s="99"/>
      <c r="T57" s="99"/>
      <c r="U57" s="99"/>
      <c r="V57" s="99"/>
      <c r="W57" s="99"/>
      <c r="X57" s="99"/>
      <c r="Y57" s="99"/>
      <c r="Z57" s="99"/>
    </row>
    <row r="58">
      <c r="A58" s="99"/>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c r="A59" s="99"/>
      <c r="B59" s="99"/>
      <c r="C59" s="99"/>
      <c r="D59" s="99"/>
      <c r="E59" s="99"/>
      <c r="F59" s="99"/>
      <c r="G59" s="99"/>
      <c r="H59" s="99"/>
      <c r="I59" s="99"/>
      <c r="J59" s="99"/>
      <c r="K59" s="99"/>
      <c r="L59" s="99"/>
      <c r="M59" s="99"/>
      <c r="N59" s="99"/>
      <c r="O59" s="99"/>
      <c r="P59" s="99"/>
      <c r="Q59" s="99"/>
      <c r="R59" s="99"/>
      <c r="S59" s="99"/>
      <c r="T59" s="99"/>
      <c r="U59" s="99"/>
      <c r="V59" s="99"/>
      <c r="W59" s="99"/>
      <c r="X59" s="99"/>
      <c r="Y59" s="99"/>
      <c r="Z59" s="99"/>
    </row>
    <row r="60">
      <c r="A60" s="99"/>
      <c r="B60" s="99"/>
      <c r="C60" s="99"/>
      <c r="D60" s="99"/>
      <c r="E60" s="99"/>
      <c r="F60" s="99"/>
      <c r="G60" s="99"/>
      <c r="H60" s="99"/>
      <c r="I60" s="99"/>
      <c r="J60" s="99"/>
      <c r="K60" s="99"/>
      <c r="L60" s="99"/>
      <c r="M60" s="99"/>
      <c r="N60" s="99"/>
      <c r="O60" s="99"/>
      <c r="P60" s="99"/>
      <c r="Q60" s="99"/>
      <c r="R60" s="99"/>
      <c r="S60" s="99"/>
      <c r="T60" s="99"/>
      <c r="U60" s="99"/>
      <c r="V60" s="99"/>
      <c r="W60" s="99"/>
      <c r="X60" s="99"/>
      <c r="Y60" s="99"/>
      <c r="Z60" s="99"/>
    </row>
    <row r="61">
      <c r="A61" s="99"/>
      <c r="B61" s="99"/>
      <c r="C61" s="99"/>
      <c r="D61" s="99"/>
      <c r="E61" s="99"/>
      <c r="F61" s="99"/>
      <c r="G61" s="99"/>
      <c r="H61" s="99"/>
      <c r="I61" s="99"/>
      <c r="J61" s="99"/>
      <c r="K61" s="99"/>
      <c r="L61" s="99"/>
      <c r="M61" s="99"/>
      <c r="N61" s="99"/>
      <c r="O61" s="99"/>
      <c r="P61" s="99"/>
      <c r="Q61" s="99"/>
      <c r="R61" s="99"/>
      <c r="S61" s="99"/>
      <c r="T61" s="99"/>
      <c r="U61" s="99"/>
      <c r="V61" s="99"/>
      <c r="W61" s="99"/>
      <c r="X61" s="99"/>
      <c r="Y61" s="99"/>
      <c r="Z61" s="99"/>
    </row>
    <row r="62">
      <c r="A62" s="99"/>
      <c r="B62" s="99"/>
      <c r="C62" s="99"/>
      <c r="D62" s="99"/>
      <c r="E62" s="99"/>
      <c r="F62" s="99"/>
      <c r="G62" s="99"/>
      <c r="H62" s="99"/>
      <c r="I62" s="99"/>
      <c r="J62" s="99"/>
      <c r="K62" s="99"/>
      <c r="L62" s="99"/>
      <c r="M62" s="99"/>
      <c r="N62" s="99"/>
      <c r="O62" s="99"/>
      <c r="P62" s="99"/>
      <c r="Q62" s="99"/>
      <c r="R62" s="99"/>
      <c r="S62" s="99"/>
      <c r="T62" s="99"/>
      <c r="U62" s="99"/>
      <c r="V62" s="99"/>
      <c r="W62" s="99"/>
      <c r="X62" s="99"/>
      <c r="Y62" s="99"/>
      <c r="Z62" s="99"/>
    </row>
    <row r="63">
      <c r="A63" s="99"/>
      <c r="B63" s="99"/>
      <c r="C63" s="99"/>
      <c r="D63" s="99"/>
      <c r="E63" s="99"/>
      <c r="F63" s="99"/>
      <c r="G63" s="99"/>
      <c r="H63" s="99"/>
      <c r="I63" s="99"/>
      <c r="J63" s="99"/>
      <c r="K63" s="99"/>
      <c r="L63" s="99"/>
      <c r="M63" s="99"/>
      <c r="N63" s="99"/>
      <c r="O63" s="99"/>
      <c r="P63" s="99"/>
      <c r="Q63" s="99"/>
      <c r="R63" s="99"/>
      <c r="S63" s="99"/>
      <c r="T63" s="99"/>
      <c r="U63" s="99"/>
      <c r="V63" s="99"/>
      <c r="W63" s="99"/>
      <c r="X63" s="99"/>
      <c r="Y63" s="99"/>
      <c r="Z63" s="99"/>
    </row>
    <row r="64">
      <c r="A64" s="99"/>
      <c r="B64" s="99"/>
      <c r="C64" s="99"/>
      <c r="D64" s="99"/>
      <c r="E64" s="99"/>
      <c r="F64" s="99"/>
      <c r="G64" s="99"/>
      <c r="H64" s="99"/>
      <c r="I64" s="99"/>
      <c r="J64" s="99"/>
      <c r="K64" s="99"/>
      <c r="L64" s="99"/>
      <c r="M64" s="99"/>
      <c r="N64" s="99"/>
      <c r="O64" s="99"/>
      <c r="P64" s="99"/>
      <c r="Q64" s="99"/>
      <c r="R64" s="99"/>
      <c r="S64" s="99"/>
      <c r="T64" s="99"/>
      <c r="U64" s="99"/>
      <c r="V64" s="99"/>
      <c r="W64" s="99"/>
      <c r="X64" s="99"/>
      <c r="Y64" s="99"/>
      <c r="Z64" s="99"/>
    </row>
    <row r="65">
      <c r="A65" s="99"/>
      <c r="B65" s="99"/>
      <c r="C65" s="99"/>
      <c r="D65" s="99"/>
      <c r="E65" s="99"/>
      <c r="F65" s="99"/>
      <c r="G65" s="99"/>
      <c r="H65" s="99"/>
      <c r="I65" s="99"/>
      <c r="J65" s="99"/>
      <c r="K65" s="99"/>
      <c r="L65" s="99"/>
      <c r="M65" s="99"/>
      <c r="N65" s="99"/>
      <c r="O65" s="99"/>
      <c r="P65" s="99"/>
      <c r="Q65" s="99"/>
      <c r="R65" s="99"/>
      <c r="S65" s="99"/>
      <c r="T65" s="99"/>
      <c r="U65" s="99"/>
      <c r="V65" s="99"/>
      <c r="W65" s="99"/>
      <c r="X65" s="99"/>
      <c r="Y65" s="99"/>
      <c r="Z65" s="99"/>
    </row>
    <row r="66">
      <c r="A66" s="99"/>
      <c r="B66" s="99"/>
      <c r="C66" s="99"/>
      <c r="D66" s="99"/>
      <c r="E66" s="99"/>
      <c r="F66" s="99"/>
      <c r="G66" s="99"/>
      <c r="H66" s="99"/>
      <c r="I66" s="99"/>
      <c r="J66" s="99"/>
      <c r="K66" s="99"/>
      <c r="L66" s="99"/>
      <c r="M66" s="99"/>
      <c r="N66" s="99"/>
      <c r="O66" s="99"/>
      <c r="P66" s="99"/>
      <c r="Q66" s="99"/>
      <c r="R66" s="99"/>
      <c r="S66" s="99"/>
      <c r="T66" s="99"/>
      <c r="U66" s="99"/>
      <c r="V66" s="99"/>
      <c r="W66" s="99"/>
      <c r="X66" s="99"/>
      <c r="Y66" s="99"/>
      <c r="Z66" s="99"/>
    </row>
    <row r="67">
      <c r="A67" s="99"/>
      <c r="B67" s="99"/>
      <c r="C67" s="99"/>
      <c r="D67" s="99"/>
      <c r="E67" s="99"/>
      <c r="F67" s="99"/>
      <c r="G67" s="99"/>
      <c r="H67" s="99"/>
      <c r="I67" s="99"/>
      <c r="J67" s="99"/>
      <c r="K67" s="99"/>
      <c r="L67" s="99"/>
      <c r="M67" s="99"/>
      <c r="N67" s="99"/>
      <c r="O67" s="99"/>
      <c r="P67" s="99"/>
      <c r="Q67" s="99"/>
      <c r="R67" s="99"/>
      <c r="S67" s="99"/>
      <c r="T67" s="99"/>
      <c r="U67" s="99"/>
      <c r="V67" s="99"/>
      <c r="W67" s="99"/>
      <c r="X67" s="99"/>
      <c r="Y67" s="99"/>
      <c r="Z67" s="99"/>
    </row>
    <row r="68">
      <c r="A68" s="99"/>
      <c r="B68" s="99"/>
      <c r="C68" s="99"/>
      <c r="D68" s="99"/>
      <c r="E68" s="99"/>
      <c r="F68" s="99"/>
      <c r="G68" s="99"/>
      <c r="H68" s="99"/>
      <c r="I68" s="99"/>
      <c r="J68" s="99"/>
      <c r="K68" s="99"/>
      <c r="L68" s="99"/>
      <c r="M68" s="99"/>
      <c r="N68" s="99"/>
      <c r="O68" s="99"/>
      <c r="P68" s="99"/>
      <c r="Q68" s="99"/>
      <c r="R68" s="99"/>
      <c r="S68" s="99"/>
      <c r="T68" s="99"/>
      <c r="U68" s="99"/>
      <c r="V68" s="99"/>
      <c r="W68" s="99"/>
      <c r="X68" s="99"/>
      <c r="Y68" s="99"/>
      <c r="Z68" s="99"/>
    </row>
    <row r="69">
      <c r="A69" s="99"/>
      <c r="B69" s="99"/>
      <c r="C69" s="99"/>
      <c r="D69" s="99"/>
      <c r="E69" s="99"/>
      <c r="F69" s="99"/>
      <c r="G69" s="99"/>
      <c r="H69" s="99"/>
      <c r="I69" s="99"/>
      <c r="J69" s="99"/>
      <c r="K69" s="99"/>
      <c r="L69" s="99"/>
      <c r="M69" s="99"/>
      <c r="N69" s="99"/>
      <c r="O69" s="99"/>
      <c r="P69" s="99"/>
      <c r="Q69" s="99"/>
      <c r="R69" s="99"/>
      <c r="S69" s="99"/>
      <c r="T69" s="99"/>
      <c r="U69" s="99"/>
      <c r="V69" s="99"/>
      <c r="W69" s="99"/>
      <c r="X69" s="99"/>
      <c r="Y69" s="99"/>
      <c r="Z69" s="99"/>
    </row>
    <row r="70">
      <c r="A70" s="99"/>
      <c r="B70" s="99"/>
      <c r="C70" s="99"/>
      <c r="D70" s="99"/>
      <c r="E70" s="99"/>
      <c r="F70" s="99"/>
      <c r="G70" s="99"/>
      <c r="H70" s="99"/>
      <c r="I70" s="99"/>
      <c r="J70" s="99"/>
      <c r="K70" s="99"/>
      <c r="L70" s="99"/>
      <c r="M70" s="99"/>
      <c r="N70" s="99"/>
      <c r="O70" s="99"/>
      <c r="P70" s="99"/>
      <c r="Q70" s="99"/>
      <c r="R70" s="99"/>
      <c r="S70" s="99"/>
      <c r="T70" s="99"/>
      <c r="U70" s="99"/>
      <c r="V70" s="99"/>
      <c r="W70" s="99"/>
      <c r="X70" s="99"/>
      <c r="Y70" s="99"/>
      <c r="Z70" s="99"/>
    </row>
    <row r="71">
      <c r="A71" s="99"/>
      <c r="B71" s="99"/>
      <c r="C71" s="99"/>
      <c r="D71" s="99"/>
      <c r="E71" s="99"/>
      <c r="F71" s="99"/>
      <c r="G71" s="99"/>
      <c r="H71" s="99"/>
      <c r="I71" s="99"/>
      <c r="J71" s="99"/>
      <c r="K71" s="99"/>
      <c r="L71" s="99"/>
      <c r="M71" s="99"/>
      <c r="N71" s="99"/>
      <c r="O71" s="99"/>
      <c r="P71" s="99"/>
      <c r="Q71" s="99"/>
      <c r="R71" s="99"/>
      <c r="S71" s="99"/>
      <c r="T71" s="99"/>
      <c r="U71" s="99"/>
      <c r="V71" s="99"/>
      <c r="W71" s="99"/>
      <c r="X71" s="99"/>
      <c r="Y71" s="99"/>
      <c r="Z71" s="99"/>
    </row>
    <row r="72">
      <c r="A72" s="99"/>
      <c r="B72" s="99"/>
      <c r="C72" s="99"/>
      <c r="D72" s="99"/>
      <c r="E72" s="99"/>
      <c r="F72" s="99"/>
      <c r="G72" s="99"/>
      <c r="H72" s="99"/>
      <c r="I72" s="99"/>
      <c r="J72" s="99"/>
      <c r="K72" s="99"/>
      <c r="L72" s="99"/>
      <c r="M72" s="99"/>
      <c r="N72" s="99"/>
      <c r="O72" s="99"/>
      <c r="P72" s="99"/>
      <c r="Q72" s="99"/>
      <c r="R72" s="99"/>
      <c r="S72" s="99"/>
      <c r="T72" s="99"/>
      <c r="U72" s="99"/>
      <c r="V72" s="99"/>
      <c r="W72" s="99"/>
      <c r="X72" s="99"/>
      <c r="Y72" s="99"/>
      <c r="Z72" s="99"/>
    </row>
    <row r="73">
      <c r="A73" s="99"/>
      <c r="B73" s="99"/>
      <c r="C73" s="99"/>
      <c r="D73" s="99"/>
      <c r="E73" s="99"/>
      <c r="F73" s="99"/>
      <c r="G73" s="99"/>
      <c r="H73" s="99"/>
      <c r="I73" s="99"/>
      <c r="J73" s="99"/>
      <c r="K73" s="99"/>
      <c r="L73" s="99"/>
      <c r="M73" s="99"/>
      <c r="N73" s="99"/>
      <c r="O73" s="99"/>
      <c r="P73" s="99"/>
      <c r="Q73" s="99"/>
      <c r="R73" s="99"/>
      <c r="S73" s="99"/>
      <c r="T73" s="99"/>
      <c r="U73" s="99"/>
      <c r="V73" s="99"/>
      <c r="W73" s="99"/>
      <c r="X73" s="99"/>
      <c r="Y73" s="99"/>
      <c r="Z73" s="99"/>
    </row>
    <row r="74">
      <c r="A74" s="99"/>
      <c r="B74" s="99"/>
      <c r="C74" s="99"/>
      <c r="D74" s="99"/>
      <c r="E74" s="99"/>
      <c r="F74" s="99"/>
      <c r="G74" s="99"/>
      <c r="H74" s="99"/>
      <c r="I74" s="99"/>
      <c r="J74" s="99"/>
      <c r="K74" s="99"/>
      <c r="L74" s="99"/>
      <c r="M74" s="99"/>
      <c r="N74" s="99"/>
      <c r="O74" s="99"/>
      <c r="P74" s="99"/>
      <c r="Q74" s="99"/>
      <c r="R74" s="99"/>
      <c r="S74" s="99"/>
      <c r="T74" s="99"/>
      <c r="U74" s="99"/>
      <c r="V74" s="99"/>
      <c r="W74" s="99"/>
      <c r="X74" s="99"/>
      <c r="Y74" s="99"/>
      <c r="Z74" s="99"/>
    </row>
    <row r="75">
      <c r="A75" s="99"/>
      <c r="B75" s="99"/>
      <c r="C75" s="99"/>
      <c r="D75" s="99"/>
      <c r="E75" s="99"/>
      <c r="F75" s="99"/>
      <c r="G75" s="99"/>
      <c r="H75" s="99"/>
      <c r="I75" s="99"/>
      <c r="J75" s="99"/>
      <c r="K75" s="99"/>
      <c r="L75" s="99"/>
      <c r="M75" s="99"/>
      <c r="N75" s="99"/>
      <c r="O75" s="99"/>
      <c r="P75" s="99"/>
      <c r="Q75" s="99"/>
      <c r="R75" s="99"/>
      <c r="S75" s="99"/>
      <c r="T75" s="99"/>
      <c r="U75" s="99"/>
      <c r="V75" s="99"/>
      <c r="W75" s="99"/>
      <c r="X75" s="99"/>
      <c r="Y75" s="99"/>
      <c r="Z75" s="99"/>
    </row>
    <row r="76">
      <c r="A76" s="99"/>
      <c r="B76" s="99"/>
      <c r="C76" s="99"/>
      <c r="D76" s="99"/>
      <c r="E76" s="99"/>
      <c r="F76" s="99"/>
      <c r="G76" s="99"/>
      <c r="H76" s="99"/>
      <c r="I76" s="99"/>
      <c r="J76" s="99"/>
      <c r="K76" s="99"/>
      <c r="L76" s="99"/>
      <c r="M76" s="99"/>
      <c r="N76" s="99"/>
      <c r="O76" s="99"/>
      <c r="P76" s="99"/>
      <c r="Q76" s="99"/>
      <c r="R76" s="99"/>
      <c r="S76" s="99"/>
      <c r="T76" s="99"/>
      <c r="U76" s="99"/>
      <c r="V76" s="99"/>
      <c r="W76" s="99"/>
      <c r="X76" s="99"/>
      <c r="Y76" s="99"/>
      <c r="Z76" s="99"/>
    </row>
    <row r="77">
      <c r="A77" s="99"/>
      <c r="B77" s="99"/>
      <c r="C77" s="99"/>
      <c r="D77" s="99"/>
      <c r="E77" s="99"/>
      <c r="F77" s="99"/>
      <c r="G77" s="99"/>
      <c r="H77" s="99"/>
      <c r="I77" s="99"/>
      <c r="J77" s="99"/>
      <c r="K77" s="99"/>
      <c r="L77" s="99"/>
      <c r="M77" s="99"/>
      <c r="N77" s="99"/>
      <c r="O77" s="99"/>
      <c r="P77" s="99"/>
      <c r="Q77" s="99"/>
      <c r="R77" s="99"/>
      <c r="S77" s="99"/>
      <c r="T77" s="99"/>
      <c r="U77" s="99"/>
      <c r="V77" s="99"/>
      <c r="W77" s="99"/>
      <c r="X77" s="99"/>
      <c r="Y77" s="99"/>
      <c r="Z77" s="99"/>
    </row>
    <row r="78">
      <c r="A78" s="99"/>
      <c r="B78" s="99"/>
      <c r="C78" s="99"/>
      <c r="D78" s="99"/>
      <c r="E78" s="99"/>
      <c r="F78" s="99"/>
      <c r="G78" s="99"/>
      <c r="H78" s="99"/>
      <c r="I78" s="99"/>
      <c r="J78" s="99"/>
      <c r="K78" s="99"/>
      <c r="L78" s="99"/>
      <c r="M78" s="99"/>
      <c r="N78" s="99"/>
      <c r="O78" s="99"/>
      <c r="P78" s="99"/>
      <c r="Q78" s="99"/>
      <c r="R78" s="99"/>
      <c r="S78" s="99"/>
      <c r="T78" s="99"/>
      <c r="U78" s="99"/>
      <c r="V78" s="99"/>
      <c r="W78" s="99"/>
      <c r="X78" s="99"/>
      <c r="Y78" s="99"/>
      <c r="Z78" s="99"/>
    </row>
    <row r="79">
      <c r="A79" s="99"/>
      <c r="B79" s="99"/>
      <c r="C79" s="99"/>
      <c r="D79" s="99"/>
      <c r="E79" s="99"/>
      <c r="F79" s="99"/>
      <c r="G79" s="99"/>
      <c r="H79" s="99"/>
      <c r="I79" s="99"/>
      <c r="J79" s="99"/>
      <c r="K79" s="99"/>
      <c r="L79" s="99"/>
      <c r="M79" s="99"/>
      <c r="N79" s="99"/>
      <c r="O79" s="99"/>
      <c r="P79" s="99"/>
      <c r="Q79" s="99"/>
      <c r="R79" s="99"/>
      <c r="S79" s="99"/>
      <c r="T79" s="99"/>
      <c r="U79" s="99"/>
      <c r="V79" s="99"/>
      <c r="W79" s="99"/>
      <c r="X79" s="99"/>
      <c r="Y79" s="99"/>
      <c r="Z79" s="99"/>
    </row>
    <row r="80">
      <c r="A80" s="99"/>
      <c r="B80" s="99"/>
      <c r="C80" s="99"/>
      <c r="D80" s="99"/>
      <c r="E80" s="99"/>
      <c r="F80" s="99"/>
      <c r="G80" s="99"/>
      <c r="H80" s="99"/>
      <c r="I80" s="99"/>
      <c r="J80" s="99"/>
      <c r="K80" s="99"/>
      <c r="L80" s="99"/>
      <c r="M80" s="99"/>
      <c r="N80" s="99"/>
      <c r="O80" s="99"/>
      <c r="P80" s="99"/>
      <c r="Q80" s="99"/>
      <c r="R80" s="99"/>
      <c r="S80" s="99"/>
      <c r="T80" s="99"/>
      <c r="U80" s="99"/>
      <c r="V80" s="99"/>
      <c r="W80" s="99"/>
      <c r="X80" s="99"/>
      <c r="Y80" s="99"/>
      <c r="Z80" s="99"/>
    </row>
    <row r="81">
      <c r="A81" s="99"/>
      <c r="B81" s="99"/>
      <c r="C81" s="99"/>
      <c r="D81" s="99"/>
      <c r="E81" s="99"/>
      <c r="F81" s="99"/>
      <c r="G81" s="99"/>
      <c r="H81" s="99"/>
      <c r="I81" s="99"/>
      <c r="J81" s="99"/>
      <c r="K81" s="99"/>
      <c r="L81" s="99"/>
      <c r="M81" s="99"/>
      <c r="N81" s="99"/>
      <c r="O81" s="99"/>
      <c r="P81" s="99"/>
      <c r="Q81" s="99"/>
      <c r="R81" s="99"/>
      <c r="S81" s="99"/>
      <c r="T81" s="99"/>
      <c r="U81" s="99"/>
      <c r="V81" s="99"/>
      <c r="W81" s="99"/>
      <c r="X81" s="99"/>
      <c r="Y81" s="99"/>
      <c r="Z81" s="99"/>
    </row>
    <row r="82">
      <c r="A82" s="99"/>
      <c r="B82" s="99"/>
      <c r="C82" s="99"/>
      <c r="D82" s="99"/>
      <c r="E82" s="99"/>
      <c r="F82" s="99"/>
      <c r="G82" s="99"/>
      <c r="H82" s="99"/>
      <c r="I82" s="99"/>
      <c r="J82" s="99"/>
      <c r="K82" s="99"/>
      <c r="L82" s="99"/>
      <c r="M82" s="99"/>
      <c r="N82" s="99"/>
      <c r="O82" s="99"/>
      <c r="P82" s="99"/>
      <c r="Q82" s="99"/>
      <c r="R82" s="99"/>
      <c r="S82" s="99"/>
      <c r="T82" s="99"/>
      <c r="U82" s="99"/>
      <c r="V82" s="99"/>
      <c r="W82" s="99"/>
      <c r="X82" s="99"/>
      <c r="Y82" s="99"/>
      <c r="Z82" s="99"/>
    </row>
    <row r="83">
      <c r="A83" s="99"/>
      <c r="B83" s="99"/>
      <c r="C83" s="99"/>
      <c r="D83" s="99"/>
      <c r="E83" s="99"/>
      <c r="F83" s="99"/>
      <c r="G83" s="99"/>
      <c r="H83" s="99"/>
      <c r="I83" s="99"/>
      <c r="J83" s="99"/>
      <c r="K83" s="99"/>
      <c r="L83" s="99"/>
      <c r="M83" s="99"/>
      <c r="N83" s="99"/>
      <c r="O83" s="99"/>
      <c r="P83" s="99"/>
      <c r="Q83" s="99"/>
      <c r="R83" s="99"/>
      <c r="S83" s="99"/>
      <c r="T83" s="99"/>
      <c r="U83" s="99"/>
      <c r="V83" s="99"/>
      <c r="W83" s="99"/>
      <c r="X83" s="99"/>
      <c r="Y83" s="99"/>
      <c r="Z83" s="99"/>
    </row>
    <row r="84">
      <c r="A84" s="99"/>
      <c r="B84" s="99"/>
      <c r="C84" s="99"/>
      <c r="D84" s="99"/>
      <c r="E84" s="99"/>
      <c r="F84" s="99"/>
      <c r="G84" s="99"/>
      <c r="H84" s="99"/>
      <c r="I84" s="99"/>
      <c r="J84" s="99"/>
      <c r="K84" s="99"/>
      <c r="L84" s="99"/>
      <c r="M84" s="99"/>
      <c r="N84" s="99"/>
      <c r="O84" s="99"/>
      <c r="P84" s="99"/>
      <c r="Q84" s="99"/>
      <c r="R84" s="99"/>
      <c r="S84" s="99"/>
      <c r="T84" s="99"/>
      <c r="U84" s="99"/>
      <c r="V84" s="99"/>
      <c r="W84" s="99"/>
      <c r="X84" s="99"/>
      <c r="Y84" s="99"/>
      <c r="Z84" s="99"/>
    </row>
    <row r="85">
      <c r="A85" s="99"/>
      <c r="B85" s="99"/>
      <c r="C85" s="99"/>
      <c r="D85" s="99"/>
      <c r="E85" s="99"/>
      <c r="F85" s="99"/>
      <c r="G85" s="99"/>
      <c r="H85" s="99"/>
      <c r="I85" s="99"/>
      <c r="J85" s="99"/>
      <c r="K85" s="99"/>
      <c r="L85" s="99"/>
      <c r="M85" s="99"/>
      <c r="N85" s="99"/>
      <c r="O85" s="99"/>
      <c r="P85" s="99"/>
      <c r="Q85" s="99"/>
      <c r="R85" s="99"/>
      <c r="S85" s="99"/>
      <c r="T85" s="99"/>
      <c r="U85" s="99"/>
      <c r="V85" s="99"/>
      <c r="W85" s="99"/>
      <c r="X85" s="99"/>
      <c r="Y85" s="99"/>
      <c r="Z85" s="99"/>
    </row>
    <row r="86">
      <c r="A86" s="99"/>
      <c r="B86" s="99"/>
      <c r="C86" s="99"/>
      <c r="D86" s="99"/>
      <c r="E86" s="99"/>
      <c r="F86" s="99"/>
      <c r="G86" s="99"/>
      <c r="H86" s="99"/>
      <c r="I86" s="99"/>
      <c r="J86" s="99"/>
      <c r="K86" s="99"/>
      <c r="L86" s="99"/>
      <c r="M86" s="99"/>
      <c r="N86" s="99"/>
      <c r="O86" s="99"/>
      <c r="P86" s="99"/>
      <c r="Q86" s="99"/>
      <c r="R86" s="99"/>
      <c r="S86" s="99"/>
      <c r="T86" s="99"/>
      <c r="U86" s="99"/>
      <c r="V86" s="99"/>
      <c r="W86" s="99"/>
      <c r="X86" s="99"/>
      <c r="Y86" s="99"/>
      <c r="Z86" s="99"/>
    </row>
    <row r="87">
      <c r="A87" s="99"/>
      <c r="B87" s="99"/>
      <c r="C87" s="99"/>
      <c r="D87" s="99"/>
      <c r="E87" s="99"/>
      <c r="F87" s="99"/>
      <c r="G87" s="99"/>
      <c r="H87" s="99"/>
      <c r="I87" s="99"/>
      <c r="J87" s="99"/>
      <c r="K87" s="99"/>
      <c r="L87" s="99"/>
      <c r="M87" s="99"/>
      <c r="N87" s="99"/>
      <c r="O87" s="99"/>
      <c r="P87" s="99"/>
      <c r="Q87" s="99"/>
      <c r="R87" s="99"/>
      <c r="S87" s="99"/>
      <c r="T87" s="99"/>
      <c r="U87" s="99"/>
      <c r="V87" s="99"/>
      <c r="W87" s="99"/>
      <c r="X87" s="99"/>
      <c r="Y87" s="99"/>
      <c r="Z87" s="99"/>
    </row>
    <row r="88">
      <c r="A88" s="99"/>
      <c r="B88" s="99"/>
      <c r="C88" s="99"/>
      <c r="D88" s="99"/>
      <c r="E88" s="99"/>
      <c r="F88" s="99"/>
      <c r="G88" s="99"/>
      <c r="H88" s="99"/>
      <c r="I88" s="99"/>
      <c r="J88" s="99"/>
      <c r="K88" s="99"/>
      <c r="L88" s="99"/>
      <c r="M88" s="99"/>
      <c r="N88" s="99"/>
      <c r="O88" s="99"/>
      <c r="P88" s="99"/>
      <c r="Q88" s="99"/>
      <c r="R88" s="99"/>
      <c r="S88" s="99"/>
      <c r="T88" s="99"/>
      <c r="U88" s="99"/>
      <c r="V88" s="99"/>
      <c r="W88" s="99"/>
      <c r="X88" s="99"/>
      <c r="Y88" s="99"/>
      <c r="Z88" s="99"/>
    </row>
    <row r="89">
      <c r="A89" s="99"/>
      <c r="B89" s="99"/>
      <c r="C89" s="99"/>
      <c r="D89" s="99"/>
      <c r="E89" s="99"/>
      <c r="F89" s="99"/>
      <c r="G89" s="99"/>
      <c r="H89" s="99"/>
      <c r="I89" s="99"/>
      <c r="J89" s="99"/>
      <c r="K89" s="99"/>
      <c r="L89" s="99"/>
      <c r="M89" s="99"/>
      <c r="N89" s="99"/>
      <c r="O89" s="99"/>
      <c r="P89" s="99"/>
      <c r="Q89" s="99"/>
      <c r="R89" s="99"/>
      <c r="S89" s="99"/>
      <c r="T89" s="99"/>
      <c r="U89" s="99"/>
      <c r="V89" s="99"/>
      <c r="W89" s="99"/>
      <c r="X89" s="99"/>
      <c r="Y89" s="99"/>
      <c r="Z89" s="99"/>
    </row>
    <row r="90">
      <c r="A90" s="99"/>
      <c r="B90" s="99"/>
      <c r="C90" s="99"/>
      <c r="D90" s="99"/>
      <c r="E90" s="99"/>
      <c r="F90" s="99"/>
      <c r="G90" s="99"/>
      <c r="H90" s="99"/>
      <c r="I90" s="99"/>
      <c r="J90" s="99"/>
      <c r="K90" s="99"/>
      <c r="L90" s="99"/>
      <c r="M90" s="99"/>
      <c r="N90" s="99"/>
      <c r="O90" s="99"/>
      <c r="P90" s="99"/>
      <c r="Q90" s="99"/>
      <c r="R90" s="99"/>
      <c r="S90" s="99"/>
      <c r="T90" s="99"/>
      <c r="U90" s="99"/>
      <c r="V90" s="99"/>
      <c r="W90" s="99"/>
      <c r="X90" s="99"/>
      <c r="Y90" s="99"/>
      <c r="Z90" s="99"/>
    </row>
    <row r="91">
      <c r="A91" s="99"/>
      <c r="B91" s="99"/>
      <c r="C91" s="99"/>
      <c r="D91" s="99"/>
      <c r="E91" s="99"/>
      <c r="F91" s="99"/>
      <c r="G91" s="99"/>
      <c r="H91" s="99"/>
      <c r="I91" s="99"/>
      <c r="J91" s="99"/>
      <c r="K91" s="99"/>
      <c r="L91" s="99"/>
      <c r="M91" s="99"/>
      <c r="N91" s="99"/>
      <c r="O91" s="99"/>
      <c r="P91" s="99"/>
      <c r="Q91" s="99"/>
      <c r="R91" s="99"/>
      <c r="S91" s="99"/>
      <c r="T91" s="99"/>
      <c r="U91" s="99"/>
      <c r="V91" s="99"/>
      <c r="W91" s="99"/>
      <c r="X91" s="99"/>
      <c r="Y91" s="99"/>
      <c r="Z91" s="99"/>
    </row>
    <row r="92">
      <c r="A92" s="99"/>
      <c r="B92" s="99"/>
      <c r="C92" s="99"/>
      <c r="D92" s="99"/>
      <c r="E92" s="99"/>
      <c r="F92" s="99"/>
      <c r="G92" s="99"/>
      <c r="H92" s="99"/>
      <c r="I92" s="99"/>
      <c r="J92" s="99"/>
      <c r="K92" s="99"/>
      <c r="L92" s="99"/>
      <c r="M92" s="99"/>
      <c r="N92" s="99"/>
      <c r="O92" s="99"/>
      <c r="P92" s="99"/>
      <c r="Q92" s="99"/>
      <c r="R92" s="99"/>
      <c r="S92" s="99"/>
      <c r="T92" s="99"/>
      <c r="U92" s="99"/>
      <c r="V92" s="99"/>
      <c r="W92" s="99"/>
      <c r="X92" s="99"/>
      <c r="Y92" s="99"/>
      <c r="Z92" s="99"/>
    </row>
    <row r="93">
      <c r="A93" s="99"/>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c r="A94" s="99"/>
      <c r="B94" s="99"/>
      <c r="C94" s="99"/>
      <c r="D94" s="99"/>
      <c r="E94" s="99"/>
      <c r="F94" s="99"/>
      <c r="G94" s="99"/>
      <c r="H94" s="99"/>
      <c r="I94" s="99"/>
      <c r="J94" s="99"/>
      <c r="K94" s="99"/>
      <c r="L94" s="99"/>
      <c r="M94" s="99"/>
      <c r="N94" s="99"/>
      <c r="O94" s="99"/>
      <c r="P94" s="99"/>
      <c r="Q94" s="99"/>
      <c r="R94" s="99"/>
      <c r="S94" s="99"/>
      <c r="T94" s="99"/>
      <c r="U94" s="99"/>
      <c r="V94" s="99"/>
      <c r="W94" s="99"/>
      <c r="X94" s="99"/>
      <c r="Y94" s="99"/>
      <c r="Z94" s="99"/>
    </row>
    <row r="95">
      <c r="A95" s="99"/>
      <c r="B95" s="99"/>
      <c r="C95" s="99"/>
      <c r="D95" s="99"/>
      <c r="E95" s="99"/>
      <c r="F95" s="99"/>
      <c r="G95" s="99"/>
      <c r="H95" s="99"/>
      <c r="I95" s="99"/>
      <c r="J95" s="99"/>
      <c r="K95" s="99"/>
      <c r="L95" s="99"/>
      <c r="M95" s="99"/>
      <c r="N95" s="99"/>
      <c r="O95" s="99"/>
      <c r="P95" s="99"/>
      <c r="Q95" s="99"/>
      <c r="R95" s="99"/>
      <c r="S95" s="99"/>
      <c r="T95" s="99"/>
      <c r="U95" s="99"/>
      <c r="V95" s="99"/>
      <c r="W95" s="99"/>
      <c r="X95" s="99"/>
      <c r="Y95" s="99"/>
      <c r="Z95" s="99"/>
    </row>
    <row r="96">
      <c r="A96" s="99"/>
      <c r="B96" s="99"/>
      <c r="C96" s="99"/>
      <c r="D96" s="99"/>
      <c r="E96" s="99"/>
      <c r="F96" s="99"/>
      <c r="G96" s="99"/>
      <c r="H96" s="99"/>
      <c r="I96" s="99"/>
      <c r="J96" s="99"/>
      <c r="K96" s="99"/>
      <c r="L96" s="99"/>
      <c r="M96" s="99"/>
      <c r="N96" s="99"/>
      <c r="O96" s="99"/>
      <c r="P96" s="99"/>
      <c r="Q96" s="99"/>
      <c r="R96" s="99"/>
      <c r="S96" s="99"/>
      <c r="T96" s="99"/>
      <c r="U96" s="99"/>
      <c r="V96" s="99"/>
      <c r="W96" s="99"/>
      <c r="X96" s="99"/>
      <c r="Y96" s="99"/>
      <c r="Z96" s="99"/>
    </row>
    <row r="97">
      <c r="A97" s="99"/>
      <c r="B97" s="99"/>
      <c r="C97" s="99"/>
      <c r="D97" s="99"/>
      <c r="E97" s="99"/>
      <c r="F97" s="99"/>
      <c r="G97" s="99"/>
      <c r="H97" s="99"/>
      <c r="I97" s="99"/>
      <c r="J97" s="99"/>
      <c r="K97" s="99"/>
      <c r="L97" s="99"/>
      <c r="M97" s="99"/>
      <c r="N97" s="99"/>
      <c r="O97" s="99"/>
      <c r="P97" s="99"/>
      <c r="Q97" s="99"/>
      <c r="R97" s="99"/>
      <c r="S97" s="99"/>
      <c r="T97" s="99"/>
      <c r="U97" s="99"/>
      <c r="V97" s="99"/>
      <c r="W97" s="99"/>
      <c r="X97" s="99"/>
      <c r="Y97" s="99"/>
      <c r="Z97" s="99"/>
    </row>
    <row r="98">
      <c r="A98" s="99"/>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c r="A99" s="99"/>
      <c r="B99" s="99"/>
      <c r="C99" s="99"/>
      <c r="D99" s="99"/>
      <c r="E99" s="99"/>
      <c r="F99" s="99"/>
      <c r="G99" s="99"/>
      <c r="H99" s="99"/>
      <c r="I99" s="99"/>
      <c r="J99" s="99"/>
      <c r="K99" s="99"/>
      <c r="L99" s="99"/>
      <c r="M99" s="99"/>
      <c r="N99" s="99"/>
      <c r="O99" s="99"/>
      <c r="P99" s="99"/>
      <c r="Q99" s="99"/>
      <c r="R99" s="99"/>
      <c r="S99" s="99"/>
      <c r="T99" s="99"/>
      <c r="U99" s="99"/>
      <c r="V99" s="99"/>
      <c r="W99" s="99"/>
      <c r="X99" s="99"/>
      <c r="Y99" s="99"/>
      <c r="Z99" s="99"/>
    </row>
    <row r="100">
      <c r="A100" s="99"/>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c r="A101" s="99"/>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c r="A102" s="99"/>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c r="A103" s="99"/>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c r="A104" s="99"/>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c r="A105" s="99"/>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c r="A106" s="99"/>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c r="A107" s="99"/>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c r="A108" s="99"/>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c r="A109" s="99"/>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c r="A110" s="99"/>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c r="A111" s="99"/>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c r="A112" s="99"/>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c r="A113" s="99"/>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c r="A114" s="99"/>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c r="A116" s="99"/>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c r="A117" s="99"/>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c r="A118" s="99"/>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c r="A119" s="99"/>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c r="A120" s="99"/>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c r="A121" s="99"/>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c r="A122" s="99"/>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c r="A123" s="99"/>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c r="A124" s="99"/>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c r="A125" s="99"/>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c r="A126" s="99"/>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c r="A882" s="99"/>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c r="A883" s="99"/>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c r="A884" s="99"/>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c r="A885" s="99"/>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c r="A886" s="99"/>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c r="A887" s="99"/>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c r="A888" s="99"/>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c r="A889" s="99"/>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c r="A890" s="99"/>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c r="A891" s="99"/>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c r="A892" s="99"/>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c r="A893" s="99"/>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c r="A894" s="99"/>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c r="A895" s="99"/>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c r="A896" s="99"/>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c r="A897" s="99"/>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c r="A898" s="99"/>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c r="A899" s="99"/>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c r="A900" s="99"/>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c r="A901" s="99"/>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c r="A902" s="99"/>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c r="A903" s="99"/>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c r="A904" s="99"/>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c r="A905" s="99"/>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c r="A906" s="99"/>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c r="A907" s="99"/>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c r="A908" s="99"/>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c r="A909" s="99"/>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c r="A910" s="99"/>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c r="A911" s="99"/>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c r="A912" s="99"/>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c r="A913" s="99"/>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c r="A914" s="99"/>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c r="A915" s="99"/>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c r="A916" s="99"/>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c r="A917" s="99"/>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c r="A918" s="99"/>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c r="A919" s="99"/>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c r="A920" s="99"/>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c r="A921" s="99"/>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c r="A922" s="99"/>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c r="A923" s="99"/>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c r="A924" s="99"/>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c r="A925" s="99"/>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c r="A926" s="99"/>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c r="A927" s="99"/>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c r="A928" s="99"/>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c r="A929" s="99"/>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c r="A930" s="99"/>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c r="A931" s="99"/>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c r="A932" s="99"/>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c r="A933" s="99"/>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c r="A934" s="99"/>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c r="A935" s="99"/>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c r="A936" s="99"/>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c r="A937" s="99"/>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c r="A938" s="99"/>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c r="A939" s="99"/>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c r="A940" s="99"/>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c r="A941" s="99"/>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c r="A942" s="99"/>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c r="A943" s="99"/>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c r="A944" s="99"/>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c r="A945" s="99"/>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c r="A946" s="99"/>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c r="A947" s="99"/>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c r="A948" s="99"/>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c r="A949" s="99"/>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c r="A950" s="99"/>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c r="A951" s="99"/>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c r="A952" s="99"/>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c r="A953" s="99"/>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c r="A954" s="99"/>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c r="A955" s="99"/>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c r="A956" s="99"/>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c r="A957" s="99"/>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c r="A958" s="99"/>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c r="A959" s="99"/>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c r="A960" s="99"/>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c r="A961" s="99"/>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c r="A962" s="99"/>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c r="A963" s="99"/>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c r="A964" s="99"/>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c r="A965" s="99"/>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c r="A966" s="99"/>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c r="A967" s="99"/>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c r="A968" s="99"/>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c r="A969" s="99"/>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c r="A970" s="99"/>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c r="A971" s="99"/>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c r="A972" s="99"/>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c r="A973" s="99"/>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c r="A974" s="99"/>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c r="A975" s="99"/>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c r="A976" s="99"/>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c r="A977" s="99"/>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c r="A978" s="99"/>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c r="A979" s="99"/>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c r="A980" s="99"/>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c r="A981" s="99"/>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c r="A982" s="99"/>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c r="A983" s="99"/>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c r="A984" s="99"/>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c r="A985" s="99"/>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c r="A986" s="99"/>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c r="A987" s="99"/>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c r="A988" s="99"/>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c r="A989" s="99"/>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c r="A990" s="99"/>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c r="A991" s="99"/>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c r="A992" s="99"/>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c r="A993" s="99"/>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c r="A994" s="99"/>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c r="A995" s="99"/>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c r="A996" s="99"/>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c r="A997" s="99"/>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c r="A998" s="99"/>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c r="A999" s="99"/>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c r="A1000" s="99"/>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row r="1001">
      <c r="A1001" s="99"/>
      <c r="B1001" s="99"/>
      <c r="C1001" s="99"/>
      <c r="D1001" s="99"/>
      <c r="E1001" s="99"/>
      <c r="F1001" s="99"/>
      <c r="G1001" s="99"/>
      <c r="H1001" s="99"/>
      <c r="I1001" s="99"/>
      <c r="J1001" s="99"/>
      <c r="K1001" s="99"/>
      <c r="L1001" s="99"/>
      <c r="M1001" s="99"/>
      <c r="N1001" s="99"/>
      <c r="O1001" s="99"/>
      <c r="P1001" s="99"/>
      <c r="Q1001" s="99"/>
      <c r="R1001" s="99"/>
      <c r="S1001" s="99"/>
      <c r="T1001" s="99"/>
      <c r="U1001" s="99"/>
      <c r="V1001" s="99"/>
      <c r="W1001" s="99"/>
      <c r="X1001" s="99"/>
      <c r="Y1001" s="99"/>
      <c r="Z1001" s="99"/>
    </row>
  </sheetData>
  <dataValidations>
    <dataValidation type="list" allowBlank="1" showErrorMessage="1" sqref="A3:A5 A7:A11">
      <formula1>"5W1H,Base,CoT,tldr,Heading,Jeremy,Begoña,Alba,Naiara"</formula1>
    </dataValidation>
    <dataValidation type="list" allowBlank="1" showErrorMessage="1" sqref="A2">
      <formula1>"5W1H,Base,CoT,tldr"</formula1>
    </dataValidation>
  </dataValidations>
  <drawing r:id="rId1"/>
</worksheet>
</file>